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168E26D-9932-4816-9436-DEE064504FC0}" xr6:coauthVersionLast="36" xr6:coauthVersionMax="36" xr10:uidLastSave="{00000000-0000-0000-0000-000000000000}"/>
  <bookViews>
    <workbookView xWindow="-2061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AUDITCHECK" sheetId="36" r:id="rId22"/>
    <sheet name="AFR20" sheetId="106" state="hidden" r:id="rId23"/>
    <sheet name="Single Audit Cover" sheetId="169" r:id="rId24"/>
    <sheet name="Single Audit Checklist" sheetId="170" r:id="rId25"/>
    <sheet name="DeficitAFRSum Calc 37" sheetId="146" r:id="rId26"/>
    <sheet name="SEFA Reconcile" sheetId="171" r:id="rId27"/>
    <sheet name=" SEFA" sheetId="179" r:id="rId28"/>
    <sheet name=" SEFA (2)"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2" hidden="1">'AFR20'!$A$1:$F$7884</definedName>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4">'Single Audit Checklist'!$A$1:$D$124</definedName>
    <definedName name="_xlnm.Print_Area" localSheetId="23">'Single Audit Cover'!$A$1:$L$51</definedName>
    <definedName name="_xlnm.Print_Titles" localSheetId="6">'Acct Summary 7-8'!$A:$B,'Acct Summary 7-8'!$1:$2</definedName>
    <definedName name="_xlnm.Print_Titles" localSheetId="5">'Assets-Liab 5-6'!$A:$B,'Assets-Liab 5-6'!$1:$2</definedName>
    <definedName name="_xlnm.Print_Titles" localSheetId="21">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4">'Single Audit Checklist'!$1:$4</definedName>
    <definedName name="SCHADDRS" localSheetId="27">#REF!</definedName>
    <definedName name="SCHADDRS" localSheetId="28">#REF!</definedName>
    <definedName name="SCHADDRS" localSheetId="14">#REF!</definedName>
    <definedName name="SCHADDRS" localSheetId="25">#REF!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4">#REF!</definedName>
    <definedName name="SCHADDRS" localSheetId="23">#REF!</definedName>
    <definedName name="SCHADDRS" localSheetId="33">#REF!</definedName>
    <definedName name="SCHADDRS">#REF!</definedName>
    <definedName name="SCHCTY" localSheetId="27">#REF!</definedName>
    <definedName name="SCHCTY" localSheetId="28">#REF!</definedName>
    <definedName name="SCHCTY" localSheetId="14">#REF!</definedName>
    <definedName name="SCHCTY" localSheetId="25">#REF!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4">#REF!</definedName>
    <definedName name="SCHCTY" localSheetId="23">#REF!</definedName>
    <definedName name="SCHCTY" localSheetId="33">#REF!</definedName>
    <definedName name="SCHCTY">#REF!</definedName>
    <definedName name="SCHNMBR" localSheetId="27">#REF!</definedName>
    <definedName name="SCHNMBR" localSheetId="28">#REF!</definedName>
    <definedName name="SCHNMBR" localSheetId="14">#REF!</definedName>
    <definedName name="SCHNMBR" localSheetId="25">#REF!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4">#REF!</definedName>
    <definedName name="SCHNMBR" localSheetId="23">#REF!</definedName>
    <definedName name="SCHNMBR" localSheetId="33">#REF!</definedName>
    <definedName name="SCHNMBR">#REF!</definedName>
    <definedName name="SCHNME" localSheetId="27">#REF!</definedName>
    <definedName name="SCHNME" localSheetId="28">#REF!</definedName>
    <definedName name="SCHNME" localSheetId="14">#REF!</definedName>
    <definedName name="SCHNME" localSheetId="25">#REF!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4">#REF!</definedName>
    <definedName name="SCHNME" localSheetId="23">#REF!</definedName>
    <definedName name="SCHNME" localSheetId="33">#REF!</definedName>
    <definedName name="SCHNME">#REF!</definedName>
    <definedName name="SUPT" localSheetId="27">#REF!</definedName>
    <definedName name="SUPT" localSheetId="28">#REF!</definedName>
    <definedName name="SUPT" localSheetId="14">#REF!</definedName>
    <definedName name="SUPT" localSheetId="25">#REF!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4">#REF!</definedName>
    <definedName name="SUPT" localSheetId="23">#REF!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5" l="1"/>
  <c r="E22" i="179"/>
  <c r="E27" i="185" s="1"/>
  <c r="I22" i="179"/>
  <c r="I27" i="185" s="1"/>
  <c r="G22" i="179"/>
  <c r="G27" i="185"/>
  <c r="F22" i="179"/>
  <c r="F21" i="185"/>
  <c r="L25" i="185"/>
  <c r="L26" i="185"/>
  <c r="I26" i="185"/>
  <c r="G26" i="185"/>
  <c r="F26" i="185"/>
  <c r="E26" i="185"/>
  <c r="L24" i="185"/>
  <c r="I21" i="185"/>
  <c r="L21" i="185" s="1"/>
  <c r="G21" i="185"/>
  <c r="L23" i="185"/>
  <c r="M21" i="185"/>
  <c r="E21" i="185"/>
  <c r="F27" i="185" l="1"/>
  <c r="D35" i="171" s="1"/>
  <c r="L22" i="185"/>
  <c r="L20" i="185"/>
  <c r="L19" i="185"/>
  <c r="L18" i="185"/>
  <c r="L17" i="185"/>
  <c r="L16" i="185"/>
  <c r="L14" i="185"/>
  <c r="L15" i="185"/>
  <c r="L13" i="185"/>
  <c r="I9" i="185"/>
  <c r="G9" i="185"/>
  <c r="F9" i="185"/>
  <c r="E9" i="185"/>
  <c r="J8" i="185"/>
  <c r="H8" i="185"/>
  <c r="B4" i="185"/>
  <c r="L14" i="179"/>
  <c r="L26" i="179"/>
  <c r="L21" i="179"/>
  <c r="L22" i="179"/>
  <c r="F26" i="179" l="1"/>
  <c r="J33" i="8" l="1"/>
  <c r="F63" i="29"/>
  <c r="E10" i="108" l="1"/>
  <c r="I12" i="11"/>
  <c r="H10" i="11"/>
  <c r="H12" i="11"/>
  <c r="C12" i="11"/>
  <c r="D217" i="29"/>
  <c r="D223" i="29"/>
  <c r="D268" i="29"/>
  <c r="D266" i="29"/>
  <c r="D264" i="29"/>
  <c r="D259" i="29"/>
  <c r="D246" i="29"/>
  <c r="D241" i="29"/>
  <c r="D240" i="29"/>
  <c r="D237" i="29"/>
  <c r="D236" i="29"/>
  <c r="D234" i="29"/>
  <c r="D232" i="29"/>
  <c r="D224" i="29"/>
  <c r="D222" i="29"/>
  <c r="D220" i="29"/>
  <c r="D219" i="29"/>
  <c r="D218" i="29"/>
  <c r="D215" i="29"/>
  <c r="C107" i="5"/>
  <c r="N59" i="184" l="1"/>
  <c r="N58" i="184"/>
  <c r="N57" i="184"/>
  <c r="N67" i="184"/>
  <c r="N66" i="184"/>
  <c r="N65" i="184"/>
  <c r="N64" i="184"/>
  <c r="N62" i="184"/>
  <c r="E67" i="184" l="1"/>
  <c r="E66" i="184"/>
  <c r="E65" i="184"/>
  <c r="E64" i="184"/>
  <c r="E62" i="184"/>
  <c r="E59" i="184"/>
  <c r="E58" i="184"/>
  <c r="E57" i="184"/>
  <c r="F15" i="184" l="1"/>
  <c r="F19" i="184" s="1"/>
  <c r="E17" i="184"/>
  <c r="E16" i="184"/>
  <c r="E13" i="184"/>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H17" i="184"/>
  <c r="H16" i="184"/>
  <c r="H13"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E21" i="183"/>
  <c r="E20" i="183"/>
  <c r="E19" i="183"/>
  <c r="E18" i="183"/>
  <c r="F18" i="183" s="1"/>
  <c r="F17" i="183"/>
  <c r="E17" i="183"/>
  <c r="D7887" i="106" l="1"/>
  <c r="D7886" i="106"/>
  <c r="B7887" i="106"/>
  <c r="B7886" i="106"/>
  <c r="F80" i="34"/>
  <c r="F76" i="34"/>
  <c r="F75" i="34"/>
  <c r="B3674" i="106" l="1"/>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5" i="179"/>
  <c r="L24" i="179"/>
  <c r="L23" i="179"/>
  <c r="L20" i="179"/>
  <c r="L19" i="179"/>
  <c r="L18" i="179"/>
  <c r="L17" i="179"/>
  <c r="L16" i="179"/>
  <c r="L15"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E15" i="184" s="1"/>
  <c r="H15" i="184" s="1"/>
  <c r="K56" i="29"/>
  <c r="E14" i="184" s="1"/>
  <c r="H14" i="184" s="1"/>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H33" i="118" l="1"/>
  <c r="B7180" i="106"/>
  <c r="D7180" i="106" s="1"/>
  <c r="E63" i="184"/>
  <c r="N63" i="184" s="1"/>
  <c r="B7162" i="106"/>
  <c r="D7162" i="106" s="1"/>
  <c r="E61" i="184"/>
  <c r="N61" i="184" s="1"/>
  <c r="B7153" i="106"/>
  <c r="D7153" i="106" s="1"/>
  <c r="E60" i="184"/>
  <c r="F77" i="4"/>
  <c r="B3255" i="106" s="1"/>
  <c r="D3255" i="106" s="1"/>
  <c r="G30" i="108"/>
  <c r="H12" i="184"/>
  <c r="H19" i="184" s="1"/>
  <c r="L20" i="184" s="1"/>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B2031" i="106"/>
  <c r="D2031" i="106" s="1"/>
  <c r="N60" i="184"/>
  <c r="N68" i="184" s="1"/>
  <c r="E68" i="184"/>
  <c r="E367" i="29"/>
  <c r="B3635" i="106"/>
  <c r="B5527" i="106"/>
  <c r="D5527" i="106" s="1"/>
  <c r="B1381" i="106"/>
  <c r="D1381" i="106" s="1"/>
  <c r="L114" i="29"/>
  <c r="F41" i="108"/>
  <c r="G43" i="108" s="1"/>
  <c r="N23" i="3"/>
  <c r="B284" i="106" s="1"/>
  <c r="D284"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20" i="4" l="1"/>
  <c r="B6230" i="106" s="1"/>
  <c r="D6230" i="106" s="1"/>
  <c r="B6223" i="106"/>
  <c r="D6223" i="106" s="1"/>
  <c r="K17"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<sst xmlns="http://schemas.openxmlformats.org/spreadsheetml/2006/main" count="5310" uniqueCount="2164">
  <si>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</si>
  <si>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</si>
  <si>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</si>
  <si>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</si>
  <si>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</si>
  <si>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</si>
  <si>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</si>
  <si>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</si>
  <si>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</si>
  <si>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</si>
  <si>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</si>
  <si>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</si>
  <si>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</si>
  <si>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</si>
  <si>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</si>
  <si>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</si>
  <si>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</si>
  <si>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</si>
  <si>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</si>
  <si>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</si>
  <si>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</si>
  <si>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</si>
  <si>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</si>
  <si>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</si>
  <si>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</si>
  <si>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</si>
  <si>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</si>
  <si>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</si>
  <si>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</si>
  <si>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</si>
  <si>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</si>
  <si>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</si>
  <si>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</si>
  <si>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</si>
  <si>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</si>
  <si>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</si>
  <si>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</si>
  <si>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</si>
  <si>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</si>
  <si>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</si>
  <si>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</si>
  <si>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</si>
  <si>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</si>
  <si>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</si>
  <si>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</si>
  <si>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</si>
  <si>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</si>
  <si>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</si>
  <si>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</si>
  <si>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</si>
  <si>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</si>
  <si>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</si>
  <si>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</si>
  <si>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</si>
  <si>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</si>
  <si>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</si>
  <si>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</si>
  <si>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</si>
  <si>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</si>
  <si>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</si>
  <si>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</si>
  <si>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</si>
  <si>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</si>
  <si>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</si>
  <si>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</si>
  <si>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</si>
  <si>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</si>
  <si>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</si>
  <si>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</si>
  <si>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</si>
  <si>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</si>
  <si>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</si>
  <si>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</si>
  <si>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</si>
  <si>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</si>
  <si>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</si>
  <si>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</si>
  <si>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</si>
  <si>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</si>
  <si>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</si>
  <si>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</si>
  <si>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</si>
  <si>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</si>
  <si>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</si>
  <si>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</si>
  <si>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</si>
  <si>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</si>
  <si>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</si>
  <si>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</si>
  <si>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</si>
  <si>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</si>
  <si>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</si>
  <si>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</si>
  <si>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</si>
  <si>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</si>
  <si>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</si>
  <si>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</si>
  <si>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</si>
  <si>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</si>
  <si>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</si>
  <si>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</si>
  <si>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</si>
  <si>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</si>
  <si>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</si>
  <si>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</si>
  <si>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</si>
  <si>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</si>
  <si>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</si>
  <si>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</si>
  <si>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</si>
  <si>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</si>
  <si>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</si>
  <si>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</si>
  <si>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</si>
  <si>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</si>
  <si>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</si>
  <si>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</si>
  <si>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</si>
  <si>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</si>
  <si>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</si>
  <si>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</si>
  <si>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</si>
  <si>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</si>
  <si>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</si>
  <si>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</si>
  <si>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</si>
  <si>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</si>
  <si>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</si>
  <si>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</si>
  <si>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</si>
  <si>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</si>
  <si>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</si>
  <si>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</si>
  <si>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</si>
  <si>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</si>
  <si>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</si>
  <si>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</si>
  <si>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</si>
  <si>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</si>
  <si>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</si>
  <si>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</si>
  <si>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</si>
  <si>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</si>
  <si>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</si>
  <si>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</si>
  <si>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</si>
  <si>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</si>
  <si>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</si>
  <si>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</si>
  <si>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</si>
  <si>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</si>
  <si>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</si>
  <si>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</si>
  <si>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</si>
  <si>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</si>
  <si>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</si>
  <si>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</si>
  <si>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</si>
  <si>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</si>
  <si>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</si>
  <si>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</si>
  <si>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</si>
  <si>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</si>
  <si>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</si>
  <si>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</si>
  <si>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</si>
  <si>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</si>
  <si>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</si>
  <si>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</si>
  <si>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</si>
  <si>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</si>
  <si>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</si>
  <si>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</si>
  <si>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</si>
  <si>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</si>
  <si>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</si>
  <si>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</si>
  <si>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</si>
  <si>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</si>
  <si>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</si>
  <si>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</si>
  <si>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</si>
  <si>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</si>
  <si>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</si>
  <si>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</si>
  <si>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</si>
  <si>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</si>
  <si>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</si>
  <si>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</si>
  <si>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</si>
  <si>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</si>
  <si>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</si>
  <si>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</si>
  <si>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</si>
  <si>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</si>
  <si>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</si>
  <si>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</si>
  <si>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</si>
  <si>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</si>
  <si>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</si>
  <si>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</si>
  <si>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</si>
  <si>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</si>
  <si>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</si>
  <si>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</si>
  <si>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</si>
  <si>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</si>
  <si>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</si>
  <si>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</si>
  <si>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</si>
  <si>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</si>
  <si>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</si>
  <si>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</si>
  <si>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</si>
  <si>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</si>
  <si>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</si>
  <si>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</si>
  <si>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</si>
  <si>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</si>
  <si>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</si>
  <si>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</si>
  <si>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</si>
  <si>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</si>
  <si>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</si>
  <si>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</si>
  <si>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</si>
  <si>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</si>
  <si>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</si>
  <si>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</si>
  <si>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</si>
  <si>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</si>
  <si>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</si>
  <si>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</si>
  <si>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</si>
  <si>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</si>
  <si>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</si>
  <si>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</si>
  <si>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</si>
  <si>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</si>
  <si>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</si>
  <si>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</si>
  <si>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</si>
  <si>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</si>
  <si>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</si>
  <si>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</si>
  <si>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</si>
  <si>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</si>
  <si>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</si>
  <si>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</si>
  <si>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</si>
  <si>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</si>
  <si>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</si>
  <si>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</si>
  <si>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</si>
  <si>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</si>
  <si>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</si>
  <si>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</si>
  <si>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</si>
  <si>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</si>
  <si>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</si>
  <si>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</si>
  <si>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</si>
  <si>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</si>
  <si>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</si>
  <si>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</si>
  <si>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</si>
  <si>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</si>
  <si>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</si>
  <si>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</si>
  <si>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</si>
  <si>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</si>
  <si>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</si>
  <si>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</si>
  <si>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</si>
  <si>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</si>
  <si>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</si>
  <si>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</si>
  <si>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</si>
  <si>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</si>
  <si>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</si>
  <si>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</si>
  <si>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</si>
  <si>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</si>
  <si>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</si>
  <si>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</si>
  <si>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</si>
  <si>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</si>
  <si>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</si>
  <si>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</si>
  <si>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</si>
  <si>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</si>
  <si>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</si>
  <si>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</si>
  <si>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</si>
  <si>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</si>
  <si>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</si>
  <si>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</si>
  <si>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</si>
  <si>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</si>
  <si>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</si>
  <si>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</si>
  <si>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</si>
  <si>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</si>
  <si>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</si>
  <si>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</si>
  <si>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</si>
  <si>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</si>
  <si>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</si>
  <si>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</si>
  <si>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</si>
  <si>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</si>
  <si>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</si>
  <si>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</si>
  <si>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</si>
  <si>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</si>
  <si>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</si>
  <si>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</si>
  <si>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</si>
  <si>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</si>
  <si>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</si>
  <si>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</si>
  <si>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</si>
  <si>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</si>
  <si>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</si>
  <si>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</si>
  <si>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</si>
  <si>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</si>
  <si>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</si>
  <si>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</si>
  <si>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</si>
  <si>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</si>
  <si>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</si>
  <si>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</si>
  <si>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</si>
  <si>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</si>
  <si>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</si>
  <si>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</si>
  <si>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</si>
  <si>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</si>
  <si>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</si>
  <si>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</si>
  <si>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</si>
  <si>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</si>
  <si>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</si>
  <si>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</si>
  <si>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</si>
  <si>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</si>
  <si>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</si>
  <si>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</si>
  <si>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</si>
  <si>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</si>
  <si>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</si>
  <si>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</si>
  <si>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</si>
  <si>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</si>
  <si>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</si>
  <si>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</si>
  <si>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</si>
  <si>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</si>
  <si>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</si>
  <si>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</si>
  <si>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</si>
  <si>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</si>
  <si>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</si>
  <si>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</si>
  <si>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</si>
  <si>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</si>
  <si>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</si>
  <si>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</si>
  <si>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</si>
  <si>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</si>
  <si>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</si>
  <si>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</si>
  <si>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</si>
  <si>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</si>
  <si>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</si>
  <si>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</si>
  <si>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</si>
  <si>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</si>
  <si>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</si>
  <si>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</si>
  <si>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</si>
  <si>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</si>
  <si>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</si>
  <si>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</si>
  <si>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</si>
  <si>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</si>
  <si>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</si>
  <si>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</si>
  <si>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</si>
  <si>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</si>
  <si>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</si>
  <si>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</si>
  <si>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</si>
  <si>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</si>
  <si>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</si>
  <si>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</si>
  <si>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</si>
  <si>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</si>
  <si>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</si>
  <si>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</si>
  <si>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</si>
  <si>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</si>
  <si>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</si>
  <si>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</si>
  <si>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</si>
  <si>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</si>
  <si>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</si>
  <si>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</si>
  <si>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</si>
  <si>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</si>
  <si>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</si>
  <si>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</si>
  <si>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</si>
  <si>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</si>
  <si>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</si>
  <si>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</si>
  <si>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</si>
  <si>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</si>
  <si>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</si>
  <si>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</si>
  <si>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</si>
  <si>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</si>
  <si>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</si>
  <si>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</si>
  <si>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</si>
  <si>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</si>
  <si>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</si>
  <si>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</si>
  <si>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</si>
  <si>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</si>
  <si>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</si>
  <si>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</si>
  <si>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</si>
  <si>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</si>
  <si>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</si>
  <si>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</si>
  <si>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</si>
  <si>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</si>
  <si>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</si>
  <si>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</si>
  <si>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</si>
  <si>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</si>
  <si>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</si>
  <si>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</si>
  <si>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</si>
  <si>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</si>
  <si>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</si>
  <si>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</si>
  <si>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</si>
  <si>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</si>
  <si>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</si>
  <si>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</si>
  <si>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</si>
  <si>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</si>
  <si>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</si>
  <si>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</si>
  <si>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</si>
  <si>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</si>
  <si>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</si>
  <si>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</si>
  <si>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</si>
  <si>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</si>
  <si>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</si>
  <si>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</si>
  <si>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</si>
  <si>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</si>
  <si>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</si>
  <si>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</si>
  <si>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</si>
  <si>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</si>
  <si>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</si>
  <si>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</si>
  <si>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</si>
  <si>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</si>
  <si>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</si>
  <si>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</si>
  <si>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</si>
  <si>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</si>
  <si>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</si>
  <si>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</si>
  <si>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</si>
  <si>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</si>
  <si>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</si>
  <si>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</si>
  <si>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</si>
  <si>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</si>
  <si>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</si>
  <si>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</si>
  <si>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</si>
  <si>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</si>
  <si>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</si>
  <si>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</si>
  <si>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</si>
  <si>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</si>
  <si>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</si>
  <si>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</si>
  <si>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</si>
  <si>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</si>
  <si>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</si>
  <si>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</si>
  <si>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</si>
  <si>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</si>
  <si>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</si>
  <si>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</si>
  <si>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</si>
  <si>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</si>
  <si>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</si>
  <si>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</si>
  <si>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</si>
  <si>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</si>
  <si>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</si>
  <si>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</si>
  <si>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</si>
  <si>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</si>
  <si>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</si>
  <si>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</si>
  <si>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</si>
  <si>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</si>
  <si>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</si>
  <si>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</si>
  <si>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</si>
  <si>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</si>
  <si>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</si>
  <si>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</si>
  <si>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</si>
  <si>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</si>
  <si>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</si>
  <si>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</si>
  <si>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</si>
  <si>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</si>
  <si>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</si>
  <si>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</si>
  <si>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</si>
  <si>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</si>
  <si>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</si>
  <si>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</si>
  <si>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</si>
  <si>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</si>
  <si>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</si>
  <si>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</si>
  <si>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</si>
  <si>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</si>
  <si>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</si>
  <si>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</si>
  <si>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</si>
  <si>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</si>
  <si>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</si>
  <si>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</si>
  <si>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</si>
  <si>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</si>
  <si>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</si>
  <si>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</si>
  <si>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</si>
  <si>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</si>
  <si>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</si>
  <si>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</si>
  <si>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</si>
  <si>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</si>
  <si>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</si>
  <si>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</si>
  <si>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</si>
  <si>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</si>
  <si>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</si>
  <si>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</si>
  <si>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</si>
  <si>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</si>
  <si>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</si>
  <si>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</si>
  <si>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</si>
  <si>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</si>
  <si>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</si>
  <si>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</si>
  <si>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</si>
  <si>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</si>
  <si>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</si>
  <si>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</si>
  <si>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</si>
  <si>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</si>
  <si>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</si>
  <si>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</si>
  <si>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</si>
  <si>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</si>
  <si>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</si>
  <si>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</si>
  <si>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</si>
  <si>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</si>
  <si>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</si>
  <si>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</si>
  <si>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</si>
  <si>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</si>
  <si>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</si>
  <si>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</si>
  <si>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</si>
  <si>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</si>
  <si>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</si>
  <si>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</si>
  <si>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</si>
  <si>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</si>
  <si>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</si>
  <si>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</si>
  <si>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</si>
  <si>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</si>
  <si>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</si>
  <si>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</si>
  <si>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</si>
  <si>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</si>
  <si>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</si>
  <si>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</si>
  <si>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</si>
  <si>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</si>
  <si>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</si>
  <si>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</si>
  <si>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</si>
  <si>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</si>
  <si>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</si>
  <si>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</si>
  <si>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</si>
  <si>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</si>
  <si>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</si>
  <si>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</si>
  <si>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</si>
  <si>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</si>
  <si>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</si>
  <si>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</si>
  <si>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</si>
  <si>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</si>
  <si>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</si>
  <si>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</si>
  <si>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</si>
  <si>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</si>
  <si>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</si>
  <si>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</si>
  <si>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</si>
  <si>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</si>
  <si>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</si>
  <si>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</si>
  <si>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</si>
  <si>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</si>
  <si>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</si>
  <si>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</si>
  <si>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</si>
  <si>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</si>
  <si>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</si>
  <si>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</si>
  <si>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</si>
  <si>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</si>
  <si>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</si>
  <si>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</si>
  <si>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</si>
  <si>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</si>
  <si>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</si>
  <si>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</si>
  <si>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</si>
  <si>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</si>
  <si>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</si>
  <si>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</si>
  <si>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</si>
  <si>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</si>
  <si>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</si>
  <si>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</si>
  <si>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</si>
  <si>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</si>
  <si>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</si>
  <si>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</si>
  <si>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</si>
  <si>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</si>
  <si>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</si>
  <si>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</si>
  <si>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</si>
  <si>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</si>
  <si>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</si>
  <si>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</si>
  <si>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</si>
  <si>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</si>
  <si>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</si>
  <si>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</si>
  <si>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</si>
  <si>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</si>
  <si>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</si>
  <si>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</si>
  <si>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</si>
  <si>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</si>
  <si>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</si>
  <si>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</si>
  <si>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</si>
  <si>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</si>
  <si>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</si>
  <si>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</si>
  <si>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</si>
  <si>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</si>
  <si>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</si>
  <si>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</si>
  <si>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</si>
  <si>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</si>
  <si>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</si>
  <si>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</si>
  <si>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</si>
  <si>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</si>
  <si>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</si>
  <si>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</si>
  <si>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</si>
  <si>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</si>
  <si>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</si>
  <si>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</si>
  <si>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</si>
  <si>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</si>
  <si>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</si>
  <si>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</si>
  <si>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</si>
  <si>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</si>
  <si>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</si>
  <si>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</si>
  <si>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</si>
  <si>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</si>
  <si>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</si>
  <si>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</si>
  <si>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</si>
  <si>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</si>
  <si>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</si>
  <si>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</si>
  <si>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</si>
  <si>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</si>
  <si>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</si>
  <si>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</si>
  <si>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</si>
  <si>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</si>
  <si>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</si>
  <si>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</si>
  <si>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</si>
  <si>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</si>
  <si>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</si>
  <si>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</si>
  <si>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</si>
  <si>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</si>
  <si>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</si>
  <si>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</si>
  <si>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</si>
  <si>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</si>
  <si>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</si>
  <si>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</si>
  <si>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</si>
  <si>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</si>
  <si>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</si>
  <si>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</si>
  <si>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</si>
  <si>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</si>
  <si>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</si>
  <si>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</si>
  <si>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</si>
  <si>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</si>
  <si>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</si>
  <si>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</si>
  <si>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</si>
  <si>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</si>
  <si>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</si>
  <si>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</si>
  <si>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</si>
  <si>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</si>
  <si>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</si>
  <si>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</si>
  <si>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</si>
  <si>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</si>
  <si>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</si>
  <si>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</si>
  <si>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</si>
  <si>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</si>
  <si>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</si>
  <si>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</si>
  <si>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</si>
  <si>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</si>
  <si>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</si>
  <si>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</si>
  <si>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</si>
  <si>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</si>
  <si>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</si>
  <si>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</si>
  <si>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</si>
  <si>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</si>
  <si>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</si>
  <si>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</si>
  <si>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</si>
  <si>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</si>
  <si>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</si>
  <si>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</si>
  <si>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</si>
  <si>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</si>
  <si>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</si>
  <si>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</si>
  <si>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</si>
  <si>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</si>
  <si>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</si>
  <si>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</si>
  <si>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</si>
  <si>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</si>
  <si>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</si>
  <si>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</si>
  <si>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</si>
  <si>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</si>
  <si>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</si>
  <si>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</si>
  <si>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</si>
  <si>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</si>
  <si>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</si>
  <si>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</si>
  <si>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</si>
  <si>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</si>
  <si>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</si>
  <si>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</si>
  <si>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</si>
  <si>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</si>
  <si>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</si>
  <si>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</si>
  <si>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</si>
  <si>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</si>
  <si>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</si>
  <si>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</si>
  <si>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</si>
  <si>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</si>
  <si>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</si>
  <si>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</si>
  <si>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</si>
  <si>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</si>
  <si>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</si>
  <si>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</si>
  <si>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</si>
  <si>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</si>
  <si>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</si>
  <si>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</si>
  <si>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</si>
  <si>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</si>
  <si>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</si>
  <si>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</si>
  <si>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</si>
  <si>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</si>
  <si>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</si>
  <si>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</si>
  <si>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</si>
  <si>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</si>
  <si>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</si>
  <si>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</si>
  <si>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</si>
  <si>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</si>
  <si>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</si>
  <si>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</si>
  <si>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</si>
  <si>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</si>
  <si>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</si>
  <si>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</si>
  <si>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</si>
  <si>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</si>
  <si>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</si>
  <si>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</si>
  <si>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</si>
  <si>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</si>
  <si>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</si>
  <si>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</si>
  <si>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</si>
  <si>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</si>
  <si>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</si>
  <si>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</si>
  <si>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</si>
  <si>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</si>
  <si>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</si>
  <si>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</si>
  <si>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</si>
  <si>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</si>
  <si>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</si>
  <si>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</si>
  <si>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</si>
  <si>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</si>
  <si>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</si>
  <si>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</si>
  <si>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</si>
  <si>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</si>
  <si>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</si>
  <si>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</si>
  <si>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</si>
  <si>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</si>
  <si>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</si>
  <si>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</si>
  <si>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</si>
  <si>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</si>
  <si>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</si>
  <si>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</si>
  <si>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</si>
  <si>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</si>
  <si>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</si>
  <si>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</si>
  <si>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</si>
  <si>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</si>
  <si>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</si>
  <si>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</si>
  <si>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</si>
  <si>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</si>
  <si>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</si>
  <si>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</si>
  <si>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</si>
  <si>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</si>
  <si>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</si>
  <si>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</si>
  <si>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</si>
  <si>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</si>
  <si>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</si>
  <si>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</si>
  <si>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</si>
  <si>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</si>
  <si>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</si>
  <si>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</si>
  <si>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</si>
  <si>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</si>
  <si>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</si>
  <si>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</si>
  <si>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</si>
  <si>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</si>
  <si>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</si>
  <si>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</si>
  <si>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</si>
  <si>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</si>
  <si>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</si>
  <si>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</si>
  <si>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</si>
  <si>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</si>
  <si>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</si>
  <si>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</si>
  <si>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</si>
  <si>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</si>
  <si>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</si>
  <si>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</si>
  <si>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</si>
  <si>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</si>
  <si>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</si>
  <si>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</si>
  <si>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</si>
  <si>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</si>
  <si>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</si>
  <si>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</si>
  <si>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</si>
  <si>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</si>
  <si>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</si>
  <si>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</si>
  <si>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</si>
  <si>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</si>
  <si>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</si>
  <si>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</si>
  <si>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</si>
  <si>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</si>
  <si>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</si>
  <si>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</si>
  <si>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</si>
  <si>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</si>
  <si>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</si>
  <si>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</si>
  <si>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</si>
  <si>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</si>
  <si>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</si>
  <si>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</si>
  <si>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</si>
  <si>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</si>
  <si>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</si>
  <si>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</si>
  <si>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</si>
  <si>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</si>
  <si>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</si>
  <si>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</si>
  <si>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</si>
  <si>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</si>
  <si>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</si>
  <si>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</si>
  <si>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</si>
  <si>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</si>
  <si>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</si>
  <si>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</si>
  <si>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</si>
  <si>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</si>
  <si>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</si>
  <si>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</si>
  <si>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</si>
  <si>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</si>
  <si>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</si>
  <si>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</si>
  <si>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</si>
  <si>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</si>
  <si>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</si>
  <si>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</si>
  <si>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</si>
  <si>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</si>
  <si>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</si>
  <si>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</si>
  <si>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</si>
  <si>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</si>
  <si>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</si>
  <si>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</si>
  <si>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</si>
  <si>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</si>
  <si>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</si>
  <si>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</si>
  <si>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</si>
  <si>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</si>
  <si>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</si>
  <si>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</si>
  <si>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</si>
  <si>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</si>
  <si>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</si>
  <si>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</si>
  <si>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</si>
  <si>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</si>
  <si>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</si>
  <si>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</si>
  <si>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</si>
  <si>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</si>
  <si>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</si>
  <si>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</si>
  <si>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</si>
  <si>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</si>
  <si>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</si>
  <si>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</si>
  <si>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</si>
  <si>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</si>
  <si>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</si>
  <si>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</si>
  <si>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</si>
  <si>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</si>
  <si>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</si>
  <si>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</si>
  <si>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</si>
  <si>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</si>
  <si>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</si>
  <si>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</si>
  <si>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</si>
  <si>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</si>
  <si>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</si>
  <si>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</si>
  <si>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</si>
  <si>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</si>
  <si>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</si>
  <si>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</si>
  <si>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</si>
  <si>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</si>
  <si>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</si>
  <si>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</si>
  <si>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</si>
  <si>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</si>
  <si>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</si>
  <si>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</si>
  <si>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</si>
  <si>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</si>
  <si>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</si>
  <si>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</si>
  <si>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</si>
  <si>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</si>
  <si>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</si>
  <si>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</si>
  <si>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</si>
  <si>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</si>
  <si>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</si>
  <si>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</si>
  <si>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</si>
  <si>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</si>
  <si>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</si>
  <si>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</si>
  <si>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</si>
  <si>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</si>
  <si>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</si>
  <si>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</si>
  <si>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</si>
  <si>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</si>
  <si>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</si>
  <si>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</si>
  <si>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</si>
  <si>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</si>
  <si>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</si>
  <si>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</si>
  <si>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</si>
  <si>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</si>
  <si>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</si>
  <si>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</si>
  <si>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</si>
  <si>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</si>
  <si>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</si>
  <si>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</si>
  <si>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</si>
  <si>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</si>
  <si>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</si>
  <si>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</si>
  <si>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</si>
  <si>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</si>
  <si>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</si>
  <si>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</si>
  <si>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</si>
  <si>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</si>
  <si>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</si>
  <si>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</si>
  <si>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</si>
  <si>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</si>
  <si>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</si>
  <si>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</si>
  <si>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</si>
  <si>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</si>
  <si>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</si>
  <si>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</si>
  <si>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</si>
  <si>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</si>
  <si>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</si>
  <si>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</si>
  <si>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</si>
  <si>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</si>
  <si>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</si>
  <si>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</si>
  <si>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</si>
  <si>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</si>
  <si>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</si>
  <si>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</si>
  <si>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</si>
  <si>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</si>
  <si>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</si>
  <si>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</si>
  <si>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</si>
  <si>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</si>
  <si>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</si>
  <si>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</si>
  <si>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</si>
  <si>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</si>
  <si>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</si>
  <si>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</si>
  <si>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</si>
  <si>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</si>
  <si>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</si>
  <si>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</si>
  <si>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</si>
  <si>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</si>
  <si>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</si>
  <si>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</si>
  <si>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</si>
  <si>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</si>
  <si>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</si>
  <si>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</si>
  <si>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</si>
  <si>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</si>
  <si>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</si>
  <si>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</si>
  <si>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</si>
  <si>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</si>
  <si>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</si>
  <si>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</si>
  <si>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</si>
  <si>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</si>
  <si>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</si>
  <si>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</si>
  <si>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</si>
  <si>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</si>
  <si>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</si>
  <si>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</si>
  <si>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</si>
  <si>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</si>
  <si>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</si>
  <si>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</si>
  <si>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</si>
  <si>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</si>
  <si>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</si>
  <si>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</si>
  <si>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</si>
  <si>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</si>
  <si>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</si>
  <si>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</si>
  <si>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</si>
  <si>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</si>
  <si>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</si>
  <si>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</si>
  <si>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</si>
  <si>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</si>
  <si>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</si>
  <si>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</si>
  <si>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</si>
  <si>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</si>
  <si>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</si>
  <si>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</si>
  <si>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</si>
  <si>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</si>
  <si>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</si>
  <si>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</si>
  <si>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</si>
  <si>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</si>
  <si>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</si>
  <si>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</si>
  <si>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</si>
  <si>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</si>
  <si>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</si>
  <si>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</si>
  <si>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</si>
  <si>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</si>
  <si>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</si>
  <si>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</si>
  <si>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</si>
  <si>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</si>
  <si>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</si>
  <si>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</si>
  <si>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</si>
  <si>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</si>
  <si>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</si>
  <si>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</si>
  <si>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</si>
  <si>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</si>
  <si>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</si>
  <si>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</si>
  <si>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</si>
  <si>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</si>
  <si>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</si>
  <si>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</si>
  <si>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</si>
  <si>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</si>
  <si>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</si>
  <si>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</si>
  <si>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</si>
  <si>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</si>
  <si>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</si>
  <si>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</si>
  <si>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</si>
  <si>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</si>
  <si>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</si>
  <si>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</si>
  <si>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</si>
  <si>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</si>
  <si>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</si>
  <si>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</si>
  <si>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</si>
  <si>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</si>
  <si>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</si>
  <si>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</si>
  <si>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</si>
  <si>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</si>
  <si>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</si>
  <si>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</si>
  <si>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</si>
  <si>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</si>
  <si>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</si>
  <si>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</si>
  <si>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</si>
  <si>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</si>
  <si>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</si>
  <si>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</si>
  <si>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</si>
  <si>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</si>
  <si>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</si>
  <si>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</si>
  <si>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</si>
  <si>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</si>
  <si>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</si>
  <si>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</si>
  <si>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</si>
  <si>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</si>
  <si>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</si>
  <si>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</si>
  <si>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</si>
  <si>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</si>
  <si>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</si>
  <si>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</si>
  <si>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</si>
  <si>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</si>
  <si>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</si>
  <si>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</si>
  <si>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</si>
  <si>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</si>
  <si>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</si>
  <si>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</si>
  <si>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</si>
  <si>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</si>
  <si>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</si>
  <si>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</si>
  <si>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</si>
  <si>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</si>
  <si>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</si>
  <si>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</si>
  <si>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</si>
  <si>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</si>
  <si>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</si>
  <si>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</si>
  <si>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</si>
  <si>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</si>
  <si>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</si>
  <si>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</si>
  <si>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</si>
  <si>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</si>
  <si>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</si>
  <si>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</si>
  <si>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</si>
  <si>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</si>
  <si>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</si>
  <si>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</si>
  <si>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</si>
  <si>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</si>
  <si>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</si>
  <si>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</si>
  <si>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</si>
  <si>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</si>
  <si>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</si>
  <si>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</si>
  <si>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</si>
  <si>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</si>
  <si>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</si>
  <si>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</si>
  <si>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</si>
  <si>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</si>
  <si>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</si>
  <si>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</si>
  <si>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</si>
  <si>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</si>
  <si>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</si>
  <si>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</si>
  <si>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</si>
  <si>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</si>
  <si>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</si>
  <si>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</si>
  <si>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</si>
  <si>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</si>
  <si>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</si>
  <si>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</si>
  <si>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</si>
  <si>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</si>
  <si>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</si>
  <si>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</si>
  <si>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</si>
  <si>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</si>
  <si>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</si>
  <si>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</si>
  <si>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</si>
  <si>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</si>
  <si>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</si>
  <si>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</si>
  <si>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</si>
  <si>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</si>
  <si>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</si>
  <si>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</si>
  <si>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</si>
  <si>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</si>
  <si>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</si>
  <si>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</si>
  <si>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</si>
  <si>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</si>
  <si>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</si>
  <si>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</si>
  <si>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</si>
  <si>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</si>
  <si>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</si>
  <si>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</si>
  <si>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</si>
  <si>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</si>
  <si>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</si>
  <si>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</si>
  <si>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</si>
  <si>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</si>
  <si>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</si>
  <si>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</si>
  <si>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</si>
  <si>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</si>
  <si>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</si>
  <si>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</si>
  <si>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</si>
  <si>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</si>
  <si>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</si>
  <si>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</si>
  <si>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</si>
  <si>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</si>
  <si>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</si>
  <si>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</si>
  <si>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</si>
  <si>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</si>
  <si>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</si>
  <si>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</si>
  <si>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</si>
  <si>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</si>
  <si>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</si>
  <si>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</si>
  <si>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</si>
  <si>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</si>
  <si>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</si>
  <si>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</si>
  <si>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</si>
  <si>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</si>
  <si>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</si>
  <si>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</si>
  <si>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</si>
  <si>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</si>
  <si>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</si>
  <si>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</si>
  <si>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</si>
  <si>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</si>
  <si>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</si>
  <si>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</si>
  <si>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</si>
  <si>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</si>
  <si>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</si>
  <si>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</si>
  <si>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</si>
  <si>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</si>
  <si>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</si>
  <si>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</si>
  <si>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</si>
  <si>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</si>
  <si>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</si>
  <si>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</si>
  <si>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</si>
  <si>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</si>
  <si>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</si>
  <si>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</si>
  <si>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</si>
  <si>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</si>
  <si>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</si>
  <si>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</si>
  <si>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</si>
  <si>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</si>
  <si>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</si>
  <si>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</si>
  <si>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</si>
  <si>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</si>
  <si>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</si>
  <si>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</si>
  <si>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</si>
  <si>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</si>
  <si>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</si>
  <si>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</si>
  <si>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</si>
  <si>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</si>
  <si>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</si>
  <si>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</si>
  <si>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</si>
  <si>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</si>
  <si>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</si>
  <si>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</si>
  <si>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</si>
  <si>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</si>
  <si>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</si>
  <si>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</si>
  <si>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</si>
  <si>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</si>
  <si>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</si>
  <si>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</si>
  <si>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</si>
  <si>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</si>
  <si>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</si>
  <si>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</si>
  <si>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</si>
  <si>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</si>
  <si>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</si>
  <si>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</si>
  <si>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</si>
  <si>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</si>
  <si>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</si>
  <si>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</si>
  <si>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</si>
  <si>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</si>
  <si>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</si>
  <si>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</si>
  <si>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</si>
  <si>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</si>
  <si>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</si>
  <si>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</si>
  <si>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</si>
  <si>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</si>
  <si>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</si>
  <si>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</si>
  <si>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</si>
  <si>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</si>
  <si>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</si>
  <si>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</si>
  <si>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</si>
  <si>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</si>
  <si>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</si>
  <si>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</si>
  <si>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</si>
  <si>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</si>
  <si>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</si>
  <si>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</si>
  <si>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</si>
  <si>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</si>
  <si>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</si>
  <si>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</si>
  <si>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</si>
  <si>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</si>
  <si>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</si>
  <si>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</si>
  <si>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</si>
  <si>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</si>
  <si>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</si>
  <si>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</si>
  <si>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</si>
  <si>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</si>
  <si>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</si>
  <si>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</si>
  <si>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</si>
  <si>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</si>
  <si>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</si>
  <si>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</si>
  <si>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</si>
  <si>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</si>
  <si>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</si>
  <si>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</si>
  <si>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</si>
  <si>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</si>
  <si>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</si>
  <si>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</si>
  <si>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</si>
  <si>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</si>
  <si>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</si>
  <si>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</si>
  <si>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</si>
  <si>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</si>
  <si>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</si>
  <si>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</si>
  <si>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</si>
  <si>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</si>
  <si>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</si>
  <si>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</si>
  <si>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</si>
  <si>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</si>
  <si>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</si>
  <si>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</si>
  <si>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</si>
  <si>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</si>
  <si>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</si>
  <si>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</si>
  <si>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</si>
  <si>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</si>
  <si>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</si>
  <si>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</si>
  <si>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</si>
  <si>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</si>
  <si>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</si>
  <si>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</si>
  <si>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</si>
  <si>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</si>
  <si>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</si>
  <si>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</si>
  <si>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</si>
  <si>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</si>
  <si>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</si>
  <si>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</si>
  <si>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</si>
  <si>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</si>
  <si>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</si>
  <si>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</si>
  <si>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</si>
  <si>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</si>
  <si>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</si>
  <si>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</si>
  <si>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</si>
  <si>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</si>
  <si>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</si>
  <si>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</si>
  <si>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</si>
  <si>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</si>
  <si>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</si>
  <si>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</si>
  <si>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</si>
  <si>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</si>
  <si>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</si>
  <si>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</si>
  <si>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</si>
  <si>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</si>
  <si>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</si>
  <si>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</si>
  <si>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</si>
  <si>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</si>
  <si>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</si>
  <si>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</si>
  <si>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</si>
  <si>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</si>
  <si>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</si>
  <si>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</si>
  <si>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</si>
  <si>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</si>
  <si>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</si>
  <si>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</si>
  <si>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</si>
  <si>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</si>
  <si>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</si>
  <si>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</si>
  <si>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</si>
  <si>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</si>
  <si>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</si>
  <si>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</si>
  <si>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</si>
  <si>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</si>
  <si>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</si>
  <si>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</si>
  <si>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</si>
  <si>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</si>
  <si>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</si>
  <si>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</si>
  <si>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</si>
  <si>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</si>
  <si>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</si>
  <si>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</si>
  <si>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</si>
  <si>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</si>
  <si>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</si>
  <si>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</si>
  <si>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</si>
  <si>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</si>
  <si>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</si>
  <si>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</si>
  <si>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</si>
  <si>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</si>
  <si>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</si>
  <si>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</si>
  <si>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</si>
  <si>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</si>
  <si>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</si>
  <si>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</si>
  <si>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</si>
  <si>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</si>
  <si>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</si>
  <si>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</si>
  <si>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</si>
  <si>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</si>
  <si>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</si>
  <si>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</si>
  <si>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</si>
  <si>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</si>
  <si>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</si>
  <si>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</si>
  <si>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</si>
  <si>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</si>
  <si>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</si>
  <si>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</si>
  <si>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</si>
  <si>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</si>
  <si>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</si>
  <si>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</si>
  <si>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</si>
  <si>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</si>
  <si>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</si>
  <si>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</si>
  <si>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</si>
  <si>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</si>
  <si>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</si>
  <si>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</si>
  <si>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</si>
  <si>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</si>
  <si>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</si>
  <si>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</si>
  <si>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</si>
  <si>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</si>
  <si>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</si>
  <si>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</si>
  <si>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</si>
  <si>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</si>
  <si>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</si>
  <si>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</si>
  <si>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</si>
  <si>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</si>
  <si>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</si>
  <si>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</si>
  <si>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</si>
  <si>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</si>
  <si>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</si>
  <si>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</si>
  <si>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</si>
  <si>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</si>
  <si>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</si>
  <si>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</si>
  <si>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</si>
  <si>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</si>
  <si>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</si>
  <si>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</si>
  <si>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</si>
  <si>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</si>
  <si>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</si>
  <si>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</si>
  <si>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</si>
  <si>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</si>
  <si>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</si>
  <si>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</si>
  <si>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</si>
  <si>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</si>
  <si>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</si>
  <si>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</si>
  <si>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</si>
  <si>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</si>
  <si>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</si>
  <si>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</si>
  <si>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</si>
  <si>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</si>
  <si>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</si>
  <si>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</si>
  <si>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</si>
  <si>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</si>
  <si>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</si>
  <si>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</si>
  <si>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</si>
  <si>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</si>
  <si>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</si>
  <si>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</si>
  <si>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</si>
  <si>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</si>
  <si>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</si>
  <si>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</si>
  <si>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</si>
  <si>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</si>
  <si>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</si>
  <si>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</si>
  <si>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</si>
  <si>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</si>
  <si>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</si>
  <si>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</si>
  <si>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</si>
  <si>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</si>
  <si>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</si>
  <si>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</si>
  <si>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</si>
  <si>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</si>
  <si>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</si>
  <si>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</si>
  <si>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</si>
  <si>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</si>
  <si>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</si>
  <si>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</si>
  <si>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</si>
  <si>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</si>
  <si>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</si>
  <si>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</si>
  <si>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</si>
  <si>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</si>
  <si>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</si>
  <si>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</si>
  <si>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</si>
  <si>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</si>
  <si>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</si>
  <si>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</si>
  <si>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</si>
  <si>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</si>
  <si>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</si>
  <si>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</si>
  <si>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</si>
  <si>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</si>
  <si>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</si>
  <si>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</si>
  <si>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</si>
  <si>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</si>
  <si>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</si>
  <si>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</si>
  <si>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</si>
  <si>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</si>
  <si>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</si>
  <si>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</si>
  <si>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</si>
  <si>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</si>
  <si>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</si>
  <si>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</si>
  <si>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</si>
  <si>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</si>
  <si>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</si>
  <si>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</si>
  <si>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</si>
  <si>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</si>
  <si>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</si>
  <si>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</si>
  <si>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</si>
  <si>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</si>
  <si>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</si>
  <si>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</si>
  <si>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</si>
  <si>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</si>
  <si>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</si>
  <si>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</si>
  <si>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</si>
  <si>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</si>
  <si>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</si>
  <si>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</si>
  <si>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</si>
  <si>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</si>
  <si>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</si>
  <si>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</si>
  <si>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</si>
  <si>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</si>
  <si>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</si>
  <si>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</si>
  <si>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</si>
  <si>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</si>
  <si>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</si>
  <si>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</si>
  <si>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</si>
  <si>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</si>
  <si>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</si>
  <si>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</si>
  <si>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</si>
  <si>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</si>
  <si>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</si>
  <si>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</si>
  <si>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</si>
  <si>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</si>
  <si>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</si>
  <si>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</si>
  <si>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</si>
  <si>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</si>
  <si>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</si>
  <si>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</si>
  <si>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</si>
  <si>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</si>
  <si>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</si>
  <si>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</si>
  <si>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</si>
  <si>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</si>
  <si>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</si>
  <si>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</si>
  <si>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</si>
  <si>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</si>
  <si>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</si>
  <si>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</si>
  <si>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</si>
  <si>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</si>
  <si>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</si>
  <si>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</si>
  <si>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</si>
  <si>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</si>
  <si>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</si>
  <si>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</si>
  <si>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</si>
  <si>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</si>
  <si>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</si>
  <si>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</si>
  <si>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</si>
  <si>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</si>
  <si>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</si>
  <si>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</si>
  <si>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</si>
  <si>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</si>
  <si>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</si>
  <si>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</si>
  <si>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</si>
  <si>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</si>
  <si>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</si>
  <si>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</si>
  <si>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</si>
  <si>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</si>
  <si>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</si>
  <si>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</si>
  <si>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</si>
  <si>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</si>
  <si>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</si>
  <si>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</si>
  <si>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</si>
  <si>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</si>
  <si>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</si>
  <si>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</si>
  <si>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</si>
  <si>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</si>
  <si>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</si>
  <si>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</si>
  <si>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</si>
  <si>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</si>
  <si>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</si>
  <si>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</si>
  <si>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</si>
  <si>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</si>
  <si>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</si>
  <si>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</si>
  <si>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</si>
  <si>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</si>
  <si>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</si>
  <si>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</si>
  <si>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</si>
  <si>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</si>
  <si>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</si>
  <si>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</si>
  <si>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</si>
  <si>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</si>
  <si>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</si>
  <si>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</si>
  <si>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</si>
  <si>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</si>
  <si>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</si>
  <si>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</si>
  <si>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</si>
  <si>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</si>
  <si>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</si>
  <si>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</si>
  <si>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</si>
  <si>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</si>
  <si>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</si>
  <si>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</si>
  <si>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</si>
  <si>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</si>
  <si>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</si>
  <si>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</si>
  <si>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</si>
  <si>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</si>
  <si>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</si>
  <si>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</si>
  <si>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</si>
  <si>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</si>
  <si>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</si>
  <si>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</si>
  <si>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</si>
  <si>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</si>
  <si>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</si>
  <si>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</si>
  <si>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</si>
  <si>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</si>
  <si>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</si>
  <si>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</si>
  <si>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</si>
  <si>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</si>
  <si>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</si>
  <si>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</si>
  <si>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</si>
  <si>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</si>
  <si>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</si>
  <si>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</si>
  <si>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</si>
  <si>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</si>
  <si>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</si>
  <si>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</si>
  <si>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</si>
  <si>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</si>
  <si>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</si>
  <si>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</si>
  <si>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</si>
  <si>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</si>
  <si>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</si>
  <si>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</si>
  <si>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</si>
  <si>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</si>
  <si>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</si>
  <si>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</si>
  <si>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</si>
  <si>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</si>
  <si>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</si>
  <si>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</si>
  <si>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</si>
  <si>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</si>
  <si>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</si>
  <si>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</si>
  <si>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</si>
  <si>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</si>
  <si>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</si>
  <si>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</si>
  <si>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</si>
  <si>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</si>
  <si>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</si>
  <si>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</si>
  <si>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</si>
  <si>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</si>
  <si>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</si>
  <si>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</si>
  <si>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</si>
  <si>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</si>
  <si>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</si>
  <si>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</si>
  <si>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</si>
  <si>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</si>
  <si>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</si>
  <si>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</si>
  <si>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</si>
  <si>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</si>
  <si>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</si>
  <si>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</si>
  <si>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</si>
  <si>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</si>
  <si>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</si>
  <si>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</si>
  <si>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</si>
  <si>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</si>
  <si>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</si>
  <si>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</si>
  <si>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</si>
  <si>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</si>
  <si>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</si>
  <si>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</si>
  <si>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</si>
  <si>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</si>
  <si>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</si>
  <si>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</si>
  <si>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</si>
  <si>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</si>
  <si>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</si>
  <si>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</si>
  <si>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</si>
  <si>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</si>
  <si>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</si>
  <si>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</si>
  <si>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</si>
  <si>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</si>
  <si>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</si>
  <si>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</si>
  <si>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</si>
  <si>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</si>
  <si>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</si>
  <si>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</si>
  <si>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</si>
  <si>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</si>
  <si>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</si>
  <si>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</si>
  <si>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</si>
  <si>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</si>
  <si>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</si>
  <si>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</si>
  <si>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</si>
  <si>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</si>
  <si>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</si>
  <si>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</si>
  <si>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</si>
  <si>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</si>
  <si>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</si>
  <si>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</si>
  <si>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</si>
  <si>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</si>
  <si>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</si>
  <si>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</si>
  <si>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</si>
  <si>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</si>
  <si>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</si>
  <si>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</si>
  <si>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</si>
  <si>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</si>
  <si>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</si>
  <si>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</si>
  <si>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</si>
  <si>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</si>
  <si>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</si>
  <si>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</si>
  <si>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</si>
  <si>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</si>
  <si>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</si>
  <si>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</si>
  <si>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</si>
  <si>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</si>
  <si>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</si>
  <si>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</si>
  <si>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</si>
  <si>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</si>
  <si>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</si>
  <si>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</si>
  <si>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</si>
  <si>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</si>
  <si>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</si>
  <si>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</si>
  <si>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</si>
  <si>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</si>
  <si>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</si>
  <si>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</si>
  <si>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</si>
  <si>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</si>
  <si>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</si>
  <si>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</si>
  <si>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</si>
  <si>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</si>
  <si>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</si>
  <si>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</si>
  <si>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Grundy</t>
  </si>
  <si>
    <t>550 S. Carbon Hill Road</t>
  </si>
  <si>
    <t>Coal City</t>
  </si>
  <si>
    <t>jsmith@coalcityschools.org</t>
  </si>
  <si>
    <t>Dr. Kent Bugg</t>
  </si>
  <si>
    <t>kbugg@coalcityschools.org</t>
  </si>
  <si>
    <t>815-634-2287</t>
  </si>
  <si>
    <t>815-770-2088</t>
  </si>
  <si>
    <t>Mack &amp; Associates, P.C.</t>
  </si>
  <si>
    <t>Tawnya Mack, CPA</t>
  </si>
  <si>
    <t>116 E. Washington Street, Suite One</t>
  </si>
  <si>
    <t>Morris</t>
  </si>
  <si>
    <t>IL</t>
  </si>
  <si>
    <t>815-942-3306</t>
  </si>
  <si>
    <t>815-942-9430</t>
  </si>
  <si>
    <t>066-005100</t>
  </si>
  <si>
    <t>tmack@mackcpas.com</t>
  </si>
  <si>
    <t>2010 G.O. Bonds</t>
  </si>
  <si>
    <t>2016 G.O. Refunding Bonds</t>
  </si>
  <si>
    <t>2017 G.O. Refunding Bonds</t>
  </si>
  <si>
    <t>2018 G.O. Refunding Bonds</t>
  </si>
  <si>
    <t>Illinois Energy Consortium</t>
  </si>
  <si>
    <t>PMA Liquid Asset Fund</t>
  </si>
  <si>
    <t>Reed Custer District #255U; Wilmington CUSD 209U</t>
  </si>
  <si>
    <t>IL Central School Bus</t>
  </si>
  <si>
    <t>Grundy Area Vocational Center</t>
  </si>
  <si>
    <t>Page 10, Line 74 - Educational Fund: Misc food sales</t>
  </si>
  <si>
    <t>Page 10, Line 78 - Educational Fund: Musical, play and other event admissions</t>
  </si>
  <si>
    <t>Page 9, Line 17 - Educational Fund: Grundy EDPA and Dresen Agreement</t>
  </si>
  <si>
    <t>Page 15, Line 41 - Educational Fund: Resource officer and crossing guard expenditures</t>
  </si>
  <si>
    <t>Page 18,Line 171 - Debt Services Fund:  Fees</t>
  </si>
  <si>
    <t>Page 16, Line 56 - Education Fund: Dean of Students</t>
  </si>
  <si>
    <t>PDF in Opinion Page with signature</t>
  </si>
  <si>
    <t>Page 10, line 107 - Educational fund: Refunds, reimbursements, and misc receipts</t>
  </si>
  <si>
    <t>N/A</t>
  </si>
  <si>
    <t>US Dept of Agriculture</t>
  </si>
  <si>
    <t>Passed through ISBE:</t>
  </si>
  <si>
    <t xml:space="preserve">  National School Lunch - 2020</t>
  </si>
  <si>
    <t xml:space="preserve">  National School Lunch - 2019</t>
  </si>
  <si>
    <t>4210-2020</t>
  </si>
  <si>
    <t>4210-2019</t>
  </si>
  <si>
    <t xml:space="preserve">  National School Breakfast - 2020</t>
  </si>
  <si>
    <t xml:space="preserve">  National School Breakfast - 2019</t>
  </si>
  <si>
    <t>Total Child Nutrition Cluster</t>
  </si>
  <si>
    <t xml:space="preserve">  Lanter</t>
  </si>
  <si>
    <t xml:space="preserve">  Fruit and Veg</t>
  </si>
  <si>
    <t xml:space="preserve">  Special Milk Progrom -2020</t>
  </si>
  <si>
    <t xml:space="preserve">  Special Milk Progrom -2019</t>
  </si>
  <si>
    <t>4215-2020</t>
  </si>
  <si>
    <t>4215-2019</t>
  </si>
  <si>
    <t>4220-2020</t>
  </si>
  <si>
    <t>4220-2019</t>
  </si>
  <si>
    <t>4300-2020</t>
  </si>
  <si>
    <r>
      <t xml:space="preserve">The accompanying Schedule of Expenditures of Federal Awards includes the federal grant activity of </t>
    </r>
    <r>
      <rPr>
        <b/>
        <sz val="9"/>
        <rFont val="Calibri"/>
        <family val="2"/>
        <scheme val="minor"/>
      </rPr>
      <t>Coal City Community School District #1</t>
    </r>
    <r>
      <rPr>
        <sz val="9"/>
        <rFont val="Calibri"/>
        <family val="2"/>
        <scheme val="minor"/>
      </rPr>
      <t xml:space="preserve"> and is presented on the </t>
    </r>
    <r>
      <rPr>
        <b/>
        <sz val="9"/>
        <rFont val="Calibri"/>
        <family val="2"/>
        <scheme val="minor"/>
      </rPr>
      <t>Modified Cash Basis</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</si>
  <si>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Coal City Community School District #1</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</si>
  <si>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</si>
  <si>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Coal City Community School District #1</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</si>
  <si>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Unmodified</t>
  </si>
  <si>
    <t>10.553, 10.555, 10.556</t>
  </si>
  <si>
    <t>Child Nutrition Cluster</t>
  </si>
  <si>
    <t>Title I</t>
  </si>
  <si>
    <t>Forecast Analytics</t>
  </si>
  <si>
    <t>ED - Fiscal Services Support - Purchased Services</t>
  </si>
  <si>
    <t>Specialized Data Systems</t>
  </si>
  <si>
    <t>ED - Fiscal Services Support - Supplies</t>
  </si>
  <si>
    <t>ED - Fiscal Software - Supplies</t>
  </si>
  <si>
    <t>Frontline Technologies</t>
  </si>
  <si>
    <t>Allegra Coal City</t>
  </si>
  <si>
    <t>ED - Fiscal Services - Supplies</t>
  </si>
  <si>
    <t>Comercial Electronic Systems</t>
  </si>
  <si>
    <t>Oper - Care and Upkeep - Purchased Services</t>
  </si>
  <si>
    <t>Illinois Central School Bus</t>
  </si>
  <si>
    <t>TR-Pupil Transportation Services - Purchased Services</t>
  </si>
  <si>
    <t>Page 10, Line 81 - Education Fund:  Other Althletic income</t>
  </si>
  <si>
    <t>Page 10, Line 92 - Education Fund: Sale of equipment</t>
  </si>
  <si>
    <t>Page 16, Line 73 -Education Fund: Land purchase</t>
  </si>
  <si>
    <t>Page 19, Line 237 - SS/IMRF Fund: ALOP Aide</t>
  </si>
  <si>
    <t>Page 20, Line 278 - SS/IMRF Fund:  Budget Only</t>
  </si>
  <si>
    <t>4300-2019</t>
  </si>
  <si>
    <t>4400-2020</t>
  </si>
  <si>
    <t>4400-2019</t>
  </si>
  <si>
    <t>4600-2020</t>
  </si>
  <si>
    <t>4600-2019</t>
  </si>
  <si>
    <t>4620-2020</t>
  </si>
  <si>
    <t>4620-2019</t>
  </si>
  <si>
    <t>4932-2020</t>
  </si>
  <si>
    <t>84.425D</t>
  </si>
  <si>
    <t>4991-2020</t>
  </si>
  <si>
    <t>4991-2019</t>
  </si>
  <si>
    <t>Total SEFA</t>
  </si>
  <si>
    <t>Child Nutrition Cluster (M):</t>
  </si>
  <si>
    <t>US Dept of Education:</t>
  </si>
  <si>
    <t xml:space="preserve">  Illinois State Board of Education</t>
  </si>
  <si>
    <t xml:space="preserve">    Title I - 2020 (M)</t>
  </si>
  <si>
    <t xml:space="preserve">    Title I - 2019</t>
  </si>
  <si>
    <t>US Dept of Education (continued):</t>
  </si>
  <si>
    <t xml:space="preserve">  Illinois State Board of Education (Continued)</t>
  </si>
  <si>
    <t xml:space="preserve">    Title IVA - 2020</t>
  </si>
  <si>
    <t xml:space="preserve">    Title IVA - 2019</t>
  </si>
  <si>
    <t xml:space="preserve">    IDEA Preschool - 2020</t>
  </si>
  <si>
    <t xml:space="preserve">    IDEA Preschool - 2019</t>
  </si>
  <si>
    <t xml:space="preserve">    IDEA Flow Thrrough - 2020</t>
  </si>
  <si>
    <t xml:space="preserve">    IDEA Flow Thrrough - 2019</t>
  </si>
  <si>
    <t xml:space="preserve">    Title II - 2020</t>
  </si>
  <si>
    <t xml:space="preserve">    ESSER - 2020</t>
  </si>
  <si>
    <t>84.42D</t>
  </si>
  <si>
    <t>4998-2020</t>
  </si>
  <si>
    <t>Total US Dept of Education</t>
  </si>
  <si>
    <t>Total US Dept of Health &amp; Human Services</t>
  </si>
  <si>
    <t xml:space="preserve">    Medical Assistance - 2019</t>
  </si>
  <si>
    <t xml:space="preserve">    Medical Assistance - 2020</t>
  </si>
  <si>
    <t xml:space="preserve">  Illinois Dept Healthcare &amp; Family Services</t>
  </si>
  <si>
    <t>US Dept of Health &amp; Human Services</t>
  </si>
  <si>
    <t>McKinney Vento receipt included on prior year SEFA</t>
  </si>
  <si>
    <t>Coal City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</si>
</sst>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4" fontId="57" fillId="0" borderId="0" xfId="3" applyNumberFormat="1" applyFont="1" applyBorder="1" applyProtection="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2000</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2048</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2048</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24032001026</v>
      </c>
      <c r="B13" s="2102"/>
      <c r="C13" s="2102"/>
      <c r="D13" s="2102"/>
      <c r="E13" s="2102"/>
      <c r="F13" s="2102"/>
      <c r="G13" s="2102"/>
      <c r="H13" s="2103"/>
      <c r="I13" s="31"/>
      <c r="J13" s="30"/>
      <c r="K13" s="28"/>
      <c r="L13" s="30"/>
      <c r="M13" s="30"/>
      <c r="N13" s="30"/>
      <c r="O13" s="30"/>
      <c r="P13" s="30"/>
      <c r="Q13" s="30"/>
      <c r="R13" s="30"/>
      <c r="S13" s="30"/>
      <c r="T13" s="2107" t="s">
        <v>2057</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2049</v>
      </c>
      <c r="B15" s="2105"/>
      <c r="C15" s="2105"/>
      <c r="D15" s="2105"/>
      <c r="E15" s="2105"/>
      <c r="F15" s="2105"/>
      <c r="G15" s="2105"/>
      <c r="H15" s="2106"/>
      <c r="T15" s="2111" t="s">
        <v>2058</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2163</v>
      </c>
      <c r="B17" s="2075"/>
      <c r="C17" s="2075"/>
      <c r="D17" s="2075"/>
      <c r="E17" s="2075"/>
      <c r="F17" s="2075"/>
      <c r="G17" s="2075"/>
      <c r="H17" s="2100"/>
      <c r="T17" s="2118" t="s">
        <v>2059</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2050</v>
      </c>
      <c r="B19" s="2060"/>
      <c r="C19" s="2060"/>
      <c r="D19" s="2060"/>
      <c r="E19" s="2060"/>
      <c r="F19" s="2060"/>
      <c r="G19" s="2060"/>
      <c r="H19" s="2040"/>
      <c r="I19" s="30"/>
      <c r="J19" s="96"/>
      <c r="K19" s="40"/>
      <c r="L19" s="38"/>
      <c r="M19" s="109" t="s">
        <v>312</v>
      </c>
      <c r="P19" s="27"/>
      <c r="Q19" s="27"/>
      <c r="R19" s="27"/>
      <c r="S19" s="31"/>
      <c r="T19" s="2104" t="s">
        <v>2060</v>
      </c>
      <c r="U19" s="2039"/>
      <c r="V19" s="2039"/>
      <c r="W19" s="2040"/>
      <c r="X19" s="2116" t="s">
        <v>2061</v>
      </c>
      <c r="Y19" s="2117"/>
      <c r="Z19" s="2114">
        <v>60450</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2051</v>
      </c>
      <c r="B21" s="2039"/>
      <c r="C21" s="2039"/>
      <c r="D21" s="2039"/>
      <c r="E21" s="2039"/>
      <c r="F21" s="2039"/>
      <c r="G21" s="2039"/>
      <c r="H21" s="2040"/>
      <c r="I21" s="2094" t="s">
        <v>673</v>
      </c>
      <c r="J21" s="2089"/>
      <c r="K21" s="2089"/>
      <c r="L21" s="2089"/>
      <c r="M21" s="2089"/>
      <c r="N21" s="2089"/>
      <c r="O21" s="2089"/>
      <c r="P21" s="2089"/>
      <c r="Q21" s="2089"/>
      <c r="R21" s="2089"/>
      <c r="S21" s="2095"/>
      <c r="T21" s="2129" t="s">
        <v>2062</v>
      </c>
      <c r="U21" s="2130"/>
      <c r="V21" s="2130"/>
      <c r="W21" s="2130"/>
      <c r="X21" s="2135" t="s">
        <v>2063</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2052</v>
      </c>
      <c r="B23" s="2092"/>
      <c r="C23" s="2092"/>
      <c r="D23" s="2092"/>
      <c r="E23" s="2092"/>
      <c r="F23" s="2092"/>
      <c r="G23" s="2092"/>
      <c r="H23" s="2093"/>
      <c r="T23" s="2074" t="s">
        <v>2064</v>
      </c>
      <c r="U23" s="2128"/>
      <c r="V23" s="2128"/>
      <c r="W23" s="2128"/>
      <c r="X23" s="2132">
        <v>44530</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60416</v>
      </c>
      <c r="B25" s="2039"/>
      <c r="C25" s="2039"/>
      <c r="D25" s="2039"/>
      <c r="E25" s="2039"/>
      <c r="F25" s="2039"/>
      <c r="G25" s="2039"/>
      <c r="H25" s="2040"/>
      <c r="I25" s="110"/>
      <c r="J25" s="2063"/>
      <c r="K25" s="2063"/>
      <c r="L25" s="2063"/>
      <c r="M25" s="2063"/>
      <c r="N25" s="2063"/>
      <c r="O25" s="2063"/>
      <c r="P25" s="2063"/>
      <c r="Q25" s="2063"/>
      <c r="R25" s="2063"/>
      <c r="S25" s="2064"/>
      <c r="T25" s="2125" t="s">
        <v>2065</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2053</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2054</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2055</v>
      </c>
      <c r="B42" s="2058"/>
      <c r="C42" s="2059"/>
      <c r="D42" s="2057" t="s">
        <v>2056</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15532231</v>
      </c>
      <c r="C4" s="1722"/>
      <c r="D4" s="1723">
        <f>B4-C4</f>
        <v>15532231</v>
      </c>
      <c r="E4" s="1722">
        <v>16009542</v>
      </c>
      <c r="F4" s="1723">
        <f>E4-C4</f>
        <v>16009542</v>
      </c>
    </row>
    <row r="5" spans="1:8" ht="13.7" customHeight="1" x14ac:dyDescent="0.2">
      <c r="A5" s="579" t="s">
        <v>865</v>
      </c>
      <c r="B5" s="1724">
        <f>'Revenues 9-14'!D5</f>
        <v>3349235</v>
      </c>
      <c r="C5" s="1664"/>
      <c r="D5" s="1725">
        <f t="shared" ref="D5:D18" si="0">B5-C5</f>
        <v>3349235</v>
      </c>
      <c r="E5" s="1664">
        <v>3724012</v>
      </c>
      <c r="F5" s="1725">
        <f>E5-C5</f>
        <v>3724012</v>
      </c>
    </row>
    <row r="6" spans="1:8" ht="13.7" customHeight="1" x14ac:dyDescent="0.2">
      <c r="A6" s="579" t="s">
        <v>408</v>
      </c>
      <c r="B6" s="1724">
        <f>'Revenues 9-14'!E5</f>
        <v>3445758</v>
      </c>
      <c r="C6" s="1664"/>
      <c r="D6" s="1725">
        <f t="shared" si="0"/>
        <v>3445758</v>
      </c>
      <c r="E6" s="1664">
        <v>3495799</v>
      </c>
      <c r="F6" s="1725">
        <f t="shared" ref="F6:F18" si="1">E6-C6</f>
        <v>3495799</v>
      </c>
    </row>
    <row r="7" spans="1:8" ht="13.7" customHeight="1" x14ac:dyDescent="0.2">
      <c r="A7" s="579" t="s">
        <v>154</v>
      </c>
      <c r="B7" s="1724">
        <f>'Revenues 9-14'!F5</f>
        <v>1435352</v>
      </c>
      <c r="C7" s="1664"/>
      <c r="D7" s="1725">
        <f t="shared" si="0"/>
        <v>1435352</v>
      </c>
      <c r="E7" s="1664">
        <v>1376268</v>
      </c>
      <c r="F7" s="1725">
        <f t="shared" si="1"/>
        <v>1376268</v>
      </c>
    </row>
    <row r="8" spans="1:8" ht="13.7" customHeight="1" x14ac:dyDescent="0.2">
      <c r="A8" s="579" t="s">
        <v>1169</v>
      </c>
      <c r="B8" s="1724">
        <f>'Revenues 9-14'!G5</f>
        <v>318943</v>
      </c>
      <c r="C8" s="1664"/>
      <c r="D8" s="1725">
        <f t="shared" si="0"/>
        <v>318943</v>
      </c>
      <c r="E8" s="1664">
        <v>323828</v>
      </c>
      <c r="F8" s="1725">
        <f t="shared" si="1"/>
        <v>323828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239286</v>
      </c>
      <c r="C10" s="1664"/>
      <c r="D10" s="1725">
        <f t="shared" si="0"/>
        <v>239286</v>
      </c>
      <c r="E10" s="1664">
        <v>105245</v>
      </c>
      <c r="F10" s="1725">
        <f t="shared" si="1"/>
        <v>105245</v>
      </c>
    </row>
    <row r="11" spans="1:8" x14ac:dyDescent="0.2">
      <c r="A11" s="579" t="s">
        <v>406</v>
      </c>
      <c r="B11" s="1724">
        <f>'Revenues 9-14'!J5</f>
        <v>239292</v>
      </c>
      <c r="C11" s="1664"/>
      <c r="D11" s="1725">
        <f t="shared" si="0"/>
        <v>239292</v>
      </c>
      <c r="E11" s="1664">
        <v>218584</v>
      </c>
      <c r="F11" s="1725">
        <f t="shared" si="1"/>
        <v>218584</v>
      </c>
    </row>
    <row r="12" spans="1:8" ht="13.7" customHeight="1" x14ac:dyDescent="0.2">
      <c r="A12" s="579" t="s">
        <v>156</v>
      </c>
      <c r="B12" s="1724">
        <f>'Revenues 9-14'!K5</f>
        <v>39870</v>
      </c>
      <c r="C12" s="1664"/>
      <c r="D12" s="1725">
        <f t="shared" si="0"/>
        <v>39870</v>
      </c>
      <c r="E12" s="1664">
        <v>80956</v>
      </c>
      <c r="F12" s="1725">
        <f t="shared" si="1"/>
        <v>80956</v>
      </c>
    </row>
    <row r="13" spans="1:8" ht="13.7" customHeight="1" x14ac:dyDescent="0.2">
      <c r="A13" s="579" t="s">
        <v>930</v>
      </c>
      <c r="B13" s="1724">
        <f>SUM('Revenues 9-14'!C6:D6)</f>
        <v>394242</v>
      </c>
      <c r="C13" s="1664"/>
      <c r="D13" s="1725">
        <f t="shared" si="0"/>
        <v>394242</v>
      </c>
      <c r="E13" s="1664">
        <v>263757</v>
      </c>
      <c r="F13" s="1725">
        <f t="shared" si="1"/>
        <v>263757</v>
      </c>
    </row>
    <row r="14" spans="1:8" ht="13.7" customHeight="1" x14ac:dyDescent="0.2">
      <c r="A14" s="579" t="s">
        <v>407</v>
      </c>
      <c r="B14" s="1724">
        <f>SUM('Revenues 9-14'!C7:D7,'Revenues 9-14'!F7:H7)</f>
        <v>315238</v>
      </c>
      <c r="C14" s="1664"/>
      <c r="D14" s="1725">
        <f t="shared" si="0"/>
        <v>315238</v>
      </c>
      <c r="E14" s="1664">
        <v>323828</v>
      </c>
      <c r="F14" s="1725">
        <f t="shared" si="1"/>
        <v>323828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358820</v>
      </c>
      <c r="C16" s="1664"/>
      <c r="D16" s="1725">
        <f t="shared" si="0"/>
        <v>358820</v>
      </c>
      <c r="E16" s="1664">
        <v>445261</v>
      </c>
      <c r="F16" s="1725">
        <f t="shared" si="1"/>
        <v>445261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25668267</v>
      </c>
      <c r="C19" s="1726">
        <f>SUM(C4:C18)</f>
        <v>0</v>
      </c>
      <c r="D19" s="1726">
        <f>SUM(D4:D18)</f>
        <v>25668267</v>
      </c>
      <c r="E19" s="1726">
        <f>SUM(E4:E18)</f>
        <v>26367080</v>
      </c>
      <c r="F19" s="1726">
        <f>SUM(F4:F18)</f>
        <v>26367080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1776</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2003</v>
      </c>
      <c r="B24" s="2305"/>
      <c r="C24" s="2299"/>
      <c r="D24" s="2300"/>
      <c r="E24" s="2300"/>
      <c r="F24" s="2301"/>
    </row>
    <row r="25" spans="1:11" ht="13.5" thickBot="1" x14ac:dyDescent="0.25">
      <c r="A25" s="2306" t="s">
        <v>2004</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2066</v>
      </c>
      <c r="B31" s="595">
        <v>40422</v>
      </c>
      <c r="C31" s="1734">
        <v>3680000</v>
      </c>
      <c r="D31" s="1735">
        <v>6</v>
      </c>
      <c r="E31" s="1734">
        <v>345000</v>
      </c>
      <c r="F31" s="1734"/>
      <c r="G31" s="1734"/>
      <c r="H31" s="1734"/>
      <c r="I31" s="1736">
        <f>((E31+F31)-H31)+G31</f>
        <v>345000</v>
      </c>
      <c r="J31" s="1734">
        <v>345000</v>
      </c>
      <c r="K31" s="596"/>
    </row>
    <row r="32" spans="1:11" ht="12" customHeight="1" x14ac:dyDescent="0.2">
      <c r="A32" s="594" t="s">
        <v>2067</v>
      </c>
      <c r="B32" s="595">
        <v>42403</v>
      </c>
      <c r="C32" s="1734">
        <v>7105000</v>
      </c>
      <c r="D32" s="1735">
        <v>1</v>
      </c>
      <c r="E32" s="1734">
        <v>6100000</v>
      </c>
      <c r="F32" s="1734"/>
      <c r="G32" s="1734"/>
      <c r="H32" s="1734"/>
      <c r="I32" s="1736">
        <f>((E32+F32)-H32)+G32</f>
        <v>6100000</v>
      </c>
      <c r="J32" s="1734">
        <v>6100000</v>
      </c>
      <c r="K32" s="596"/>
    </row>
    <row r="33" spans="1:11" ht="12" customHeight="1" x14ac:dyDescent="0.2">
      <c r="A33" s="594" t="s">
        <v>2068</v>
      </c>
      <c r="B33" s="595">
        <v>42943</v>
      </c>
      <c r="C33" s="1734">
        <v>19625000</v>
      </c>
      <c r="D33" s="1735">
        <v>3</v>
      </c>
      <c r="E33" s="1734">
        <v>18125000</v>
      </c>
      <c r="F33" s="1734"/>
      <c r="G33" s="1734"/>
      <c r="H33" s="1734">
        <v>1595000</v>
      </c>
      <c r="I33" s="1736">
        <f t="shared" ref="I33:I48" si="1">((E33+F33)-H33)+G33</f>
        <v>16530000</v>
      </c>
      <c r="J33" s="1734">
        <f>I33-'Assets-Liab 5-6'!N21</f>
        <v>16493938</v>
      </c>
      <c r="K33" s="596"/>
    </row>
    <row r="34" spans="1:11" ht="12" customHeight="1" x14ac:dyDescent="0.2">
      <c r="A34" s="594" t="s">
        <v>2069</v>
      </c>
      <c r="B34" s="595">
        <v>43257</v>
      </c>
      <c r="C34" s="1734">
        <v>8480000</v>
      </c>
      <c r="D34" s="1735">
        <v>3</v>
      </c>
      <c r="E34" s="1734">
        <v>7735000</v>
      </c>
      <c r="F34" s="1734"/>
      <c r="G34" s="1734"/>
      <c r="H34" s="1734">
        <v>560000</v>
      </c>
      <c r="I34" s="1736">
        <f t="shared" si="1"/>
        <v>7175000</v>
      </c>
      <c r="J34" s="1734">
        <v>7175000</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38890000</v>
      </c>
      <c r="D49" s="1742"/>
      <c r="E49" s="1736">
        <f t="shared" ref="E49:J49" si="2">SUM(E31:E48)</f>
        <v>32305000</v>
      </c>
      <c r="F49" s="1736">
        <f t="shared" si="2"/>
        <v>0</v>
      </c>
      <c r="G49" s="1736">
        <f t="shared" si="2"/>
        <v>0</v>
      </c>
      <c r="H49" s="1736">
        <f t="shared" si="2"/>
        <v>2155000</v>
      </c>
      <c r="I49" s="1736">
        <f t="shared" si="2"/>
        <v>30150000</v>
      </c>
      <c r="J49" s="1736">
        <f t="shared" si="2"/>
        <v>30113938</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1786</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315238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12203</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22444</v>
      </c>
    </row>
    <row r="10" spans="1:11" x14ac:dyDescent="0.2">
      <c r="A10" s="2323" t="s">
        <v>1787</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315238</v>
      </c>
      <c r="I12" s="1755">
        <f>SUM(I5:I11)</f>
        <v>0</v>
      </c>
      <c r="J12" s="1755">
        <f>SUM(J5:J11)</f>
        <v>0</v>
      </c>
      <c r="K12" s="1755">
        <f>SUM(K5:K11)</f>
        <v>34647</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315238</v>
      </c>
      <c r="I14" s="1749"/>
      <c r="J14" s="1751"/>
      <c r="K14" s="1745">
        <v>34647</v>
      </c>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1783</v>
      </c>
      <c r="B19" s="2332"/>
      <c r="C19" s="2332"/>
      <c r="D19" s="2332"/>
      <c r="E19" s="2333"/>
      <c r="F19" s="635" t="s">
        <v>927</v>
      </c>
      <c r="G19" s="1753"/>
      <c r="H19" s="1753"/>
      <c r="I19" s="1753"/>
      <c r="J19" s="1745"/>
      <c r="K19" s="1763"/>
    </row>
    <row r="20" spans="1:15" x14ac:dyDescent="0.2">
      <c r="A20" s="2334" t="s">
        <v>1788</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1789</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315238</v>
      </c>
      <c r="I23" s="1755">
        <f>SUM(I14:I16,I21,I22)</f>
        <v>0</v>
      </c>
      <c r="J23" s="1755">
        <f>SUM(J14:J16,J21,J22)</f>
        <v>0</v>
      </c>
      <c r="K23" s="1755">
        <f>SUM(K14:K16,K21,K22)</f>
        <v>34647</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1872</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6186420</v>
      </c>
      <c r="D5" s="1770">
        <v>271200</v>
      </c>
      <c r="E5" s="1770"/>
      <c r="F5" s="1765">
        <f>(C5+D5)-E5</f>
        <v>6457620</v>
      </c>
      <c r="G5" s="676"/>
      <c r="H5" s="680"/>
      <c r="I5" s="680"/>
      <c r="J5" s="680"/>
      <c r="K5" s="637"/>
      <c r="L5" s="1442">
        <f>F5-K5</f>
        <v>6457620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80423445</v>
      </c>
      <c r="D8" s="1771">
        <v>562734</v>
      </c>
      <c r="E8" s="1771"/>
      <c r="F8" s="1765">
        <f>(C8+D8)-E8</f>
        <v>80986179</v>
      </c>
      <c r="G8" s="681">
        <v>50</v>
      </c>
      <c r="H8" s="619">
        <v>28793119</v>
      </c>
      <c r="I8" s="619">
        <v>2120646</v>
      </c>
      <c r="J8" s="619"/>
      <c r="K8" s="1442">
        <f>(H8+I8)-J8</f>
        <v>30913765</v>
      </c>
      <c r="L8" s="1442">
        <f>F8-K8</f>
        <v>50072414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5863196</v>
      </c>
      <c r="D10" s="1772">
        <v>19205</v>
      </c>
      <c r="E10" s="1772"/>
      <c r="F10" s="1773">
        <f>(C10+D10)-E10</f>
        <v>5882401</v>
      </c>
      <c r="G10" s="681">
        <v>20</v>
      </c>
      <c r="H10" s="683">
        <f>4603934</f>
        <v>4603934</v>
      </c>
      <c r="I10" s="683">
        <v>200021</v>
      </c>
      <c r="J10" s="683"/>
      <c r="K10" s="1442">
        <f>(H10+I10)-J10</f>
        <v>4803955</v>
      </c>
      <c r="L10" s="1442">
        <f>F10-K10</f>
        <v>1078446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f>3546971+485245</f>
        <v>4032216</v>
      </c>
      <c r="D12" s="1771">
        <v>141488</v>
      </c>
      <c r="E12" s="1771">
        <v>68515</v>
      </c>
      <c r="F12" s="1765">
        <f>(C12+D12)-E12</f>
        <v>4105189</v>
      </c>
      <c r="G12" s="681">
        <v>10</v>
      </c>
      <c r="H12" s="619">
        <f>3085350+405460</f>
        <v>3490810</v>
      </c>
      <c r="I12" s="619">
        <f>144148+21423</f>
        <v>165571</v>
      </c>
      <c r="J12" s="619">
        <v>64222</v>
      </c>
      <c r="K12" s="1442">
        <f>(H12+I12)-J12</f>
        <v>3592159</v>
      </c>
      <c r="L12" s="1442">
        <f>F12-K12</f>
        <v>513030</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259589</v>
      </c>
      <c r="D15" s="1771"/>
      <c r="E15" s="1771">
        <v>259589</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96764866</v>
      </c>
      <c r="D16" s="1765">
        <f>SUM(D3,D5:D6,D8:D10,D12:D15)</f>
        <v>994627</v>
      </c>
      <c r="E16" s="1765">
        <f>SUM(E3,E5:E6,E8:E10,E12:E15)</f>
        <v>328104</v>
      </c>
      <c r="F16" s="1765">
        <f>SUM(F3,F5:F6,F8:F10,F12:F15)</f>
        <v>97431389</v>
      </c>
      <c r="G16" s="681"/>
      <c r="H16" s="1435">
        <f>SUM(H3,H6,H8:H10,H12:H14,)</f>
        <v>36887863</v>
      </c>
      <c r="I16" s="1435">
        <f>SUM(I3,I6,I8:I10,I12:I14,)</f>
        <v>2486238</v>
      </c>
      <c r="J16" s="1435">
        <f>SUM(J3,J6,J8:J10,J12:J14,)</f>
        <v>64222</v>
      </c>
      <c r="K16" s="1435">
        <f>(H16+I16)-J16</f>
        <v>39309879</v>
      </c>
      <c r="L16" s="1435">
        <f>F16-K16</f>
        <v>58121510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2486238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2"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22371739</v>
      </c>
      <c r="G8" s="701"/>
    </row>
    <row r="9" spans="1:9" x14ac:dyDescent="0.2">
      <c r="A9" s="705" t="s">
        <v>457</v>
      </c>
      <c r="B9" s="706" t="s">
        <v>1845</v>
      </c>
      <c r="C9" s="707"/>
      <c r="D9" s="705" t="s">
        <v>498</v>
      </c>
      <c r="E9" s="704"/>
      <c r="F9" s="1775">
        <f>'Expenditures 15-22'!K151</f>
        <v>3267180</v>
      </c>
      <c r="G9" s="708"/>
    </row>
    <row r="10" spans="1:9" x14ac:dyDescent="0.2">
      <c r="A10" s="705" t="s">
        <v>496</v>
      </c>
      <c r="B10" s="706" t="s">
        <v>1846</v>
      </c>
      <c r="C10" s="707"/>
      <c r="D10" s="705" t="s">
        <v>498</v>
      </c>
      <c r="E10" s="704"/>
      <c r="F10" s="1775">
        <f>'Expenditures 15-22'!K174</f>
        <v>3498832</v>
      </c>
      <c r="G10" s="708"/>
    </row>
    <row r="11" spans="1:9" x14ac:dyDescent="0.2">
      <c r="A11" s="705" t="s">
        <v>458</v>
      </c>
      <c r="B11" s="706" t="s">
        <v>1847</v>
      </c>
      <c r="C11" s="707"/>
      <c r="D11" s="705" t="s">
        <v>498</v>
      </c>
      <c r="E11" s="704"/>
      <c r="F11" s="1775">
        <f>'Expenditures 15-22'!K210</f>
        <v>2096948</v>
      </c>
      <c r="G11" s="708"/>
    </row>
    <row r="12" spans="1:9" x14ac:dyDescent="0.2">
      <c r="A12" s="705" t="s">
        <v>459</v>
      </c>
      <c r="B12" s="706" t="s">
        <v>1848</v>
      </c>
      <c r="C12" s="707"/>
      <c r="D12" s="705" t="s">
        <v>498</v>
      </c>
      <c r="E12" s="704"/>
      <c r="F12" s="1775">
        <f>'Expenditures 15-22'!K295</f>
        <v>690733</v>
      </c>
      <c r="G12" s="708"/>
    </row>
    <row r="13" spans="1:9" x14ac:dyDescent="0.2">
      <c r="A13" s="705" t="s">
        <v>106</v>
      </c>
      <c r="B13" s="706" t="s">
        <v>1849</v>
      </c>
      <c r="C13" s="707"/>
      <c r="D13" s="705" t="s">
        <v>498</v>
      </c>
      <c r="E13" s="704"/>
      <c r="F13" s="1775">
        <f>'Expenditures 15-22'!K342</f>
        <v>147774</v>
      </c>
      <c r="G13" s="709"/>
    </row>
    <row r="14" spans="1:9" ht="12" customHeight="1" thickBot="1" x14ac:dyDescent="0.25">
      <c r="A14" s="1443"/>
      <c r="B14" s="1444"/>
      <c r="C14" s="1445"/>
      <c r="D14" s="1446" t="s">
        <v>498</v>
      </c>
      <c r="E14" s="1447" t="s">
        <v>952</v>
      </c>
      <c r="F14" s="1776">
        <f>SUM(F8:F13)</f>
        <v>32073206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6607</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290255</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268850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47239</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20</v>
      </c>
      <c r="G52" s="701"/>
    </row>
    <row r="53" spans="1:7" x14ac:dyDescent="0.2">
      <c r="A53" s="705" t="s">
        <v>456</v>
      </c>
      <c r="B53" s="705" t="s">
        <v>1458</v>
      </c>
      <c r="C53" s="724">
        <f>'Expenditures 15-22'!B102</f>
        <v>4000</v>
      </c>
      <c r="D53" s="723" t="str">
        <f>'Expenditures 15-22'!A102</f>
        <v>Total Payments to Other Govt Units</v>
      </c>
      <c r="E53" s="704"/>
      <c r="F53" s="1782">
        <f>'Expenditures 15-22'!K102</f>
        <v>493965</v>
      </c>
      <c r="G53" s="701"/>
    </row>
    <row r="54" spans="1:7" x14ac:dyDescent="0.2">
      <c r="A54" s="705" t="s">
        <v>456</v>
      </c>
      <c r="B54" s="705" t="s">
        <v>1459</v>
      </c>
      <c r="C54" s="724" t="s">
        <v>975</v>
      </c>
      <c r="D54" s="720" t="s">
        <v>1086</v>
      </c>
      <c r="E54" s="704"/>
      <c r="F54" s="1782">
        <f>'Expenditures 15-22'!G114</f>
        <v>511496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227028</v>
      </c>
      <c r="G57" s="701"/>
    </row>
    <row r="58" spans="1:7" x14ac:dyDescent="0.2">
      <c r="A58" s="705" t="s">
        <v>457</v>
      </c>
      <c r="B58" s="705" t="s">
        <v>1851</v>
      </c>
      <c r="C58" s="721" t="s">
        <v>975</v>
      </c>
      <c r="D58" s="720" t="s">
        <v>1086</v>
      </c>
      <c r="E58" s="704"/>
      <c r="F58" s="1784">
        <f>'Expenditures 15-22'!G151</f>
        <v>256645</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2155000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14380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15019</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891</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4287395</v>
      </c>
      <c r="G77" s="701"/>
    </row>
    <row r="78" spans="1:9" s="728" customFormat="1" ht="12" customHeight="1" thickTop="1" thickBot="1" x14ac:dyDescent="0.25">
      <c r="A78" s="1450"/>
      <c r="B78" s="1448"/>
      <c r="C78" s="1445"/>
      <c r="D78" s="1449" t="s">
        <v>2009</v>
      </c>
      <c r="E78" s="1447"/>
      <c r="F78" s="1788">
        <f>(F14-F77)</f>
        <v>27785811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1990.8</v>
      </c>
      <c r="G79" s="733"/>
      <c r="H79" s="705"/>
      <c r="I79" s="705"/>
    </row>
    <row r="80" spans="1:9" s="728" customFormat="1" ht="12" customHeight="1" thickBot="1" x14ac:dyDescent="0.25">
      <c r="A80" s="1452"/>
      <c r="B80" s="1448"/>
      <c r="C80" s="1445"/>
      <c r="D80" s="1449" t="s">
        <v>2010</v>
      </c>
      <c r="E80" s="1447" t="s">
        <v>952</v>
      </c>
      <c r="F80" s="1790">
        <f>IF(F79&gt;0,F78/F79," Complete Line 79")</f>
        <v>13957.108197709464</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408381</v>
      </c>
      <c r="G95" s="745"/>
    </row>
    <row r="96" spans="1:7" x14ac:dyDescent="0.2">
      <c r="A96" s="741" t="s">
        <v>139</v>
      </c>
      <c r="B96" s="741" t="s">
        <v>174</v>
      </c>
      <c r="C96" s="743">
        <v>1700</v>
      </c>
      <c r="D96" s="751" t="str">
        <f>'Revenues 9-14'!A82</f>
        <v>Total District/School Activity Income</v>
      </c>
      <c r="E96" s="739"/>
      <c r="F96" s="1793">
        <f>SUM('Revenues 9-14'!C82,'Revenues 9-14'!D82)</f>
        <v>72298</v>
      </c>
      <c r="G96" s="745"/>
    </row>
    <row r="97" spans="1:7" x14ac:dyDescent="0.2">
      <c r="A97" s="741" t="s">
        <v>456</v>
      </c>
      <c r="B97" s="741" t="s">
        <v>175</v>
      </c>
      <c r="C97" s="743">
        <f>'Revenues 9-14'!B84</f>
        <v>1811</v>
      </c>
      <c r="D97" s="744" t="str">
        <f>'Revenues 9-14'!A84</f>
        <v>Rentals - Regular Textbooks</v>
      </c>
      <c r="E97" s="739"/>
      <c r="F97" s="1793">
        <f>'Revenues 9-14'!C84</f>
        <v>45810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30215</v>
      </c>
      <c r="G101" s="745"/>
    </row>
    <row r="102" spans="1:7" x14ac:dyDescent="0.2">
      <c r="A102" s="741" t="s">
        <v>139</v>
      </c>
      <c r="B102" s="741" t="s">
        <v>180</v>
      </c>
      <c r="C102" s="743">
        <f>'Revenues 9-14'!B95</f>
        <v>1910</v>
      </c>
      <c r="D102" s="744" t="str">
        <f>'Revenues 9-14'!A95</f>
        <v>Rentals</v>
      </c>
      <c r="E102" s="739"/>
      <c r="F102" s="1793">
        <f>SUM('Revenues 9-14'!C95:D95)</f>
        <v>20495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122416</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3120</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22444</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879680</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227150</v>
      </c>
      <c r="G126" s="763"/>
    </row>
    <row r="127" spans="1:7" x14ac:dyDescent="0.2">
      <c r="A127" s="760" t="s">
        <v>663</v>
      </c>
      <c r="B127" s="760" t="s">
        <v>1928</v>
      </c>
      <c r="C127" s="765">
        <v>4300</v>
      </c>
      <c r="D127" s="766" t="str">
        <f>'Revenues 9-14'!A204</f>
        <v>Total Title I</v>
      </c>
      <c r="E127" s="739"/>
      <c r="F127" s="1793">
        <f>SUM('Revenues 9-14'!C204,'Revenues 9-14'!D204,'Revenues 9-14'!F204,'Revenues 9-14'!G204)</f>
        <v>183694</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342036</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3</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35293</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107199</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0</v>
      </c>
      <c r="G172" s="760"/>
    </row>
    <row r="173" spans="1:7" x14ac:dyDescent="0.2">
      <c r="A173" s="1529" t="s">
        <v>659</v>
      </c>
      <c r="B173" s="1530" t="s">
        <v>1882</v>
      </c>
      <c r="C173" s="1531">
        <v>3300</v>
      </c>
      <c r="D173" s="1532" t="s">
        <v>1885</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2550234</v>
      </c>
    </row>
    <row r="176" spans="1:7" ht="12" customHeight="1" x14ac:dyDescent="0.2">
      <c r="A176" s="1443"/>
      <c r="B176" s="1453"/>
      <c r="C176" s="1454"/>
      <c r="D176" s="1455" t="s">
        <v>2011</v>
      </c>
      <c r="E176" s="1456"/>
      <c r="F176" s="1793">
        <f>'PCTC-OEPP 27-28'!F78-F175</f>
        <v>25235577</v>
      </c>
    </row>
    <row r="177" spans="1:9" ht="12" customHeight="1" x14ac:dyDescent="0.2">
      <c r="A177" s="1443"/>
      <c r="B177" s="1453"/>
      <c r="C177" s="1454"/>
      <c r="D177" s="1455" t="s">
        <v>1791</v>
      </c>
      <c r="E177" s="1456"/>
      <c r="F177" s="1793">
        <f>'Cap Outlay Deprec 26'!I18</f>
        <v>2486238</v>
      </c>
    </row>
    <row r="178" spans="1:9" ht="12" customHeight="1" x14ac:dyDescent="0.2">
      <c r="A178" s="1443"/>
      <c r="B178" s="1453"/>
      <c r="C178" s="1454"/>
      <c r="D178" s="1455" t="s">
        <v>2012</v>
      </c>
      <c r="E178" s="1456"/>
      <c r="F178" s="1793">
        <f>F176+F177</f>
        <v>27721815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1990.8</v>
      </c>
      <c r="G179" s="763"/>
      <c r="I179" s="701"/>
    </row>
    <row r="180" spans="1:9" ht="12" customHeight="1" thickBot="1" x14ac:dyDescent="0.25">
      <c r="A180" s="1443"/>
      <c r="B180" s="1457"/>
      <c r="C180" s="1454"/>
      <c r="D180" s="1455" t="s">
        <v>2014</v>
      </c>
      <c r="E180" s="1456" t="s">
        <v>1528</v>
      </c>
      <c r="F180" s="1798">
        <f>F178/F179</f>
        <v>13924.962326702833</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24" sqref="A24"/>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8" t="s">
        <v>1792</v>
      </c>
      <c r="B4" s="2379"/>
      <c r="C4" s="2379"/>
      <c r="D4" s="2379"/>
      <c r="E4" s="2379"/>
      <c r="F4" s="2380"/>
    </row>
    <row r="5" spans="1:6" x14ac:dyDescent="0.25">
      <c r="A5" s="2381"/>
      <c r="B5" s="2382"/>
      <c r="C5" s="2382"/>
      <c r="D5" s="2382"/>
      <c r="E5" s="2382"/>
      <c r="F5" s="2383"/>
    </row>
    <row r="6" spans="1:6" ht="18.75" x14ac:dyDescent="0.25">
      <c r="A6" s="1867" t="s">
        <v>1793</v>
      </c>
      <c r="B6" s="1868"/>
      <c r="C6" s="1869"/>
      <c r="D6" s="1869"/>
      <c r="E6" s="1869"/>
      <c r="F6" s="1870"/>
    </row>
    <row r="7" spans="1:6" ht="47.25" customHeight="1" x14ac:dyDescent="0.25">
      <c r="A7" s="2384" t="s">
        <v>1982</v>
      </c>
      <c r="B7" s="2385"/>
      <c r="C7" s="2385"/>
      <c r="D7" s="2385"/>
      <c r="E7" s="2385"/>
      <c r="F7" s="2386"/>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7" t="s">
        <v>1978</v>
      </c>
      <c r="B10" s="2388"/>
      <c r="C10" s="2388"/>
      <c r="D10" s="2388"/>
      <c r="E10" s="2388"/>
      <c r="F10" s="2389"/>
    </row>
    <row r="11" spans="1:6" ht="33" customHeight="1" x14ac:dyDescent="0.25">
      <c r="A11" s="2384" t="s">
        <v>1983</v>
      </c>
      <c r="B11" s="2385"/>
      <c r="C11" s="2385"/>
      <c r="D11" s="2385"/>
      <c r="E11" s="2385"/>
      <c r="F11" s="2386"/>
    </row>
    <row r="12" spans="1:6" ht="15" customHeight="1" x14ac:dyDescent="0.25">
      <c r="A12" s="1873" t="s">
        <v>1979</v>
      </c>
      <c r="B12" s="1874"/>
      <c r="C12" s="1875"/>
      <c r="D12" s="1875"/>
      <c r="E12" s="1875"/>
      <c r="F12" s="1876"/>
    </row>
    <row r="13" spans="1:6" ht="17.25" customHeight="1" x14ac:dyDescent="0.25">
      <c r="A13" s="2384" t="s">
        <v>1980</v>
      </c>
      <c r="B13" s="2385"/>
      <c r="C13" s="2385"/>
      <c r="D13" s="2385"/>
      <c r="E13" s="2385"/>
      <c r="F13" s="2386"/>
    </row>
    <row r="14" spans="1:6" ht="15" customHeight="1" x14ac:dyDescent="0.25">
      <c r="A14" s="1873" t="s">
        <v>1797</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6" t="s">
        <v>2111</v>
      </c>
      <c r="B18" s="1908">
        <v>102520300</v>
      </c>
      <c r="C18" s="2037" t="s">
        <v>2110</v>
      </c>
      <c r="D18" s="1886">
        <v>10710</v>
      </c>
      <c r="E18" s="1906">
        <f t="shared" ref="E18:E81" si="0">IF(D18&lt;25000,D18,"25,000")</f>
        <v>10710</v>
      </c>
      <c r="F18" s="1906" t="str">
        <f t="shared" ref="F18:F81" si="1">IF(D18&gt;=25000,(D18-E18),"0")</f>
        <v>0</v>
      </c>
      <c r="G18" s="1887"/>
    </row>
    <row r="19" spans="1:7" x14ac:dyDescent="0.25">
      <c r="A19" s="2036" t="s">
        <v>2114</v>
      </c>
      <c r="B19" s="1908">
        <v>102520400</v>
      </c>
      <c r="C19" s="2037" t="s">
        <v>2112</v>
      </c>
      <c r="D19" s="1886">
        <v>8063</v>
      </c>
      <c r="E19" s="1906">
        <f t="shared" si="0"/>
        <v>8063</v>
      </c>
      <c r="F19" s="1906" t="str">
        <f t="shared" si="1"/>
        <v>0</v>
      </c>
    </row>
    <row r="20" spans="1:7" x14ac:dyDescent="0.25">
      <c r="A20" s="2036" t="s">
        <v>2113</v>
      </c>
      <c r="B20" s="1908">
        <v>102520400</v>
      </c>
      <c r="C20" s="2037" t="s">
        <v>2115</v>
      </c>
      <c r="D20" s="1886">
        <v>8002</v>
      </c>
      <c r="E20" s="1906">
        <f t="shared" si="0"/>
        <v>8002</v>
      </c>
      <c r="F20" s="1906" t="str">
        <f t="shared" si="1"/>
        <v>0</v>
      </c>
    </row>
    <row r="21" spans="1:7" x14ac:dyDescent="0.25">
      <c r="A21" s="2036" t="s">
        <v>2117</v>
      </c>
      <c r="B21" s="1908">
        <v>102520400</v>
      </c>
      <c r="C21" s="2037" t="s">
        <v>2116</v>
      </c>
      <c r="D21" s="1886">
        <v>2191</v>
      </c>
      <c r="E21" s="1906">
        <f t="shared" si="0"/>
        <v>2191</v>
      </c>
      <c r="F21" s="1906" t="str">
        <f t="shared" si="1"/>
        <v>0</v>
      </c>
    </row>
    <row r="22" spans="1:7" x14ac:dyDescent="0.25">
      <c r="A22" s="2036" t="s">
        <v>2119</v>
      </c>
      <c r="B22" s="1908">
        <v>202540300</v>
      </c>
      <c r="C22" s="2037" t="s">
        <v>2118</v>
      </c>
      <c r="D22" s="1886">
        <v>14374</v>
      </c>
      <c r="E22" s="1906">
        <f t="shared" si="0"/>
        <v>14374</v>
      </c>
      <c r="F22" s="1906" t="str">
        <f t="shared" si="1"/>
        <v>0</v>
      </c>
    </row>
    <row r="23" spans="1:7" x14ac:dyDescent="0.25">
      <c r="A23" s="2036" t="s">
        <v>2121</v>
      </c>
      <c r="B23" s="1908">
        <v>402550300</v>
      </c>
      <c r="C23" s="2037" t="s">
        <v>2120</v>
      </c>
      <c r="D23" s="1886">
        <v>2076621</v>
      </c>
      <c r="E23" s="1906" t="str">
        <f t="shared" si="0"/>
        <v>25,000</v>
      </c>
      <c r="F23" s="1906">
        <f t="shared" si="1"/>
        <v>2051621</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2119961</v>
      </c>
      <c r="E142" s="1893">
        <f>SUM(E18:E141)</f>
        <v>43340</v>
      </c>
      <c r="F142" s="1894">
        <f>SUM(F18:F141)</f>
        <v>2051621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R35" sqref="R3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f>201411+2386+23353</f>
        <v>227150</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60981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16096977</v>
      </c>
      <c r="F19" s="1802"/>
      <c r="G19" s="1804">
        <f>'Expenditures 15-22'!K33-SUM('Expenditures 15-22'!G33,'Expenditures 15-22'!I33)+'Expenditures 15-22'!D229</f>
        <v>16096977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1468573</v>
      </c>
      <c r="F21" s="1805"/>
      <c r="G21" s="1808">
        <f>'Expenditures 15-22'!K42-SUM('Expenditures 15-22'!G42,'Expenditures 15-22'!I42)+'Expenditures 15-22'!K120-SUM('Expenditures 15-22'!G120,'Expenditures 15-22'!I120)+'Expenditures 15-22'!K180-SUM('Expenditures 15-22'!G180,'Expenditures 15-22'!I180)+'Expenditures 15-22'!D238</f>
        <v>1468573</v>
      </c>
      <c r="H21" s="817"/>
      <c r="I21" s="157"/>
    </row>
    <row r="22" spans="1:9" s="542" customFormat="1" ht="12" customHeight="1" x14ac:dyDescent="0.2">
      <c r="A22" s="824" t="s">
        <v>560</v>
      </c>
      <c r="B22" s="825"/>
      <c r="C22" s="823">
        <v>2200</v>
      </c>
      <c r="D22" s="1805"/>
      <c r="E22" s="1807">
        <f>'Expenditures 15-22'!K47-SUM('Expenditures 15-22'!G47,'Expenditures 15-22'!I47)+'Expenditures 15-22'!D243</f>
        <v>1325641</v>
      </c>
      <c r="F22" s="1805"/>
      <c r="G22" s="1808">
        <f>'Expenditures 15-22'!K47-SUM('Expenditures 15-22'!G47,'Expenditures 15-22'!I47)+'Expenditures 15-22'!D243</f>
        <v>1325641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816793</v>
      </c>
      <c r="F23" s="1805"/>
      <c r="G23" s="1807">
        <f>'Expenditures 15-22'!K53-SUM('Expenditures 15-22'!G53,'Expenditures 15-22'!I53)+'Expenditures 15-22'!D257+'Expenditures 15-22'!K330-SUM('Expenditures 15-22'!G330,'Expenditures 15-22'!I330)</f>
        <v>816793</v>
      </c>
      <c r="H23" s="817"/>
      <c r="I23" s="157"/>
    </row>
    <row r="24" spans="1:9" s="542" customFormat="1" ht="12" customHeight="1" x14ac:dyDescent="0.2">
      <c r="A24" s="824" t="s">
        <v>562</v>
      </c>
      <c r="B24" s="825"/>
      <c r="C24" s="823">
        <v>2400</v>
      </c>
      <c r="D24" s="1805"/>
      <c r="E24" s="1807">
        <f>'Expenditures 15-22'!K57-SUM('Expenditures 15-22'!G57,'Expenditures 15-22'!I57)+'Expenditures 15-22'!D261</f>
        <v>1239686</v>
      </c>
      <c r="F24" s="1805"/>
      <c r="G24" s="1808">
        <f>'Expenditures 15-22'!K57-SUM('Expenditures 15-22'!G57,'Expenditures 15-22'!I57)+'Expenditures 15-22'!D261</f>
        <v>1239686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105717</v>
      </c>
      <c r="E26" s="1807">
        <f>'Expenditures 15-22'!K122-SUM('Expenditures 15-22'!G122,'Expenditures 15-22'!I122)+E7</f>
        <v>0</v>
      </c>
      <c r="F26" s="1807">
        <f>'Expenditures 15-22'!K59-SUM('Expenditures 15-22'!G59,'Expenditures 15-22'!I59)+'Expenditures 15-22'!D263-E7</f>
        <v>105717</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206199</v>
      </c>
      <c r="E27" s="1807">
        <f>E8</f>
        <v>0</v>
      </c>
      <c r="F27" s="1807">
        <f>'Expenditures 15-22'!K60-SUM('Expenditures 15-22'!G60,'Expenditures 15-22'!I60)+'Expenditures 15-22'!D264-E8</f>
        <v>206199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2897167</v>
      </c>
      <c r="F28" s="1809">
        <f>'Expenditures 15-22'!K61-SUM('Expenditures 15-22'!G61,'Expenditures 15-22'!I61)+'Expenditures 15-22'!K124-SUM('Expenditures 15-22'!G124,'Expenditures 15-22'!I124)+'Expenditures 15-22'!D266-E9</f>
        <v>2897167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2096948</v>
      </c>
      <c r="F29" s="1805"/>
      <c r="G29" s="1808">
        <f>'Expenditures 15-22'!K62-SUM('Expenditures 15-22'!G62,'Expenditures 15-22'!I62)+'Expenditures 15-22'!K125-SUM('Expenditures 15-22'!G125,'Expenditures 15-22'!I125)+'Expenditures 15-22'!K182-SUM('Expenditures 15-22'!G182,'Expenditures 15-22'!I182)+'Expenditures 15-22'!D267</f>
        <v>2096948</v>
      </c>
      <c r="H29" s="815"/>
    </row>
    <row r="30" spans="1:9" ht="12" customHeight="1" x14ac:dyDescent="0.2">
      <c r="A30" s="824" t="s">
        <v>100</v>
      </c>
      <c r="B30" s="827"/>
      <c r="C30" s="823">
        <v>2560</v>
      </c>
      <c r="D30" s="1805"/>
      <c r="E30" s="1807">
        <f>'Expenditures 15-22'!K63-SUM('Expenditures 15-22'!G63,'Expenditures 15-22'!I63)+'Expenditures 15-22'!D268-E10</f>
        <v>535657</v>
      </c>
      <c r="F30" s="1805"/>
      <c r="G30" s="1807">
        <f>'Expenditures 15-22'!K63-SUM('Expenditures 15-22'!G63,'Expenditures 15-22'!I63)+'Expenditures 15-22'!D268-E10</f>
        <v>535657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709</v>
      </c>
      <c r="F35" s="1805"/>
      <c r="G35" s="1807">
        <f>'Expenditures 15-22'!K69-SUM('Expenditures 15-22'!G69,'Expenditures 15-22'!I69)+'Expenditures 15-22'!D274</f>
        <v>709</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617</v>
      </c>
      <c r="F38" s="1805"/>
      <c r="G38" s="1807">
        <f>'Expenditures 15-22'!K73-SUM('Expenditures 15-22'!G73,'Expenditures 15-22'!I73)+'Expenditures 15-22'!K128-SUM('Expenditures 15-22'!G128,'Expenditures 15-22'!I128)+'Expenditures 15-22'!K183-SUM('Expenditures 15-22'!G183,'Expenditures 15-22'!I183)+'Expenditures 15-22'!D278</f>
        <v>617</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20</v>
      </c>
      <c r="F39" s="1805"/>
      <c r="G39" s="1807">
        <f>'Expenditures 15-22'!K75-SUM('Expenditures 15-22'!G75,'Expenditures 15-22'!I75)+'Expenditures 15-22'!K130-SUM('Expenditures 15-22'!G130,'Expenditures 15-22'!I130)+'Expenditures 15-22'!K185-SUM('Expenditures 15-22'!G185,'Expenditures 15-22'!I185)+'Expenditures 15-22'!D280</f>
        <v>20</v>
      </c>
    </row>
    <row r="40" spans="1:7" ht="12" customHeight="1" x14ac:dyDescent="0.2">
      <c r="A40" s="820" t="s">
        <v>1795</v>
      </c>
      <c r="B40" s="821"/>
      <c r="C40" s="823"/>
      <c r="D40" s="1805"/>
      <c r="E40" s="1809">
        <f>-'Contracts Paid in CY 29'!F142</f>
        <v>-2051621</v>
      </c>
      <c r="F40" s="1805"/>
      <c r="G40" s="1809">
        <f>-'Contracts Paid in CY 29'!F142</f>
        <v>-2051621</v>
      </c>
    </row>
    <row r="41" spans="1:7" ht="12" customHeight="1" x14ac:dyDescent="0.2">
      <c r="A41" s="828" t="s">
        <v>155</v>
      </c>
      <c r="B41" s="829"/>
      <c r="C41" s="830"/>
      <c r="D41" s="1809">
        <f>SUM(D19:D39)</f>
        <v>311916</v>
      </c>
      <c r="E41" s="1809">
        <f>SUM(E19:E40)</f>
        <v>24427167</v>
      </c>
      <c r="F41" s="1809">
        <f>SUM(F19:F39)</f>
        <v>3209083</v>
      </c>
      <c r="G41" s="1809">
        <f>SUM(G19:G40)</f>
        <v>21530000</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311916</v>
      </c>
      <c r="F43" s="1458" t="s">
        <v>470</v>
      </c>
      <c r="G43" s="1810">
        <f>F41</f>
        <v>3209083</v>
      </c>
    </row>
    <row r="44" spans="1:7" ht="12" customHeight="1" x14ac:dyDescent="0.2">
      <c r="A44" s="817"/>
      <c r="B44" s="157"/>
      <c r="C44" s="831"/>
      <c r="D44" s="1458" t="s">
        <v>471</v>
      </c>
      <c r="E44" s="1810">
        <f>E41</f>
        <v>24427167</v>
      </c>
      <c r="F44" s="1458" t="s">
        <v>471</v>
      </c>
      <c r="G44" s="1810">
        <f>G41</f>
        <v>21530000</v>
      </c>
    </row>
    <row r="45" spans="1:7" ht="12" customHeight="1" x14ac:dyDescent="0.2">
      <c r="A45" s="817"/>
      <c r="B45" s="157"/>
      <c r="C45" s="157"/>
      <c r="D45" s="1459" t="s">
        <v>999</v>
      </c>
      <c r="E45" s="1811">
        <f>(E43/E44)</f>
        <v>1.2769225346516852E-2</v>
      </c>
      <c r="F45" s="1459" t="s">
        <v>999</v>
      </c>
      <c r="G45" s="1811">
        <f>(G43/G44)</f>
        <v>0.14905169530887133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31" sqref="F3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Coal City CUSD 1</v>
      </c>
      <c r="D6" s="2416"/>
      <c r="E6" s="2416"/>
      <c r="F6" s="1482"/>
      <c r="G6" s="1507"/>
      <c r="L6" s="1507"/>
      <c r="M6" s="1855"/>
      <c r="N6" s="1855"/>
      <c r="O6" s="1855"/>
    </row>
    <row r="7" spans="1:15" ht="11.25" customHeight="1" thickBot="1" x14ac:dyDescent="0.3">
      <c r="A7" s="1480"/>
      <c r="B7" s="1481"/>
      <c r="C7" s="2417">
        <f>COVER!A13</f>
        <v>24032001026</v>
      </c>
      <c r="D7" s="2417"/>
      <c r="E7" s="2417"/>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2048</v>
      </c>
      <c r="D15" s="1495" t="s">
        <v>2048</v>
      </c>
      <c r="E15" s="1498"/>
      <c r="F15" s="1497" t="s">
        <v>2070</v>
      </c>
      <c r="G15" s="1507"/>
      <c r="H15" s="1507">
        <f t="shared" si="0"/>
        <v>5</v>
      </c>
      <c r="I15" s="1507">
        <f t="shared" si="1"/>
        <v>5</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t="s">
        <v>2048</v>
      </c>
      <c r="D20" s="1495" t="s">
        <v>2048</v>
      </c>
      <c r="E20" s="1498"/>
      <c r="F20" s="1497" t="s">
        <v>2071</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2048</v>
      </c>
      <c r="D28" s="1495" t="s">
        <v>2048</v>
      </c>
      <c r="E28" s="1498"/>
      <c r="F28" s="1497" t="s">
        <v>2072</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2048</v>
      </c>
      <c r="D30" s="1495" t="s">
        <v>2048</v>
      </c>
      <c r="E30" s="1498"/>
      <c r="F30" s="1497" t="s">
        <v>2073</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2048</v>
      </c>
      <c r="D31" s="1495" t="s">
        <v>2048</v>
      </c>
      <c r="E31" s="1498"/>
      <c r="F31" s="1497" t="s">
        <v>2074</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60" sqref="I60"/>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Coal City CUSD 1</v>
      </c>
      <c r="K6" s="2438"/>
      <c r="L6" s="2452"/>
      <c r="M6" s="838"/>
      <c r="N6" s="1998"/>
    </row>
    <row r="7" spans="1:14" x14ac:dyDescent="0.2">
      <c r="A7" s="2453" t="s">
        <v>864</v>
      </c>
      <c r="B7" s="2454"/>
      <c r="C7" s="2454"/>
      <c r="D7" s="2454"/>
      <c r="E7" s="2455"/>
      <c r="F7" s="839"/>
      <c r="G7" s="838"/>
      <c r="H7" s="838"/>
      <c r="I7" s="1924" t="s">
        <v>369</v>
      </c>
      <c r="J7" s="2440">
        <f>COVER!A13</f>
        <v>24032001026</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315578</v>
      </c>
      <c r="F12" s="1942"/>
      <c r="G12" s="1968">
        <f>G68</f>
        <v>81047</v>
      </c>
      <c r="H12" s="1944">
        <f t="shared" ref="H12:H18" si="0">SUM(E12:G12)</f>
        <v>396625</v>
      </c>
      <c r="I12" s="1943">
        <v>323303</v>
      </c>
      <c r="J12" s="1942"/>
      <c r="K12" s="1943"/>
      <c r="L12" s="1944">
        <f t="shared" ref="L12:L18" si="1">SUM(I12:K12)</f>
        <v>323303</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1600</v>
      </c>
      <c r="F14" s="1942"/>
      <c r="G14" s="1968">
        <f>I68</f>
        <v>60000</v>
      </c>
      <c r="H14" s="1944">
        <f t="shared" si="0"/>
        <v>61600</v>
      </c>
      <c r="I14" s="1943">
        <v>3000</v>
      </c>
      <c r="J14" s="1942"/>
      <c r="K14" s="1943"/>
      <c r="L14" s="1944">
        <f t="shared" si="1"/>
        <v>3000</v>
      </c>
      <c r="M14" s="838"/>
      <c r="N14" s="1998"/>
    </row>
    <row r="15" spans="1:14" x14ac:dyDescent="0.2">
      <c r="A15" s="2003">
        <v>4</v>
      </c>
      <c r="B15" s="1940" t="s">
        <v>1059</v>
      </c>
      <c r="C15" s="842"/>
      <c r="D15" s="1941">
        <v>2510</v>
      </c>
      <c r="E15" s="1944">
        <f>'Expenditures 15-22'!K59</f>
        <v>104601</v>
      </c>
      <c r="F15" s="1944">
        <f>'Expenditures 15-22'!K122</f>
        <v>0</v>
      </c>
      <c r="G15" s="1968">
        <f>J68</f>
        <v>0</v>
      </c>
      <c r="H15" s="1944">
        <f t="shared" si="0"/>
        <v>104601</v>
      </c>
      <c r="I15" s="1943">
        <v>98100</v>
      </c>
      <c r="J15" s="1943"/>
      <c r="K15" s="1943"/>
      <c r="L15" s="1944">
        <f t="shared" si="1"/>
        <v>98100</v>
      </c>
      <c r="M15" s="838"/>
      <c r="N15" s="1998"/>
    </row>
    <row r="16" spans="1:14" x14ac:dyDescent="0.2">
      <c r="A16" s="2003">
        <v>5</v>
      </c>
      <c r="B16" s="1940" t="s">
        <v>101</v>
      </c>
      <c r="C16" s="842"/>
      <c r="D16" s="1941">
        <v>2570</v>
      </c>
      <c r="E16" s="1944">
        <f>'Expenditures 15-22'!K64</f>
        <v>0</v>
      </c>
      <c r="F16" s="1942"/>
      <c r="G16" s="1968">
        <f>K68</f>
        <v>6727</v>
      </c>
      <c r="H16" s="1944">
        <f t="shared" si="0"/>
        <v>6727</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421779</v>
      </c>
      <c r="F19" s="1950">
        <f t="shared" si="2"/>
        <v>0</v>
      </c>
      <c r="G19" s="1950">
        <f t="shared" ref="G19" si="3">SUM(G12:G17)-G18</f>
        <v>147774</v>
      </c>
      <c r="H19" s="1950">
        <f t="shared" si="2"/>
        <v>569553</v>
      </c>
      <c r="I19" s="1950">
        <f t="shared" si="2"/>
        <v>424403</v>
      </c>
      <c r="J19" s="1950">
        <f t="shared" si="2"/>
        <v>0</v>
      </c>
      <c r="K19" s="1950">
        <f t="shared" si="2"/>
        <v>0</v>
      </c>
      <c r="L19" s="1950">
        <f t="shared" si="2"/>
        <v>424403</v>
      </c>
      <c r="M19" s="838"/>
      <c r="N19" s="1998"/>
    </row>
    <row r="20" spans="1:14" ht="13.5" thickTop="1" x14ac:dyDescent="0.2">
      <c r="A20" s="2003">
        <v>9</v>
      </c>
      <c r="B20" s="2462" t="s">
        <v>2018</v>
      </c>
      <c r="C20" s="2462"/>
      <c r="D20" s="2463"/>
      <c r="E20" s="1951"/>
      <c r="F20" s="1951"/>
      <c r="G20" s="1951"/>
      <c r="H20" s="1951"/>
      <c r="I20" s="1951"/>
      <c r="J20" s="1951"/>
      <c r="K20" s="1951"/>
      <c r="L20" s="1952">
        <f>IF(AND(H19&gt;0,L19&gt;0),(((L19-H19)/H19)),"Enter Budget Data")</f>
        <v>-0.25484897805823165</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2021</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2022</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2023</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2024</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35" t="s">
        <v>2026</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Coal City CUSD 1</v>
      </c>
      <c r="M52" s="2438"/>
      <c r="N52" s="2439"/>
    </row>
    <row r="53" spans="1:14" x14ac:dyDescent="0.2">
      <c r="A53" s="1982"/>
      <c r="B53" s="1983"/>
      <c r="C53" s="1983"/>
      <c r="D53" s="1983"/>
      <c r="E53" s="1983"/>
      <c r="F53" s="1983"/>
      <c r="G53" s="1983"/>
      <c r="H53" s="1983"/>
      <c r="I53" s="1983"/>
      <c r="J53" s="1983"/>
      <c r="K53" s="1924" t="s">
        <v>369</v>
      </c>
      <c r="L53" s="2440">
        <f>J7</f>
        <v>24032001026</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2027</v>
      </c>
      <c r="H55" s="2444"/>
      <c r="I55" s="2444"/>
      <c r="J55" s="2444"/>
      <c r="K55" s="2444"/>
      <c r="L55" s="2444"/>
      <c r="M55" s="2444"/>
      <c r="N55" s="2445"/>
    </row>
    <row r="56" spans="1:14" ht="63.75" x14ac:dyDescent="0.2">
      <c r="A56" s="2446" t="s">
        <v>2028</v>
      </c>
      <c r="B56" s="2447"/>
      <c r="C56" s="2448"/>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2038</v>
      </c>
      <c r="B58" s="2427"/>
      <c r="C58" s="2427"/>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0" t="s">
        <v>297</v>
      </c>
      <c r="B59" s="2421"/>
      <c r="C59" s="242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0" t="s">
        <v>236</v>
      </c>
      <c r="B60" s="2421"/>
      <c r="C60" s="2421"/>
      <c r="D60" s="1967">
        <v>2364</v>
      </c>
      <c r="E60" s="1977">
        <f>'Expenditures 15-22'!K322</f>
        <v>81047</v>
      </c>
      <c r="F60" s="1972"/>
      <c r="G60" s="2031">
        <v>81047</v>
      </c>
      <c r="H60" s="2032"/>
      <c r="I60" s="2032"/>
      <c r="J60" s="2032"/>
      <c r="K60" s="2032"/>
      <c r="L60" s="2032"/>
      <c r="M60" s="2032"/>
      <c r="N60" s="1975">
        <f t="shared" ref="N60:N67" si="4">IF((SUM(G60:M60))=E60,SUM(G60:M60),"Column N does not agree with Column E")</f>
        <v>81047</v>
      </c>
    </row>
    <row r="61" spans="1:14" ht="24.75" customHeight="1" x14ac:dyDescent="0.2">
      <c r="A61" s="2420" t="s">
        <v>697</v>
      </c>
      <c r="B61" s="2421"/>
      <c r="C61" s="2421"/>
      <c r="D61" s="1967">
        <v>2365</v>
      </c>
      <c r="E61" s="1977">
        <f>'Expenditures 15-22'!K323</f>
        <v>60000</v>
      </c>
      <c r="F61" s="1972"/>
      <c r="G61" s="2031"/>
      <c r="H61" s="2032"/>
      <c r="I61" s="2032">
        <v>60000</v>
      </c>
      <c r="J61" s="2032"/>
      <c r="K61" s="2032"/>
      <c r="L61" s="2032"/>
      <c r="M61" s="2032"/>
      <c r="N61" s="1975">
        <f t="shared" si="4"/>
        <v>60000</v>
      </c>
    </row>
    <row r="62" spans="1:14" ht="24" customHeight="1" x14ac:dyDescent="0.2">
      <c r="A62" s="2420" t="s">
        <v>237</v>
      </c>
      <c r="B62" s="2421"/>
      <c r="C62" s="2421"/>
      <c r="D62" s="1967">
        <v>2366</v>
      </c>
      <c r="E62" s="1977">
        <f>'Expenditures 15-22'!K324</f>
        <v>0</v>
      </c>
      <c r="F62" s="1972"/>
      <c r="G62" s="2031"/>
      <c r="H62" s="2032"/>
      <c r="I62" s="2032"/>
      <c r="J62" s="2032"/>
      <c r="K62" s="2032"/>
      <c r="L62" s="2032"/>
      <c r="M62" s="2032"/>
      <c r="N62" s="1975">
        <f t="shared" si="4"/>
        <v>0</v>
      </c>
    </row>
    <row r="63" spans="1:14" ht="24" customHeight="1" x14ac:dyDescent="0.2">
      <c r="A63" s="2426" t="s">
        <v>1022</v>
      </c>
      <c r="B63" s="2427"/>
      <c r="C63" s="2427"/>
      <c r="D63" s="1967">
        <v>2367</v>
      </c>
      <c r="E63" s="1977">
        <f>'Expenditures 15-22'!K325</f>
        <v>6727</v>
      </c>
      <c r="F63" s="1972"/>
      <c r="G63" s="2031"/>
      <c r="H63" s="2032"/>
      <c r="I63" s="2032"/>
      <c r="J63" s="2032"/>
      <c r="K63" s="2032">
        <v>6727</v>
      </c>
      <c r="L63" s="2032"/>
      <c r="M63" s="2032"/>
      <c r="N63" s="1975">
        <f t="shared" si="4"/>
        <v>6727</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0</v>
      </c>
      <c r="F65" s="1972"/>
      <c r="G65" s="2031"/>
      <c r="H65" s="2032"/>
      <c r="I65" s="2032"/>
      <c r="J65" s="2032"/>
      <c r="K65" s="2032"/>
      <c r="L65" s="2032"/>
      <c r="M65" s="2032"/>
      <c r="N65" s="1975">
        <f t="shared" si="4"/>
        <v>0</v>
      </c>
    </row>
    <row r="66" spans="1:14" ht="24" customHeight="1" x14ac:dyDescent="0.2">
      <c r="A66" s="2420" t="s">
        <v>469</v>
      </c>
      <c r="B66" s="2421"/>
      <c r="C66" s="2421"/>
      <c r="D66" s="1967">
        <v>2371</v>
      </c>
      <c r="E66" s="1977">
        <f>'Expenditures 15-22'!K328</f>
        <v>0</v>
      </c>
      <c r="F66" s="1972"/>
      <c r="G66" s="2031"/>
      <c r="H66" s="2032"/>
      <c r="I66" s="2032"/>
      <c r="J66" s="2032"/>
      <c r="K66" s="2032"/>
      <c r="L66" s="2032"/>
      <c r="M66" s="2032"/>
      <c r="N66" s="1975">
        <f t="shared" si="4"/>
        <v>0</v>
      </c>
    </row>
    <row r="67" spans="1:14" ht="24.75" customHeight="1" x14ac:dyDescent="0.2">
      <c r="A67" s="2422" t="s">
        <v>2039</v>
      </c>
      <c r="B67" s="2423"/>
      <c r="C67" s="2423"/>
      <c r="D67" s="1969">
        <v>2372</v>
      </c>
      <c r="E67" s="1978">
        <f>'Expenditures 15-22'!K329</f>
        <v>0</v>
      </c>
      <c r="F67" s="1972"/>
      <c r="G67" s="2033"/>
      <c r="H67" s="2034"/>
      <c r="I67" s="2034"/>
      <c r="J67" s="2034"/>
      <c r="K67" s="2034"/>
      <c r="L67" s="2034"/>
      <c r="M67" s="2034"/>
      <c r="N67" s="1975">
        <f t="shared" si="4"/>
        <v>0</v>
      </c>
    </row>
    <row r="68" spans="1:14" x14ac:dyDescent="0.2">
      <c r="A68" s="2424" t="s">
        <v>1151</v>
      </c>
      <c r="B68" s="2425"/>
      <c r="C68" s="2425"/>
      <c r="D68" s="1970"/>
      <c r="E68" s="1974">
        <f>SUM(E57:E67)</f>
        <v>147774</v>
      </c>
      <c r="F68" s="1973"/>
      <c r="G68" s="1974">
        <f t="shared" ref="G68:N68" si="5">SUM(G57:G67)</f>
        <v>81047</v>
      </c>
      <c r="H68" s="1974">
        <f t="shared" si="5"/>
        <v>0</v>
      </c>
      <c r="I68" s="1974">
        <f t="shared" si="5"/>
        <v>60000</v>
      </c>
      <c r="J68" s="1974">
        <f t="shared" si="5"/>
        <v>0</v>
      </c>
      <c r="K68" s="1974">
        <f t="shared" si="5"/>
        <v>6727</v>
      </c>
      <c r="L68" s="1974">
        <f t="shared" si="5"/>
        <v>0</v>
      </c>
      <c r="M68" s="1974">
        <f t="shared" si="5"/>
        <v>0</v>
      </c>
      <c r="N68" s="1988">
        <f t="shared" si="5"/>
        <v>147774</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8" sqref="B1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row>
    <row r="6" spans="1:2" x14ac:dyDescent="0.2">
      <c r="A6" s="847">
        <v>1</v>
      </c>
      <c r="B6" s="307" t="s">
        <v>2075</v>
      </c>
    </row>
    <row r="7" spans="1:2" x14ac:dyDescent="0.2">
      <c r="A7" s="847">
        <v>2</v>
      </c>
      <c r="B7" s="307" t="s">
        <v>2076</v>
      </c>
    </row>
    <row r="8" spans="1:2" x14ac:dyDescent="0.2">
      <c r="A8" s="847">
        <v>3</v>
      </c>
      <c r="B8" s="307" t="s">
        <v>2082</v>
      </c>
    </row>
    <row r="9" spans="1:2" x14ac:dyDescent="0.2">
      <c r="A9" s="848">
        <v>4</v>
      </c>
      <c r="B9" s="307" t="s">
        <v>2077</v>
      </c>
    </row>
    <row r="10" spans="1:2" x14ac:dyDescent="0.2">
      <c r="A10" s="848">
        <v>5</v>
      </c>
      <c r="B10" s="307" t="s">
        <v>2078</v>
      </c>
    </row>
    <row r="11" spans="1:2" x14ac:dyDescent="0.2">
      <c r="A11" s="848">
        <v>6</v>
      </c>
      <c r="B11" s="307" t="s">
        <v>2079</v>
      </c>
    </row>
    <row r="12" spans="1:2" x14ac:dyDescent="0.2">
      <c r="A12" s="848">
        <v>7</v>
      </c>
      <c r="B12" s="307" t="s">
        <v>2080</v>
      </c>
    </row>
    <row r="13" spans="1:2" x14ac:dyDescent="0.2">
      <c r="A13" s="848">
        <v>8</v>
      </c>
      <c r="B13" s="307" t="s">
        <v>2122</v>
      </c>
    </row>
    <row r="14" spans="1:2" x14ac:dyDescent="0.2">
      <c r="A14" s="848">
        <v>9</v>
      </c>
      <c r="B14" s="307" t="s">
        <v>2123</v>
      </c>
    </row>
    <row r="15" spans="1:2" x14ac:dyDescent="0.2">
      <c r="A15" s="848">
        <v>10</v>
      </c>
      <c r="B15" s="307" t="s">
        <v>2124</v>
      </c>
    </row>
    <row r="16" spans="1:2" x14ac:dyDescent="0.2">
      <c r="A16" s="848">
        <v>11</v>
      </c>
      <c r="B16" s="307" t="s">
        <v>2125</v>
      </c>
    </row>
    <row r="17" spans="1:2" x14ac:dyDescent="0.2">
      <c r="A17" s="848">
        <v>12</v>
      </c>
      <c r="B17" s="307" t="s">
        <v>2126</v>
      </c>
    </row>
    <row r="18" spans="1:2" x14ac:dyDescent="0.2">
      <c r="A18" s="848"/>
    </row>
    <row r="19" spans="1:2" x14ac:dyDescent="0.2">
      <c r="A19" s="848"/>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Coal City CUSD 1</v>
      </c>
    </row>
    <row r="65" spans="2:2" x14ac:dyDescent="0.2">
      <c r="B65" s="849">
        <f>COVER!A13</f>
        <v>24032001026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3" sqref="A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9" colorId="8" zoomScale="110" zoomScaleNormal="110" workbookViewId="0">
      <selection activeCell="D54" sqref="D5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69" t="s">
        <v>660</v>
      </c>
      <c r="B3" s="2470"/>
      <c r="C3" s="2470"/>
      <c r="D3" s="2471"/>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80" t="s">
        <v>1487</v>
      </c>
      <c r="D7" s="2481"/>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72" t="s">
        <v>1001</v>
      </c>
      <c r="B15" s="2473"/>
      <c r="C15" s="2473"/>
      <c r="D15" s="2474"/>
    </row>
    <row r="16" spans="1:4" s="542" customFormat="1" ht="24" customHeight="1" x14ac:dyDescent="0.2">
      <c r="A16" s="2475" t="s">
        <v>658</v>
      </c>
      <c r="B16" s="2476"/>
      <c r="C16" s="2476"/>
      <c r="D16" s="2477"/>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484" t="s">
        <v>311</v>
      </c>
      <c r="D21" s="2485"/>
    </row>
    <row r="22" spans="1:10" ht="12.75" x14ac:dyDescent="0.2">
      <c r="A22" s="918"/>
      <c r="B22" s="919">
        <v>2</v>
      </c>
      <c r="C22" s="2482" t="s">
        <v>1507</v>
      </c>
      <c r="D22" s="248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86" t="s">
        <v>533</v>
      </c>
      <c r="D43" s="248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ERROR!</v>
      </c>
    </row>
    <row r="55" spans="1:4" x14ac:dyDescent="0.2">
      <c r="A55" s="898"/>
      <c r="B55" s="900"/>
      <c r="C55" s="901" t="s">
        <v>1335</v>
      </c>
      <c r="D55" s="902" t="str">
        <f>IF(SUM('Assets-Liab 5-6'!N23)&lt;&gt;('Assets-Liab 5-6'!N41),"ERROR!","OK")</f>
        <v>OK</v>
      </c>
    </row>
    <row r="56" spans="1:4" x14ac:dyDescent="0.2">
      <c r="A56" s="879"/>
      <c r="B56" s="899">
        <f>B43+1</f>
        <v>6</v>
      </c>
      <c r="C56" s="2478" t="s">
        <v>779</v>
      </c>
      <c r="D56" s="247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478" t="s">
        <v>1674</v>
      </c>
      <c r="D70" s="247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24032001026</v>
      </c>
      <c r="E2" s="1542">
        <v>2020</v>
      </c>
      <c r="F2" s="1542">
        <v>1</v>
      </c>
      <c r="G2" s="1899">
        <v>101000300</v>
      </c>
    </row>
    <row r="3" spans="1:7" ht="15" x14ac:dyDescent="0.25">
      <c r="A3" t="s">
        <v>950</v>
      </c>
      <c r="B3" s="135" t="str">
        <f>COVER!A15</f>
        <v>Grundy</v>
      </c>
      <c r="E3" s="1830" t="s">
        <v>1968</v>
      </c>
      <c r="F3" s="1830" t="s">
        <v>1967</v>
      </c>
      <c r="G3" s="1899">
        <v>101000400</v>
      </c>
    </row>
    <row r="4" spans="1:7" ht="15" x14ac:dyDescent="0.25">
      <c r="A4" t="s">
        <v>1000</v>
      </c>
      <c r="B4" s="135" t="str">
        <f>COVER!A17</f>
        <v>Coal City CUSD 1</v>
      </c>
      <c r="E4" s="1828">
        <v>44119</v>
      </c>
      <c r="F4" s="1829">
        <v>44151</v>
      </c>
      <c r="G4" s="1899">
        <v>101000600</v>
      </c>
    </row>
    <row r="5" spans="1:7" ht="15" x14ac:dyDescent="0.25">
      <c r="A5" t="s">
        <v>699</v>
      </c>
      <c r="B5" s="135" t="str">
        <f>COVER!A38</f>
        <v>Dr. Kent Bugg</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066-005100</v>
      </c>
      <c r="G15" s="1899">
        <v>402100400</v>
      </c>
    </row>
    <row r="16" spans="1:7" ht="15" x14ac:dyDescent="0.25">
      <c r="A16" t="s">
        <v>419</v>
      </c>
      <c r="B16" s="135" t="str">
        <f>COVER!T13</f>
        <v>Mack &amp; Associates, P.C.</v>
      </c>
      <c r="G16" s="1899">
        <v>402100600</v>
      </c>
    </row>
    <row r="17" spans="1:7" ht="15" x14ac:dyDescent="0.25">
      <c r="A17" t="s">
        <v>878</v>
      </c>
      <c r="B17" s="135" t="str">
        <f>COVER!T15</f>
        <v>Tawnya Mack, CPA</v>
      </c>
      <c r="G17" s="1899">
        <v>402100800</v>
      </c>
    </row>
    <row r="18" spans="1:7" ht="15" x14ac:dyDescent="0.25">
      <c r="A18" t="s">
        <v>1140</v>
      </c>
      <c r="B18" s="135" t="str">
        <f>COVER!T17</f>
        <v>116 E. Washington Street, Suite One</v>
      </c>
      <c r="G18" s="1899">
        <v>102200300</v>
      </c>
    </row>
    <row r="19" spans="1:7" ht="15" x14ac:dyDescent="0.25">
      <c r="A19" t="s">
        <v>880</v>
      </c>
      <c r="B19" s="135" t="str">
        <f>COVER!T25</f>
        <v>tmack@mackcpas.com</v>
      </c>
      <c r="G19" s="1899">
        <v>102200400</v>
      </c>
    </row>
    <row r="20" spans="1:7" ht="15" x14ac:dyDescent="0.25">
      <c r="A20" t="s">
        <v>881</v>
      </c>
      <c r="B20" s="135" t="str">
        <f>COVER!T19</f>
        <v>Morris</v>
      </c>
      <c r="G20" s="1899">
        <v>102200600</v>
      </c>
    </row>
    <row r="21" spans="1:7" ht="15" x14ac:dyDescent="0.25">
      <c r="A21" t="s">
        <v>476</v>
      </c>
      <c r="B21" s="135" t="str">
        <f>COVER!X19</f>
        <v>IL</v>
      </c>
      <c r="G21" s="1899">
        <v>102200800</v>
      </c>
    </row>
    <row r="22" spans="1:7" ht="15" x14ac:dyDescent="0.25">
      <c r="A22" t="s">
        <v>882</v>
      </c>
      <c r="B22" s="135">
        <f>COVER!Z19</f>
        <v>60450</v>
      </c>
      <c r="G22" s="1899">
        <v>102300300</v>
      </c>
    </row>
    <row r="23" spans="1:7" ht="15" x14ac:dyDescent="0.25">
      <c r="A23" t="s">
        <v>1142</v>
      </c>
      <c r="B23" s="135" t="str">
        <f>COVER!T21</f>
        <v>815-942-3306</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11115676</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12133122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289308</v>
      </c>
      <c r="C91" s="2" t="s">
        <v>569</v>
      </c>
      <c r="D91" s="2" t="str">
        <f t="shared" si="0"/>
        <v>Error?</v>
      </c>
      <c r="G91" s="1899">
        <v>102640400</v>
      </c>
    </row>
    <row r="92" spans="1:7" ht="15" x14ac:dyDescent="0.25">
      <c r="A92" s="5">
        <v>31</v>
      </c>
      <c r="B92" s="1832">
        <f>'Assets-Liab 5-6'!C39</f>
        <v>10444247</v>
      </c>
      <c r="D92" s="2" t="str">
        <f t="shared" si="0"/>
        <v>Error?</v>
      </c>
      <c r="G92" s="1899">
        <v>102640600</v>
      </c>
    </row>
    <row r="93" spans="1:7" ht="15" x14ac:dyDescent="0.25">
      <c r="A93" s="5">
        <v>32</v>
      </c>
      <c r="B93" s="1832">
        <f>'Assets-Liab 5-6'!C41</f>
        <v>12133122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1968262</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1968262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266100</v>
      </c>
      <c r="C122" s="2" t="s">
        <v>569</v>
      </c>
      <c r="D122" s="2" t="str">
        <f t="shared" si="0"/>
        <v>Error?</v>
      </c>
      <c r="G122" s="1899">
        <v>203000300</v>
      </c>
    </row>
    <row r="123" spans="1:7" ht="15" x14ac:dyDescent="0.25">
      <c r="A123" s="5">
        <v>62</v>
      </c>
      <c r="B123" s="1832">
        <f>'Assets-Liab 5-6'!D39</f>
        <v>1644162</v>
      </c>
      <c r="D123" s="2" t="str">
        <f t="shared" si="0"/>
        <v>Error?</v>
      </c>
      <c r="G123" s="1899">
        <v>203000400</v>
      </c>
    </row>
    <row r="124" spans="1:7" ht="15" x14ac:dyDescent="0.25">
      <c r="A124" s="5">
        <v>63</v>
      </c>
      <c r="B124" s="1832">
        <f>'Assets-Liab 5-6'!D41</f>
        <v>1968262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152284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116222</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152284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2494343</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2604052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2604052</v>
      </c>
      <c r="D170" s="2" t="str">
        <f t="shared" si="1"/>
        <v>Error?</v>
      </c>
    </row>
    <row r="171" spans="1:4" x14ac:dyDescent="0.2">
      <c r="A171" s="5">
        <v>110</v>
      </c>
      <c r="B171" s="1832">
        <f>'Assets-Liab 5-6'!F41</f>
        <v>2604052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301786</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301786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17116</v>
      </c>
      <c r="C188" s="2" t="s">
        <v>569</v>
      </c>
      <c r="D188" s="2" t="str">
        <f t="shared" si="1"/>
        <v>Error?</v>
      </c>
    </row>
    <row r="189" spans="1:4" x14ac:dyDescent="0.2">
      <c r="A189" s="5">
        <v>128</v>
      </c>
      <c r="B189" s="1832">
        <f>'Assets-Liab 5-6'!G39</f>
        <v>-126897</v>
      </c>
      <c r="D189" s="2" t="str">
        <f t="shared" si="1"/>
        <v>Error?</v>
      </c>
    </row>
    <row r="190" spans="1:4" x14ac:dyDescent="0.2">
      <c r="A190" s="5">
        <v>129</v>
      </c>
      <c r="B190" s="1832">
        <f>'Assets-Liab 5-6'!G41</f>
        <v>301786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597071</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597071</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6457620</v>
      </c>
      <c r="D273" s="2" t="str">
        <f t="shared" si="3"/>
        <v>Error?</v>
      </c>
    </row>
    <row r="274" spans="1:4" x14ac:dyDescent="0.2">
      <c r="A274" s="5">
        <v>213</v>
      </c>
      <c r="B274" s="1832">
        <f>'Assets-Liab 5-6'!M17</f>
        <v>50072414</v>
      </c>
      <c r="D274" s="2" t="str">
        <f t="shared" si="3"/>
        <v>Error?</v>
      </c>
    </row>
    <row r="275" spans="1:4" x14ac:dyDescent="0.2">
      <c r="A275" s="5">
        <v>214</v>
      </c>
      <c r="B275" s="1832">
        <f>'Assets-Liab 5-6'!M18</f>
        <v>1078446</v>
      </c>
      <c r="D275" s="2" t="str">
        <f t="shared" si="3"/>
        <v>Error?</v>
      </c>
    </row>
    <row r="276" spans="1:4" x14ac:dyDescent="0.2">
      <c r="A276" s="5">
        <v>215</v>
      </c>
      <c r="B276" s="1832">
        <f>'Assets-Liab 5-6'!M19</f>
        <v>513038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58121518</v>
      </c>
      <c r="C279" s="2" t="s">
        <v>569</v>
      </c>
      <c r="D279" s="2" t="str">
        <f t="shared" si="3"/>
        <v>Error?</v>
      </c>
    </row>
    <row r="280" spans="1:4" x14ac:dyDescent="0.2">
      <c r="A280" s="5">
        <v>219</v>
      </c>
      <c r="B280" s="1832">
        <f>'Assets-Liab 5-6'!M40</f>
        <v>58121510</v>
      </c>
      <c r="D280" s="2" t="str">
        <f t="shared" si="3"/>
        <v>Error?</v>
      </c>
    </row>
    <row r="281" spans="1:4" x14ac:dyDescent="0.2">
      <c r="A281" s="5">
        <v>220</v>
      </c>
      <c r="B281" s="1832">
        <f>'Assets-Liab 5-6'!M41</f>
        <v>58121510</v>
      </c>
      <c r="C281" s="2" t="s">
        <v>569</v>
      </c>
      <c r="D281" s="2" t="str">
        <f t="shared" si="3"/>
        <v>Error?</v>
      </c>
    </row>
    <row r="282" spans="1:4" x14ac:dyDescent="0.2">
      <c r="A282" s="5">
        <v>221</v>
      </c>
      <c r="B282" s="1832">
        <f>'Assets-Liab 5-6'!N21</f>
        <v>36062</v>
      </c>
      <c r="D282" s="2" t="str">
        <f t="shared" si="3"/>
        <v>Error?</v>
      </c>
    </row>
    <row r="283" spans="1:4" x14ac:dyDescent="0.2">
      <c r="A283" s="5">
        <v>222</v>
      </c>
      <c r="B283" s="1832">
        <f>'Assets-Liab 5-6'!N22</f>
        <v>30113938</v>
      </c>
      <c r="D283" s="2" t="str">
        <f t="shared" si="3"/>
        <v>Error?</v>
      </c>
    </row>
    <row r="284" spans="1:4" x14ac:dyDescent="0.2">
      <c r="A284" s="5">
        <v>223</v>
      </c>
      <c r="B284" s="1832">
        <f>'Assets-Liab 5-6'!N23</f>
        <v>30150000</v>
      </c>
      <c r="C284" s="2" t="s">
        <v>569</v>
      </c>
      <c r="D284" s="2" t="str">
        <f t="shared" si="3"/>
        <v>Error?</v>
      </c>
    </row>
    <row r="285" spans="1:4" x14ac:dyDescent="0.2">
      <c r="A285" s="5">
        <v>224</v>
      </c>
      <c r="B285" s="1832">
        <f>'Assets-Liab 5-6'!N36</f>
        <v>30150000</v>
      </c>
      <c r="D285" s="2" t="str">
        <f t="shared" si="3"/>
        <v>Error?</v>
      </c>
    </row>
    <row r="286" spans="1:4" x14ac:dyDescent="0.2">
      <c r="A286" s="10">
        <v>225</v>
      </c>
      <c r="B286" s="1832"/>
      <c r="D286" s="2" t="str">
        <f t="shared" si="3"/>
        <v>OK</v>
      </c>
    </row>
    <row r="287" spans="1:4" x14ac:dyDescent="0.2">
      <c r="A287" s="5">
        <v>226</v>
      </c>
      <c r="B287" s="1832">
        <f>'Assets-Liab 5-6'!N37</f>
        <v>30150000</v>
      </c>
      <c r="C287" s="2" t="s">
        <v>569</v>
      </c>
      <c r="D287" s="2" t="str">
        <f t="shared" si="3"/>
        <v>Error?</v>
      </c>
    </row>
    <row r="288" spans="1:4" x14ac:dyDescent="0.2">
      <c r="A288" s="5">
        <v>227</v>
      </c>
      <c r="B288" s="1832">
        <f>'Assets-Liab 5-6'!N41</f>
        <v>30150000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8338476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351401</v>
      </c>
      <c r="D717" s="2" t="str">
        <f t="shared" si="10"/>
        <v>Error?</v>
      </c>
    </row>
    <row r="718" spans="1:4" x14ac:dyDescent="0.2">
      <c r="A718" s="5">
        <v>657</v>
      </c>
      <c r="B718" s="1832">
        <f>'Expenditures 15-22'!C14</f>
        <v>601328</v>
      </c>
      <c r="D718" s="2" t="str">
        <f t="shared" si="10"/>
        <v>Error?</v>
      </c>
    </row>
    <row r="719" spans="1:4" x14ac:dyDescent="0.2">
      <c r="A719" s="5">
        <v>658</v>
      </c>
      <c r="B719" s="1832">
        <f>'Expenditures 15-22'!C15</f>
        <v>33307</v>
      </c>
      <c r="D719" s="2" t="str">
        <f t="shared" si="10"/>
        <v>Error?</v>
      </c>
    </row>
    <row r="720" spans="1:4" x14ac:dyDescent="0.2">
      <c r="A720" s="5">
        <v>659</v>
      </c>
      <c r="B720" s="1832">
        <f>'Expenditures 15-22'!C33</f>
        <v>11972752</v>
      </c>
      <c r="C720" s="2" t="s">
        <v>569</v>
      </c>
      <c r="D720" s="2" t="str">
        <f t="shared" si="10"/>
        <v>Error?</v>
      </c>
    </row>
    <row r="721" spans="1:4" x14ac:dyDescent="0.2">
      <c r="A721" s="5">
        <v>660</v>
      </c>
      <c r="B721" s="1832">
        <f>'Expenditures 15-22'!C36</f>
        <v>301043</v>
      </c>
      <c r="D721" s="2" t="str">
        <f t="shared" si="10"/>
        <v>Error?</v>
      </c>
    </row>
    <row r="722" spans="1:4" x14ac:dyDescent="0.2">
      <c r="A722" s="5">
        <v>661</v>
      </c>
      <c r="B722" s="1832">
        <f>'Expenditures 15-22'!C37</f>
        <v>197571</v>
      </c>
      <c r="D722" s="2" t="str">
        <f t="shared" si="10"/>
        <v>Error?</v>
      </c>
    </row>
    <row r="723" spans="1:4" x14ac:dyDescent="0.2">
      <c r="A723" s="5">
        <v>662</v>
      </c>
      <c r="B723" s="1832">
        <f>'Expenditures 15-22'!C38</f>
        <v>105373</v>
      </c>
      <c r="D723" s="2" t="str">
        <f t="shared" si="10"/>
        <v>Error?</v>
      </c>
    </row>
    <row r="724" spans="1:4" x14ac:dyDescent="0.2">
      <c r="A724" s="5">
        <v>663</v>
      </c>
      <c r="B724" s="1832">
        <f>'Expenditures 15-22'!C39</f>
        <v>130795</v>
      </c>
      <c r="D724" s="2" t="str">
        <f t="shared" si="10"/>
        <v>Error?</v>
      </c>
    </row>
    <row r="725" spans="1:4" x14ac:dyDescent="0.2">
      <c r="A725" s="5">
        <v>664</v>
      </c>
      <c r="B725" s="1832">
        <f>'Expenditures 15-22'!C40</f>
        <v>253748</v>
      </c>
      <c r="D725" s="2" t="str">
        <f t="shared" si="10"/>
        <v>Error?</v>
      </c>
    </row>
    <row r="726" spans="1:4" x14ac:dyDescent="0.2">
      <c r="A726" s="5">
        <v>665</v>
      </c>
      <c r="B726" s="1832">
        <f>'Expenditures 15-22'!C41</f>
        <v>107144</v>
      </c>
      <c r="D726" s="2" t="str">
        <f t="shared" si="10"/>
        <v>Error?</v>
      </c>
    </row>
    <row r="727" spans="1:4" x14ac:dyDescent="0.2">
      <c r="A727" s="5">
        <v>666</v>
      </c>
      <c r="B727" s="1832">
        <f>'Expenditures 15-22'!C42</f>
        <v>1095674</v>
      </c>
      <c r="C727" s="2" t="s">
        <v>569</v>
      </c>
      <c r="D727" s="2" t="str">
        <f t="shared" si="10"/>
        <v>Error?</v>
      </c>
    </row>
    <row r="728" spans="1:4" x14ac:dyDescent="0.2">
      <c r="A728" s="5">
        <v>667</v>
      </c>
      <c r="B728" s="1832">
        <f>'Expenditures 15-22'!C44</f>
        <v>178922</v>
      </c>
      <c r="D728" s="2" t="str">
        <f t="shared" si="10"/>
        <v>Error?</v>
      </c>
    </row>
    <row r="729" spans="1:4" x14ac:dyDescent="0.2">
      <c r="A729" s="5">
        <v>668</v>
      </c>
      <c r="B729" s="1832">
        <f>'Expenditures 15-22'!C45</f>
        <v>358711</v>
      </c>
      <c r="D729" s="2" t="str">
        <f t="shared" si="10"/>
        <v>Error?</v>
      </c>
    </row>
    <row r="730" spans="1:4" x14ac:dyDescent="0.2">
      <c r="A730" s="5">
        <v>669</v>
      </c>
      <c r="B730" s="1832">
        <f>'Expenditures 15-22'!C46</f>
        <v>3222</v>
      </c>
      <c r="D730" s="2" t="str">
        <f t="shared" si="10"/>
        <v>Error?</v>
      </c>
    </row>
    <row r="731" spans="1:4" x14ac:dyDescent="0.2">
      <c r="A731" s="5">
        <v>670</v>
      </c>
      <c r="B731" s="1832">
        <f>'Expenditures 15-22'!C47</f>
        <v>540855</v>
      </c>
      <c r="C731" s="2" t="s">
        <v>569</v>
      </c>
      <c r="D731" s="2" t="str">
        <f t="shared" si="10"/>
        <v>Error?</v>
      </c>
    </row>
    <row r="732" spans="1:4" x14ac:dyDescent="0.2">
      <c r="A732" s="5">
        <v>671</v>
      </c>
      <c r="B732" s="1832">
        <f>'Expenditures 15-22'!C49</f>
        <v>1100</v>
      </c>
      <c r="D732" s="2" t="str">
        <f t="shared" si="10"/>
        <v>Error?</v>
      </c>
    </row>
    <row r="733" spans="1:4" x14ac:dyDescent="0.2">
      <c r="A733" s="5">
        <v>672</v>
      </c>
      <c r="B733" s="1832">
        <f>'Expenditures 15-22'!C50</f>
        <v>236967</v>
      </c>
      <c r="D733" s="2" t="str">
        <f t="shared" si="10"/>
        <v>Error?</v>
      </c>
    </row>
    <row r="734" spans="1:4" x14ac:dyDescent="0.2">
      <c r="A734" s="5">
        <v>673</v>
      </c>
      <c r="B734" s="1832">
        <f>'Expenditures 15-22'!C53</f>
        <v>238067</v>
      </c>
      <c r="C734" s="2" t="s">
        <v>569</v>
      </c>
      <c r="D734" s="2" t="str">
        <f t="shared" si="10"/>
        <v>Error?</v>
      </c>
    </row>
    <row r="735" spans="1:4" x14ac:dyDescent="0.2">
      <c r="A735" s="5">
        <v>674</v>
      </c>
      <c r="B735" s="1832">
        <f>'Expenditures 15-22'!C55</f>
        <v>899435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899435</v>
      </c>
      <c r="C737" s="2" t="s">
        <v>569</v>
      </c>
      <c r="D737" s="2" t="str">
        <f t="shared" si="10"/>
        <v>Error?</v>
      </c>
    </row>
    <row r="738" spans="1:4" x14ac:dyDescent="0.2">
      <c r="A738" s="5">
        <v>677</v>
      </c>
      <c r="B738" s="1832">
        <f>'Expenditures 15-22'!C59</f>
        <v>77000</v>
      </c>
      <c r="D738" s="2" t="str">
        <f t="shared" si="10"/>
        <v>Error?</v>
      </c>
    </row>
    <row r="739" spans="1:4" x14ac:dyDescent="0.2">
      <c r="A739" s="5">
        <v>678</v>
      </c>
      <c r="B739" s="1832">
        <f>'Expenditures 15-22'!C60</f>
        <v>121145</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341302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539447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3313478</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15286230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2007411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70873</v>
      </c>
      <c r="D775" s="2" t="str">
        <f t="shared" si="11"/>
        <v>Error?</v>
      </c>
    </row>
    <row r="776" spans="1:4" x14ac:dyDescent="0.2">
      <c r="A776" s="5">
        <v>715</v>
      </c>
      <c r="B776" s="1832">
        <f>'Expenditures 15-22'!D14</f>
        <v>131380</v>
      </c>
      <c r="D776" s="2" t="str">
        <f t="shared" si="11"/>
        <v>Error?</v>
      </c>
    </row>
    <row r="777" spans="1:4" x14ac:dyDescent="0.2">
      <c r="A777" s="5">
        <v>716</v>
      </c>
      <c r="B777" s="1832">
        <f>'Expenditures 15-22'!D15</f>
        <v>6668</v>
      </c>
      <c r="D777" s="2" t="str">
        <f t="shared" si="11"/>
        <v>Error?</v>
      </c>
    </row>
    <row r="778" spans="1:4" x14ac:dyDescent="0.2">
      <c r="A778" s="5">
        <v>717</v>
      </c>
      <c r="B778" s="1832">
        <f>'Expenditures 15-22'!D33</f>
        <v>2790961</v>
      </c>
      <c r="C778" s="2" t="s">
        <v>569</v>
      </c>
      <c r="D778" s="2" t="str">
        <f t="shared" si="11"/>
        <v>Error?</v>
      </c>
    </row>
    <row r="779" spans="1:4" x14ac:dyDescent="0.2">
      <c r="A779" s="5">
        <v>718</v>
      </c>
      <c r="B779" s="1832">
        <f>'Expenditures 15-22'!D36</f>
        <v>75418</v>
      </c>
      <c r="D779" s="2" t="str">
        <f t="shared" si="11"/>
        <v>Error?</v>
      </c>
    </row>
    <row r="780" spans="1:4" x14ac:dyDescent="0.2">
      <c r="A780" s="5">
        <v>719</v>
      </c>
      <c r="B780" s="1832">
        <f>'Expenditures 15-22'!D37</f>
        <v>53553</v>
      </c>
      <c r="D780" s="2" t="str">
        <f t="shared" si="11"/>
        <v>Error?</v>
      </c>
    </row>
    <row r="781" spans="1:4" x14ac:dyDescent="0.2">
      <c r="A781" s="5">
        <v>720</v>
      </c>
      <c r="B781" s="1832">
        <f>'Expenditures 15-22'!D38</f>
        <v>23516</v>
      </c>
      <c r="D781" s="2" t="str">
        <f t="shared" si="11"/>
        <v>Error?</v>
      </c>
    </row>
    <row r="782" spans="1:4" x14ac:dyDescent="0.2">
      <c r="A782" s="5">
        <v>721</v>
      </c>
      <c r="B782" s="1832">
        <f>'Expenditures 15-22'!D39</f>
        <v>29128</v>
      </c>
      <c r="D782" s="2" t="str">
        <f t="shared" si="11"/>
        <v>Error?</v>
      </c>
    </row>
    <row r="783" spans="1:4" x14ac:dyDescent="0.2">
      <c r="A783" s="5">
        <v>722</v>
      </c>
      <c r="B783" s="1832">
        <f>'Expenditures 15-22'!D40</f>
        <v>35570</v>
      </c>
      <c r="D783" s="2" t="str">
        <f t="shared" si="11"/>
        <v>Error?</v>
      </c>
    </row>
    <row r="784" spans="1:4" x14ac:dyDescent="0.2">
      <c r="A784" s="5">
        <v>723</v>
      </c>
      <c r="B784" s="1832">
        <f>'Expenditures 15-22'!D41</f>
        <v>30019</v>
      </c>
      <c r="D784" s="2" t="str">
        <f t="shared" si="11"/>
        <v>Error?</v>
      </c>
    </row>
    <row r="785" spans="1:4" x14ac:dyDescent="0.2">
      <c r="A785" s="5">
        <v>724</v>
      </c>
      <c r="B785" s="1832">
        <f>'Expenditures 15-22'!D42</f>
        <v>247204</v>
      </c>
      <c r="C785" s="2" t="s">
        <v>569</v>
      </c>
      <c r="D785" s="2" t="str">
        <f t="shared" si="11"/>
        <v>Error?</v>
      </c>
    </row>
    <row r="786" spans="1:4" x14ac:dyDescent="0.2">
      <c r="A786" s="5">
        <v>725</v>
      </c>
      <c r="B786" s="1832">
        <f>'Expenditures 15-22'!D44</f>
        <v>56039</v>
      </c>
      <c r="D786" s="2" t="str">
        <f t="shared" si="11"/>
        <v>Error?</v>
      </c>
    </row>
    <row r="787" spans="1:4" x14ac:dyDescent="0.2">
      <c r="A787" s="5">
        <v>726</v>
      </c>
      <c r="B787" s="1832">
        <f>'Expenditures 15-22'!D45</f>
        <v>73248</v>
      </c>
      <c r="D787" s="2" t="str">
        <f t="shared" si="11"/>
        <v>Error?</v>
      </c>
    </row>
    <row r="788" spans="1:4" x14ac:dyDescent="0.2">
      <c r="A788" s="5">
        <v>727</v>
      </c>
      <c r="B788" s="1832">
        <f>'Expenditures 15-22'!D46</f>
        <v>52954</v>
      </c>
      <c r="D788" s="2" t="str">
        <f t="shared" si="11"/>
        <v>Error?</v>
      </c>
    </row>
    <row r="789" spans="1:4" x14ac:dyDescent="0.2">
      <c r="A789" s="5">
        <v>728</v>
      </c>
      <c r="B789" s="1832">
        <f>'Expenditures 15-22'!D47</f>
        <v>182241</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68917</v>
      </c>
      <c r="D791" s="2" t="str">
        <f t="shared" si="11"/>
        <v>Error?</v>
      </c>
    </row>
    <row r="792" spans="1:4" x14ac:dyDescent="0.2">
      <c r="A792" s="5">
        <v>731</v>
      </c>
      <c r="B792" s="1832">
        <f>'Expenditures 15-22'!D53</f>
        <v>68917</v>
      </c>
      <c r="C792" s="2" t="s">
        <v>569</v>
      </c>
      <c r="D792" s="2" t="str">
        <f t="shared" si="11"/>
        <v>Error?</v>
      </c>
    </row>
    <row r="793" spans="1:4" x14ac:dyDescent="0.2">
      <c r="A793" s="5">
        <v>732</v>
      </c>
      <c r="B793" s="1832">
        <f>'Expenditures 15-22'!D55</f>
        <v>261856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261856</v>
      </c>
      <c r="C795" s="2" t="s">
        <v>569</v>
      </c>
      <c r="D795" s="2" t="str">
        <f t="shared" si="11"/>
        <v>Error?</v>
      </c>
    </row>
    <row r="796" spans="1:4" x14ac:dyDescent="0.2">
      <c r="A796" s="5">
        <v>735</v>
      </c>
      <c r="B796" s="1832">
        <f>'Expenditures 15-22'!D59</f>
        <v>23425</v>
      </c>
      <c r="D796" s="2" t="str">
        <f t="shared" si="11"/>
        <v>Error?</v>
      </c>
    </row>
    <row r="797" spans="1:4" x14ac:dyDescent="0.2">
      <c r="A797" s="5">
        <v>736</v>
      </c>
      <c r="B797" s="1832">
        <f>'Expenditures 15-22'!D60</f>
        <v>24807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61825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110057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870275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3661236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70477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488</v>
      </c>
      <c r="D833" s="2" t="str">
        <f t="shared" si="12"/>
        <v>Error?</v>
      </c>
    </row>
    <row r="834" spans="1:4" x14ac:dyDescent="0.2">
      <c r="A834" s="5">
        <v>773</v>
      </c>
      <c r="B834" s="1832">
        <f>'Expenditures 15-22'!E14</f>
        <v>79735</v>
      </c>
      <c r="D834" s="2" t="str">
        <f t="shared" si="12"/>
        <v>Error?</v>
      </c>
    </row>
    <row r="835" spans="1:4" x14ac:dyDescent="0.2">
      <c r="A835" s="5">
        <v>774</v>
      </c>
      <c r="B835" s="1832">
        <f>'Expenditures 15-22'!E15</f>
        <v>418</v>
      </c>
      <c r="D835" s="2" t="str">
        <f t="shared" si="12"/>
        <v>Error?</v>
      </c>
    </row>
    <row r="836" spans="1:4" x14ac:dyDescent="0.2">
      <c r="A836" s="5">
        <v>775</v>
      </c>
      <c r="B836" s="1832">
        <f>'Expenditures 15-22'!E33</f>
        <v>218934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224</v>
      </c>
      <c r="D838" s="2" t="str">
        <f t="shared" si="12"/>
        <v>Error?</v>
      </c>
    </row>
    <row r="839" spans="1:4" x14ac:dyDescent="0.2">
      <c r="A839" s="5">
        <v>778</v>
      </c>
      <c r="B839" s="1832">
        <f>'Expenditures 15-22'!E38</f>
        <v>68</v>
      </c>
      <c r="D839" s="2" t="str">
        <f t="shared" si="12"/>
        <v>Error?</v>
      </c>
    </row>
    <row r="840" spans="1:4" x14ac:dyDescent="0.2">
      <c r="A840" s="5">
        <v>779</v>
      </c>
      <c r="B840" s="1832">
        <f>'Expenditures 15-22'!E39</f>
        <v>14</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81122</v>
      </c>
      <c r="D842" s="2" t="str">
        <f t="shared" si="12"/>
        <v>Error?</v>
      </c>
    </row>
    <row r="843" spans="1:4" x14ac:dyDescent="0.2">
      <c r="A843" s="5">
        <v>782</v>
      </c>
      <c r="B843" s="1832">
        <f>'Expenditures 15-22'!E42</f>
        <v>81428</v>
      </c>
      <c r="C843" s="2" t="s">
        <v>569</v>
      </c>
      <c r="D843" s="2" t="str">
        <f t="shared" si="12"/>
        <v>Error?</v>
      </c>
    </row>
    <row r="844" spans="1:4" x14ac:dyDescent="0.2">
      <c r="A844" s="5">
        <v>783</v>
      </c>
      <c r="B844" s="1832">
        <f>'Expenditures 15-22'!E44</f>
        <v>61535</v>
      </c>
      <c r="D844" s="2" t="str">
        <f t="shared" si="12"/>
        <v>Error?</v>
      </c>
    </row>
    <row r="845" spans="1:4" x14ac:dyDescent="0.2">
      <c r="A845" s="5">
        <v>784</v>
      </c>
      <c r="B845" s="1832">
        <f>'Expenditures 15-22'!E45</f>
        <v>454286</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515821</v>
      </c>
      <c r="C847" s="2" t="s">
        <v>569</v>
      </c>
      <c r="D847" s="2" t="str">
        <f t="shared" si="12"/>
        <v>Error?</v>
      </c>
    </row>
    <row r="848" spans="1:4" x14ac:dyDescent="0.2">
      <c r="A848" s="5">
        <v>787</v>
      </c>
      <c r="B848" s="1832">
        <f>'Expenditures 15-22'!E49</f>
        <v>307041</v>
      </c>
      <c r="D848" s="2" t="str">
        <f t="shared" si="12"/>
        <v>Error?</v>
      </c>
    </row>
    <row r="849" spans="1:4" x14ac:dyDescent="0.2">
      <c r="A849" s="5">
        <v>788</v>
      </c>
      <c r="B849" s="1832">
        <f>'Expenditures 15-22'!E50</f>
        <v>2608</v>
      </c>
      <c r="D849" s="2" t="str">
        <f t="shared" si="12"/>
        <v>Error?</v>
      </c>
    </row>
    <row r="850" spans="1:4" x14ac:dyDescent="0.2">
      <c r="A850" s="5">
        <v>789</v>
      </c>
      <c r="B850" s="1832">
        <f>'Expenditures 15-22'!E53</f>
        <v>309649</v>
      </c>
      <c r="C850" s="2" t="s">
        <v>569</v>
      </c>
      <c r="D850" s="2" t="str">
        <f t="shared" si="12"/>
        <v>Error?</v>
      </c>
    </row>
    <row r="851" spans="1:4" x14ac:dyDescent="0.2">
      <c r="A851" s="5">
        <v>790</v>
      </c>
      <c r="B851" s="1832">
        <f>'Expenditures 15-22'!E55</f>
        <v>4535</v>
      </c>
      <c r="D851" s="2" t="str">
        <f t="shared" si="12"/>
        <v>Error?</v>
      </c>
    </row>
    <row r="852" spans="1:4" x14ac:dyDescent="0.2">
      <c r="A852" s="5">
        <v>791</v>
      </c>
      <c r="B852" s="1832">
        <f>'Expenditures 15-22'!E56</f>
        <v>1600</v>
      </c>
      <c r="D852" s="2" t="str">
        <f t="shared" si="12"/>
        <v>Error?</v>
      </c>
    </row>
    <row r="853" spans="1:4" x14ac:dyDescent="0.2">
      <c r="A853" s="5">
        <v>792</v>
      </c>
      <c r="B853" s="1832">
        <f>'Expenditures 15-22'!E57</f>
        <v>6135</v>
      </c>
      <c r="C853" s="2" t="s">
        <v>569</v>
      </c>
      <c r="D853" s="2" t="str">
        <f t="shared" si="12"/>
        <v>Error?</v>
      </c>
    </row>
    <row r="854" spans="1:4" x14ac:dyDescent="0.2">
      <c r="A854" s="5">
        <v>793</v>
      </c>
      <c r="B854" s="1832">
        <f>'Expenditures 15-22'!E59</f>
        <v>1842</v>
      </c>
      <c r="D854" s="2" t="str">
        <f t="shared" si="12"/>
        <v>Error?</v>
      </c>
    </row>
    <row r="855" spans="1:4" x14ac:dyDescent="0.2">
      <c r="A855" s="5">
        <v>794</v>
      </c>
      <c r="B855" s="1832">
        <f>'Expenditures 15-22'!E60</f>
        <v>11597</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9246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22685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709</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709</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936427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1195583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160114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18211</v>
      </c>
      <c r="D891" s="2" t="str">
        <f t="shared" si="12"/>
        <v>Error?</v>
      </c>
    </row>
    <row r="892" spans="1:4" x14ac:dyDescent="0.2">
      <c r="A892" s="5">
        <v>831</v>
      </c>
      <c r="B892" s="1832">
        <f>'Expenditures 15-22'!F14</f>
        <v>53126</v>
      </c>
      <c r="D892" s="2" t="str">
        <f t="shared" si="12"/>
        <v>Error?</v>
      </c>
    </row>
    <row r="893" spans="1:4" x14ac:dyDescent="0.2">
      <c r="A893" s="5">
        <v>832</v>
      </c>
      <c r="B893" s="1832">
        <f>'Expenditures 15-22'!F15</f>
        <v>6846</v>
      </c>
      <c r="D893" s="2" t="str">
        <f t="shared" si="12"/>
        <v>Error?</v>
      </c>
    </row>
    <row r="894" spans="1:4" x14ac:dyDescent="0.2">
      <c r="A894" s="5">
        <v>833</v>
      </c>
      <c r="B894" s="1832">
        <f>'Expenditures 15-22'!F33</f>
        <v>398996</v>
      </c>
      <c r="C894" s="2" t="s">
        <v>569</v>
      </c>
      <c r="D894" s="2" t="str">
        <f t="shared" si="12"/>
        <v>Error?</v>
      </c>
    </row>
    <row r="895" spans="1:4" x14ac:dyDescent="0.2">
      <c r="A895" s="5">
        <v>834</v>
      </c>
      <c r="B895" s="1832">
        <f>'Expenditures 15-22'!F36</f>
        <v>1424</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3310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6368</v>
      </c>
      <c r="D900" s="2" t="str">
        <f t="shared" si="13"/>
        <v>Error?</v>
      </c>
    </row>
    <row r="901" spans="1:4" x14ac:dyDescent="0.2">
      <c r="A901" s="5">
        <v>840</v>
      </c>
      <c r="B901" s="1832">
        <f>'Expenditures 15-22'!F42</f>
        <v>11102</v>
      </c>
      <c r="C901" s="2" t="s">
        <v>569</v>
      </c>
      <c r="D901" s="2" t="str">
        <f t="shared" si="13"/>
        <v>Error?</v>
      </c>
    </row>
    <row r="902" spans="1:4" x14ac:dyDescent="0.2">
      <c r="A902" s="5">
        <v>841</v>
      </c>
      <c r="B902" s="1832">
        <f>'Expenditures 15-22'!F44</f>
        <v>1290</v>
      </c>
      <c r="D902" s="2" t="str">
        <f t="shared" si="13"/>
        <v>Error?</v>
      </c>
    </row>
    <row r="903" spans="1:4" x14ac:dyDescent="0.2">
      <c r="A903" s="5">
        <v>842</v>
      </c>
      <c r="B903" s="1832">
        <f>'Expenditures 15-22'!F45</f>
        <v>31034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32324</v>
      </c>
      <c r="C905" s="2" t="s">
        <v>569</v>
      </c>
      <c r="D905" s="2" t="str">
        <f t="shared" si="13"/>
        <v>Error?</v>
      </c>
    </row>
    <row r="906" spans="1:4" x14ac:dyDescent="0.2">
      <c r="A906" s="5">
        <v>845</v>
      </c>
      <c r="B906" s="1832">
        <f>'Expenditures 15-22'!F49</f>
        <v>6019</v>
      </c>
      <c r="D906" s="2" t="str">
        <f t="shared" si="13"/>
        <v>Error?</v>
      </c>
    </row>
    <row r="907" spans="1:4" x14ac:dyDescent="0.2">
      <c r="A907" s="5">
        <v>846</v>
      </c>
      <c r="B907" s="1832">
        <f>'Expenditures 15-22'!F50</f>
        <v>1146</v>
      </c>
      <c r="D907" s="2" t="str">
        <f t="shared" si="13"/>
        <v>Error?</v>
      </c>
    </row>
    <row r="908" spans="1:4" x14ac:dyDescent="0.2">
      <c r="A908" s="5">
        <v>847</v>
      </c>
      <c r="B908" s="1832">
        <f>'Expenditures 15-22'!F53</f>
        <v>7165</v>
      </c>
      <c r="C908" s="2" t="s">
        <v>569</v>
      </c>
      <c r="D908" s="2" t="str">
        <f t="shared" si="13"/>
        <v>Error?</v>
      </c>
    </row>
    <row r="909" spans="1:4" x14ac:dyDescent="0.2">
      <c r="A909" s="5">
        <v>848</v>
      </c>
      <c r="B909" s="1832">
        <f>'Expenditures 15-22'!F55</f>
        <v>21532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21532</v>
      </c>
      <c r="C911" s="2" t="s">
        <v>569</v>
      </c>
      <c r="D911" s="2" t="str">
        <f t="shared" si="13"/>
        <v>Error?</v>
      </c>
    </row>
    <row r="912" spans="1:4" x14ac:dyDescent="0.2">
      <c r="A912" s="5">
        <v>851</v>
      </c>
      <c r="B912" s="1832">
        <f>'Expenditures 15-22'!F59</f>
        <v>1354</v>
      </c>
      <c r="D912" s="2" t="str">
        <f t="shared" si="13"/>
        <v>Error?</v>
      </c>
    </row>
    <row r="913" spans="1:4" x14ac:dyDescent="0.2">
      <c r="A913" s="5">
        <v>852</v>
      </c>
      <c r="B913" s="1832">
        <f>'Expenditures 15-22'!F60</f>
        <v>26374</v>
      </c>
      <c r="D913" s="2" t="str">
        <f t="shared" si="13"/>
        <v>Error?</v>
      </c>
    </row>
    <row r="914" spans="1:4" x14ac:dyDescent="0.2">
      <c r="A914" s="5">
        <v>853</v>
      </c>
      <c r="B914" s="1832">
        <f>'Expenditures 15-22'!F61</f>
        <v>3216</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305603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336547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617</v>
      </c>
      <c r="D928" s="2" t="str">
        <f t="shared" si="13"/>
        <v>Error?</v>
      </c>
    </row>
    <row r="929" spans="1:4" x14ac:dyDescent="0.2">
      <c r="A929" s="5">
        <v>868</v>
      </c>
      <c r="B929" s="1832">
        <f>'Expenditures 15-22'!F74</f>
        <v>409287</v>
      </c>
      <c r="C929" s="2" t="s">
        <v>569</v>
      </c>
      <c r="D929" s="2" t="str">
        <f t="shared" si="13"/>
        <v>Error?</v>
      </c>
    </row>
    <row r="930" spans="1:4" x14ac:dyDescent="0.2">
      <c r="A930" s="5">
        <v>869</v>
      </c>
      <c r="B930" s="1832">
        <f>'Expenditures 15-22'!F75</f>
        <v>20</v>
      </c>
      <c r="D930" s="2" t="str">
        <f t="shared" si="13"/>
        <v>Error?</v>
      </c>
    </row>
    <row r="931" spans="1:4" x14ac:dyDescent="0.2">
      <c r="A931" s="5">
        <v>870</v>
      </c>
      <c r="B931" s="1832">
        <f>'Expenditures 15-22'!F114</f>
        <v>808303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27737</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6711</v>
      </c>
      <c r="D949" s="2" t="str">
        <f t="shared" si="13"/>
        <v>Error?</v>
      </c>
    </row>
    <row r="950" spans="1:4" x14ac:dyDescent="0.2">
      <c r="A950" s="5">
        <v>889</v>
      </c>
      <c r="B950" s="1832">
        <f>'Expenditures 15-22'!G14</f>
        <v>31798</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76803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949</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949</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140482</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140482</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2317</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2317</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1826</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17919</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19745</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271200</v>
      </c>
      <c r="D986" s="2" t="str">
        <f t="shared" si="14"/>
        <v>Error?</v>
      </c>
    </row>
    <row r="987" spans="1:4" x14ac:dyDescent="0.2">
      <c r="A987" s="5">
        <v>926</v>
      </c>
      <c r="B987" s="1832">
        <f>'Expenditures 15-22'!G74</f>
        <v>434693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511496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26843</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410274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288</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288</v>
      </c>
      <c r="C1021" s="2" t="s">
        <v>569</v>
      </c>
      <c r="D1021" s="2" t="str">
        <f t="shared" si="14"/>
        <v>Error?</v>
      </c>
    </row>
    <row r="1022" spans="1:4" x14ac:dyDescent="0.2">
      <c r="A1022" s="5">
        <v>961</v>
      </c>
      <c r="B1022" s="1832">
        <f>'Expenditures 15-22'!H49</f>
        <v>32646</v>
      </c>
      <c r="D1022" s="2" t="str">
        <f t="shared" si="14"/>
        <v>Error?</v>
      </c>
    </row>
    <row r="1023" spans="1:4" x14ac:dyDescent="0.2">
      <c r="A1023" s="5">
        <v>962</v>
      </c>
      <c r="B1023" s="1832">
        <f>'Expenditures 15-22'!H50</f>
        <v>5940</v>
      </c>
      <c r="D1023" s="2" t="str">
        <f t="shared" ref="D1023:D1086" si="15">IF(ISBLANK(B1023),"OK",IF(A1023-B1023=0,"OK","Error?"))</f>
        <v>Error?</v>
      </c>
    </row>
    <row r="1024" spans="1:4" x14ac:dyDescent="0.2">
      <c r="A1024" s="5">
        <v>963</v>
      </c>
      <c r="B1024" s="1832">
        <f>'Expenditures 15-22'!H53</f>
        <v>38586</v>
      </c>
      <c r="C1024" s="2" t="s">
        <v>569</v>
      </c>
      <c r="D1024" s="2" t="str">
        <f t="shared" si="15"/>
        <v>Error?</v>
      </c>
    </row>
    <row r="1025" spans="1:4" x14ac:dyDescent="0.2">
      <c r="A1025" s="5">
        <v>964</v>
      </c>
      <c r="B1025" s="1832">
        <f>'Expenditures 15-22'!H55</f>
        <v>2586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2586</v>
      </c>
      <c r="C1027" s="2" t="s">
        <v>569</v>
      </c>
      <c r="D1027" s="2" t="str">
        <f t="shared" si="15"/>
        <v>Error?</v>
      </c>
    </row>
    <row r="1028" spans="1:4" x14ac:dyDescent="0.2">
      <c r="A1028" s="5">
        <v>967</v>
      </c>
      <c r="B1028" s="1832">
        <f>'Expenditures 15-22'!H59</f>
        <v>980</v>
      </c>
      <c r="D1028" s="2" t="str">
        <f t="shared" si="15"/>
        <v>Error?</v>
      </c>
    </row>
    <row r="1029" spans="1:4" x14ac:dyDescent="0.2">
      <c r="A1029" s="5">
        <v>968</v>
      </c>
      <c r="B1029" s="1832">
        <f>'Expenditures 15-22'!H60</f>
        <v>2434</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3414</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44874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453743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908891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10604215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447684</v>
      </c>
      <c r="C1105" s="2" t="s">
        <v>569</v>
      </c>
      <c r="D1105" s="2" t="str">
        <f t="shared" si="16"/>
        <v>Error?</v>
      </c>
    </row>
    <row r="1106" spans="1:4" x14ac:dyDescent="0.2">
      <c r="A1106" s="5">
        <v>1045</v>
      </c>
      <c r="B1106" s="1832">
        <f>'Expenditures 15-22'!K14</f>
        <v>924210</v>
      </c>
      <c r="C1106" s="2" t="s">
        <v>569</v>
      </c>
      <c r="D1106" s="2" t="str">
        <f t="shared" si="16"/>
        <v>Error?</v>
      </c>
    </row>
    <row r="1107" spans="1:4" x14ac:dyDescent="0.2">
      <c r="A1107" s="5">
        <v>1046</v>
      </c>
      <c r="B1107" s="1832">
        <f>'Expenditures 15-22'!K15</f>
        <v>47239</v>
      </c>
      <c r="C1107" s="2" t="s">
        <v>569</v>
      </c>
      <c r="D1107" s="2" t="str">
        <f t="shared" si="16"/>
        <v>Error?</v>
      </c>
    </row>
    <row r="1108" spans="1:4" x14ac:dyDescent="0.2">
      <c r="A1108" s="5">
        <v>1047</v>
      </c>
      <c r="B1108" s="1832">
        <f>'Expenditures 15-22'!K33</f>
        <v>15868720</v>
      </c>
      <c r="C1108" s="2" t="s">
        <v>569</v>
      </c>
      <c r="D1108" s="2" t="str">
        <f t="shared" si="16"/>
        <v>Error?</v>
      </c>
    </row>
    <row r="1109" spans="1:4" x14ac:dyDescent="0.2">
      <c r="A1109" s="5">
        <v>1048</v>
      </c>
      <c r="B1109" s="1832">
        <f>'Expenditures 15-22'!K36</f>
        <v>377885</v>
      </c>
      <c r="C1109" s="2" t="s">
        <v>569</v>
      </c>
      <c r="D1109" s="2" t="str">
        <f t="shared" si="16"/>
        <v>Error?</v>
      </c>
    </row>
    <row r="1110" spans="1:4" x14ac:dyDescent="0.2">
      <c r="A1110" s="5">
        <v>1049</v>
      </c>
      <c r="B1110" s="1832">
        <f>'Expenditures 15-22'!K37</f>
        <v>251348</v>
      </c>
      <c r="C1110" s="2" t="s">
        <v>569</v>
      </c>
      <c r="D1110" s="2" t="str">
        <f t="shared" si="16"/>
        <v>Error?</v>
      </c>
    </row>
    <row r="1111" spans="1:4" x14ac:dyDescent="0.2">
      <c r="A1111" s="5">
        <v>1050</v>
      </c>
      <c r="B1111" s="1832">
        <f>'Expenditures 15-22'!K38</f>
        <v>133216</v>
      </c>
      <c r="C1111" s="2" t="s">
        <v>569</v>
      </c>
      <c r="D1111" s="2" t="str">
        <f t="shared" si="16"/>
        <v>Error?</v>
      </c>
    </row>
    <row r="1112" spans="1:4" x14ac:dyDescent="0.2">
      <c r="A1112" s="5">
        <v>1051</v>
      </c>
      <c r="B1112" s="1832">
        <f>'Expenditures 15-22'!K39</f>
        <v>159937</v>
      </c>
      <c r="C1112" s="2" t="s">
        <v>569</v>
      </c>
      <c r="D1112" s="2" t="str">
        <f t="shared" si="16"/>
        <v>Error?</v>
      </c>
    </row>
    <row r="1113" spans="1:4" x14ac:dyDescent="0.2">
      <c r="A1113" s="5">
        <v>1052</v>
      </c>
      <c r="B1113" s="1832">
        <f>'Expenditures 15-22'!K40</f>
        <v>289318</v>
      </c>
      <c r="C1113" s="2" t="s">
        <v>569</v>
      </c>
      <c r="D1113" s="2" t="str">
        <f t="shared" si="16"/>
        <v>Error?</v>
      </c>
    </row>
    <row r="1114" spans="1:4" x14ac:dyDescent="0.2">
      <c r="A1114" s="5">
        <v>1053</v>
      </c>
      <c r="B1114" s="1832">
        <f>'Expenditures 15-22'!K41</f>
        <v>224653</v>
      </c>
      <c r="C1114" s="2" t="s">
        <v>569</v>
      </c>
      <c r="D1114" s="2" t="str">
        <f t="shared" si="16"/>
        <v>Error?</v>
      </c>
    </row>
    <row r="1115" spans="1:4" x14ac:dyDescent="0.2">
      <c r="A1115" s="5">
        <v>1054</v>
      </c>
      <c r="B1115" s="1832">
        <f>'Expenditures 15-22'!K42</f>
        <v>1436357</v>
      </c>
      <c r="C1115" s="2" t="s">
        <v>569</v>
      </c>
      <c r="D1115" s="2" t="str">
        <f t="shared" si="16"/>
        <v>Error?</v>
      </c>
    </row>
    <row r="1116" spans="1:4" x14ac:dyDescent="0.2">
      <c r="A1116" s="5">
        <v>1055</v>
      </c>
      <c r="B1116" s="1832">
        <f>'Expenditures 15-22'!K44</f>
        <v>298074</v>
      </c>
      <c r="C1116" s="2" t="s">
        <v>569</v>
      </c>
      <c r="D1116" s="2" t="str">
        <f t="shared" si="16"/>
        <v>Error?</v>
      </c>
    </row>
    <row r="1117" spans="1:4" x14ac:dyDescent="0.2">
      <c r="A1117" s="5">
        <v>1056</v>
      </c>
      <c r="B1117" s="1832">
        <f>'Expenditures 15-22'!K45</f>
        <v>1057761</v>
      </c>
      <c r="C1117" s="2" t="s">
        <v>569</v>
      </c>
      <c r="D1117" s="2" t="str">
        <f t="shared" si="16"/>
        <v>Error?</v>
      </c>
    </row>
    <row r="1118" spans="1:4" x14ac:dyDescent="0.2">
      <c r="A1118" s="5">
        <v>1057</v>
      </c>
      <c r="B1118" s="1832">
        <f>'Expenditures 15-22'!K46</f>
        <v>56176</v>
      </c>
      <c r="C1118" s="2" t="s">
        <v>569</v>
      </c>
      <c r="D1118" s="2" t="str">
        <f t="shared" si="16"/>
        <v>Error?</v>
      </c>
    </row>
    <row r="1119" spans="1:4" x14ac:dyDescent="0.2">
      <c r="A1119" s="5">
        <v>1058</v>
      </c>
      <c r="B1119" s="1832">
        <f>'Expenditures 15-22'!K47</f>
        <v>1412011</v>
      </c>
      <c r="C1119" s="2" t="s">
        <v>569</v>
      </c>
      <c r="D1119" s="2" t="str">
        <f t="shared" si="16"/>
        <v>Error?</v>
      </c>
    </row>
    <row r="1120" spans="1:4" x14ac:dyDescent="0.2">
      <c r="A1120" s="5">
        <v>1059</v>
      </c>
      <c r="B1120" s="1832">
        <f>'Expenditures 15-22'!K49</f>
        <v>346806</v>
      </c>
      <c r="C1120" s="2" t="s">
        <v>569</v>
      </c>
      <c r="D1120" s="2" t="str">
        <f t="shared" si="16"/>
        <v>Error?</v>
      </c>
    </row>
    <row r="1121" spans="1:4" x14ac:dyDescent="0.2">
      <c r="A1121" s="5">
        <v>1060</v>
      </c>
      <c r="B1121" s="1832">
        <f>'Expenditures 15-22'!K50</f>
        <v>315578</v>
      </c>
      <c r="C1121" s="2" t="s">
        <v>569</v>
      </c>
      <c r="D1121" s="2" t="str">
        <f t="shared" si="16"/>
        <v>Error?</v>
      </c>
    </row>
    <row r="1122" spans="1:4" x14ac:dyDescent="0.2">
      <c r="A1122" s="5">
        <v>1061</v>
      </c>
      <c r="B1122" s="1832">
        <f>'Expenditures 15-22'!K53</f>
        <v>662384</v>
      </c>
      <c r="C1122" s="2" t="s">
        <v>569</v>
      </c>
      <c r="D1122" s="2" t="str">
        <f t="shared" si="16"/>
        <v>Error?</v>
      </c>
    </row>
    <row r="1123" spans="1:4" x14ac:dyDescent="0.2">
      <c r="A1123" s="5">
        <v>1062</v>
      </c>
      <c r="B1123" s="1832">
        <f>'Expenditures 15-22'!K55</f>
        <v>1192261</v>
      </c>
      <c r="C1123" s="2" t="s">
        <v>569</v>
      </c>
      <c r="D1123" s="2" t="str">
        <f t="shared" si="16"/>
        <v>Error?</v>
      </c>
    </row>
    <row r="1124" spans="1:4" x14ac:dyDescent="0.2">
      <c r="A1124" s="5">
        <v>1063</v>
      </c>
      <c r="B1124" s="1832">
        <f>'Expenditures 15-22'!K56</f>
        <v>1600</v>
      </c>
      <c r="C1124" s="2" t="s">
        <v>569</v>
      </c>
      <c r="D1124" s="2" t="str">
        <f t="shared" si="16"/>
        <v>Error?</v>
      </c>
    </row>
    <row r="1125" spans="1:4" x14ac:dyDescent="0.2">
      <c r="A1125" s="5">
        <v>1064</v>
      </c>
      <c r="B1125" s="1832">
        <f>'Expenditures 15-22'!K57</f>
        <v>1193861</v>
      </c>
      <c r="C1125" s="2" t="s">
        <v>569</v>
      </c>
      <c r="D1125" s="2" t="str">
        <f t="shared" si="16"/>
        <v>Error?</v>
      </c>
    </row>
    <row r="1126" spans="1:4" x14ac:dyDescent="0.2">
      <c r="A1126" s="5">
        <v>1065</v>
      </c>
      <c r="B1126" s="1832">
        <f>'Expenditures 15-22'!K59</f>
        <v>104601</v>
      </c>
      <c r="C1126" s="2" t="s">
        <v>569</v>
      </c>
      <c r="D1126" s="2" t="str">
        <f t="shared" si="16"/>
        <v>Error?</v>
      </c>
    </row>
    <row r="1127" spans="1:4" x14ac:dyDescent="0.2">
      <c r="A1127" s="5">
        <v>1066</v>
      </c>
      <c r="B1127" s="1832">
        <f>'Expenditures 15-22'!K60</f>
        <v>188183</v>
      </c>
      <c r="C1127" s="2" t="s">
        <v>569</v>
      </c>
      <c r="D1127" s="2" t="str">
        <f t="shared" si="16"/>
        <v>Error?</v>
      </c>
    </row>
    <row r="1128" spans="1:4" x14ac:dyDescent="0.2">
      <c r="A1128" s="5">
        <v>1067</v>
      </c>
      <c r="B1128" s="1832">
        <f>'Expenditures 15-22'!K61</f>
        <v>3216</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735895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1031895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709</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709</v>
      </c>
      <c r="C1141" s="2" t="s">
        <v>569</v>
      </c>
      <c r="D1141" s="2" t="str">
        <f t="shared" si="16"/>
        <v>Error?</v>
      </c>
    </row>
    <row r="1142" spans="1:4" x14ac:dyDescent="0.2">
      <c r="A1142" s="5">
        <v>1081</v>
      </c>
      <c r="B1142" s="1832">
        <f>'Expenditures 15-22'!K73</f>
        <v>271817</v>
      </c>
      <c r="C1142" s="2" t="s">
        <v>569</v>
      </c>
      <c r="D1142" s="2" t="str">
        <f t="shared" si="16"/>
        <v>Error?</v>
      </c>
    </row>
    <row r="1143" spans="1:4" x14ac:dyDescent="0.2">
      <c r="A1143" s="5">
        <v>1082</v>
      </c>
      <c r="B1143" s="1832">
        <f>'Expenditures 15-22'!K74</f>
        <v>6009034</v>
      </c>
      <c r="C1143" s="2" t="s">
        <v>569</v>
      </c>
      <c r="D1143" s="2" t="str">
        <f t="shared" si="16"/>
        <v>Error?</v>
      </c>
    </row>
    <row r="1144" spans="1:4" x14ac:dyDescent="0.2">
      <c r="A1144" s="5">
        <v>1083</v>
      </c>
      <c r="B1144" s="1832">
        <f>'Expenditures 15-22'!K75</f>
        <v>20</v>
      </c>
      <c r="C1144" s="2" t="s">
        <v>569</v>
      </c>
      <c r="D1144" s="2" t="str">
        <f t="shared" si="16"/>
        <v>Error?</v>
      </c>
    </row>
    <row r="1145" spans="1:4" x14ac:dyDescent="0.2">
      <c r="A1145" s="5">
        <v>1084</v>
      </c>
      <c r="B1145" s="1832">
        <f>'Expenditures 15-22'!K102</f>
        <v>493965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22371739</v>
      </c>
      <c r="C1152" s="2" t="s">
        <v>569</v>
      </c>
      <c r="D1152" s="2" t="str">
        <f t="shared" si="17"/>
        <v>Error?</v>
      </c>
    </row>
    <row r="1153" spans="1:4" x14ac:dyDescent="0.2">
      <c r="A1153" s="5">
        <v>1092</v>
      </c>
      <c r="B1153" s="1832">
        <f>'Expenditures 15-22'!K115</f>
        <v>-379052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1124067</v>
      </c>
      <c r="D1221" s="2" t="str">
        <f t="shared" si="18"/>
        <v>Error?</v>
      </c>
    </row>
    <row r="1222" spans="1:4" x14ac:dyDescent="0.2">
      <c r="A1222" s="10">
        <v>1161</v>
      </c>
      <c r="B1222" s="1832"/>
      <c r="D1222" s="2" t="str">
        <f t="shared" si="18"/>
        <v>OK</v>
      </c>
    </row>
    <row r="1223" spans="1:4" x14ac:dyDescent="0.2">
      <c r="A1223" s="5">
        <v>1162</v>
      </c>
      <c r="B1223" s="1832">
        <f>'Expenditures 15-22'!C127</f>
        <v>1124067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1124067</v>
      </c>
      <c r="C1225" s="2" t="s">
        <v>569</v>
      </c>
      <c r="D1225" s="2" t="str">
        <f t="shared" si="18"/>
        <v>Error?</v>
      </c>
    </row>
    <row r="1226" spans="1:4" x14ac:dyDescent="0.2">
      <c r="A1226" s="5">
        <v>1165</v>
      </c>
      <c r="B1226" s="1832">
        <f>'Expenditures 15-22'!C151</f>
        <v>1124067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245466</v>
      </c>
      <c r="D1229" s="2" t="str">
        <f t="shared" si="18"/>
        <v>Error?</v>
      </c>
    </row>
    <row r="1230" spans="1:4" x14ac:dyDescent="0.2">
      <c r="A1230" s="10">
        <v>1169</v>
      </c>
      <c r="B1230" s="1832"/>
      <c r="D1230" s="2" t="str">
        <f t="shared" si="18"/>
        <v>OK</v>
      </c>
    </row>
    <row r="1231" spans="1:4" x14ac:dyDescent="0.2">
      <c r="A1231" s="5">
        <v>1170</v>
      </c>
      <c r="B1231" s="1832">
        <f>'Expenditures 15-22'!D127</f>
        <v>245466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245466</v>
      </c>
      <c r="C1233" s="2" t="s">
        <v>569</v>
      </c>
      <c r="D1233" s="2" t="str">
        <f t="shared" si="18"/>
        <v>Error?</v>
      </c>
    </row>
    <row r="1234" spans="1:4" x14ac:dyDescent="0.2">
      <c r="A1234" s="5">
        <v>1173</v>
      </c>
      <c r="B1234" s="1832">
        <f>'Expenditures 15-22'!D151</f>
        <v>245466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67386</v>
      </c>
      <c r="D1236" s="2" t="str">
        <f t="shared" si="18"/>
        <v>Error?</v>
      </c>
    </row>
    <row r="1237" spans="1:4" x14ac:dyDescent="0.2">
      <c r="A1237" s="5">
        <v>1176</v>
      </c>
      <c r="B1237" s="1832">
        <f>'Expenditures 15-22'!E124</f>
        <v>472244</v>
      </c>
      <c r="D1237" s="2" t="str">
        <f t="shared" si="18"/>
        <v>Error?</v>
      </c>
    </row>
    <row r="1238" spans="1:4" x14ac:dyDescent="0.2">
      <c r="A1238" s="10">
        <v>1177</v>
      </c>
      <c r="B1238" s="1832"/>
      <c r="D1238" s="2" t="str">
        <f t="shared" si="18"/>
        <v>OK</v>
      </c>
    </row>
    <row r="1239" spans="1:4" x14ac:dyDescent="0.2">
      <c r="A1239" s="5">
        <v>1178</v>
      </c>
      <c r="B1239" s="1832">
        <f>'Expenditures 15-22'!E127</f>
        <v>539630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539630</v>
      </c>
      <c r="C1241" s="2" t="s">
        <v>569</v>
      </c>
      <c r="D1241" s="2" t="str">
        <f t="shared" si="18"/>
        <v>Error?</v>
      </c>
    </row>
    <row r="1242" spans="1:4" x14ac:dyDescent="0.2">
      <c r="A1242" s="5">
        <v>1181</v>
      </c>
      <c r="B1242" s="1832">
        <f>'Expenditures 15-22'!E151</f>
        <v>539630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874304</v>
      </c>
      <c r="D1245" s="2" t="str">
        <f t="shared" si="18"/>
        <v>Error?</v>
      </c>
    </row>
    <row r="1246" spans="1:4" x14ac:dyDescent="0.2">
      <c r="A1246" s="10">
        <v>1185</v>
      </c>
      <c r="B1246" s="1832"/>
      <c r="D1246" s="2" t="str">
        <f t="shared" si="18"/>
        <v>OK</v>
      </c>
    </row>
    <row r="1247" spans="1:4" x14ac:dyDescent="0.2">
      <c r="A1247" s="5">
        <v>1186</v>
      </c>
      <c r="B1247" s="1832">
        <f>'Expenditures 15-22'!F127</f>
        <v>874304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874304</v>
      </c>
      <c r="C1249" s="2" t="s">
        <v>569</v>
      </c>
      <c r="D1249" s="2" t="str">
        <f t="shared" si="18"/>
        <v>Error?</v>
      </c>
    </row>
    <row r="1250" spans="1:4" x14ac:dyDescent="0.2">
      <c r="A1250" s="5">
        <v>1189</v>
      </c>
      <c r="B1250" s="1832">
        <f>'Expenditures 15-22'!F151</f>
        <v>874304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256645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256645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256645</v>
      </c>
      <c r="C1258" s="2" t="s">
        <v>569</v>
      </c>
      <c r="D1258" s="2" t="str">
        <f t="shared" si="18"/>
        <v>Error?</v>
      </c>
    </row>
    <row r="1259" spans="1:4" x14ac:dyDescent="0.2">
      <c r="A1259" s="5">
        <v>1198</v>
      </c>
      <c r="B1259" s="1832">
        <f>'Expenditures 15-22'!G151</f>
        <v>256645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40</v>
      </c>
      <c r="D1262" s="2" t="str">
        <f t="shared" si="18"/>
        <v>Error?</v>
      </c>
    </row>
    <row r="1263" spans="1:4" x14ac:dyDescent="0.2">
      <c r="A1263" s="10">
        <v>1202</v>
      </c>
      <c r="B1263" s="1832"/>
      <c r="D1263" s="2" t="str">
        <f t="shared" si="18"/>
        <v>OK</v>
      </c>
    </row>
    <row r="1264" spans="1:4" x14ac:dyDescent="0.2">
      <c r="A1264" s="5">
        <v>1203</v>
      </c>
      <c r="B1264" s="1832">
        <f>'Expenditures 15-22'!H127</f>
        <v>40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40</v>
      </c>
      <c r="C1266" s="2" t="s">
        <v>569</v>
      </c>
      <c r="D1266" s="2" t="str">
        <f t="shared" si="18"/>
        <v>Error?</v>
      </c>
    </row>
    <row r="1267" spans="1:4" x14ac:dyDescent="0.2">
      <c r="A1267" s="5">
        <v>1206</v>
      </c>
      <c r="B1267" s="1832">
        <f>'Expenditures 15-22'!H139</f>
        <v>227028</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227068</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67386</v>
      </c>
      <c r="C1275" s="2" t="s">
        <v>569</v>
      </c>
      <c r="D1275" s="2" t="str">
        <f t="shared" si="18"/>
        <v>Error?</v>
      </c>
    </row>
    <row r="1276" spans="1:4" x14ac:dyDescent="0.2">
      <c r="A1276" s="5">
        <v>1215</v>
      </c>
      <c r="B1276" s="1832">
        <f>'Expenditures 15-22'!K124</f>
        <v>2972766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3040152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3040152</v>
      </c>
      <c r="C1281" s="2" t="s">
        <v>569</v>
      </c>
      <c r="D1281" s="2" t="str">
        <f t="shared" si="19"/>
        <v>Error?</v>
      </c>
    </row>
    <row r="1282" spans="1:4" x14ac:dyDescent="0.2">
      <c r="A1282" s="5">
        <v>1221</v>
      </c>
      <c r="B1282" s="1832">
        <f>'Expenditures 15-22'!K139</f>
        <v>227028</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3267180</v>
      </c>
      <c r="C1288" s="2" t="s">
        <v>569</v>
      </c>
      <c r="D1288" s="2" t="str">
        <f t="shared" si="19"/>
        <v>Error?</v>
      </c>
    </row>
    <row r="1289" spans="1:4" x14ac:dyDescent="0.2">
      <c r="A1289" s="5">
        <v>1228</v>
      </c>
      <c r="B1289" s="1832">
        <f>'Expenditures 15-22'!K152</f>
        <v>212071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1341931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2155000</v>
      </c>
      <c r="D1315" s="2" t="str">
        <f t="shared" si="19"/>
        <v>Error?</v>
      </c>
    </row>
    <row r="1316" spans="1:4" x14ac:dyDescent="0.2">
      <c r="A1316" s="5">
        <v>1255</v>
      </c>
      <c r="B1316" s="1832">
        <f>'Expenditures 15-22'!H171</f>
        <v>1901</v>
      </c>
      <c r="D1316" s="2" t="str">
        <f t="shared" si="19"/>
        <v>Error?</v>
      </c>
    </row>
    <row r="1317" spans="1:4" x14ac:dyDescent="0.2">
      <c r="A1317" s="5">
        <v>1256</v>
      </c>
      <c r="B1317" s="1832">
        <f>'Expenditures 15-22'!H172</f>
        <v>3498832</v>
      </c>
      <c r="C1317" s="2" t="s">
        <v>569</v>
      </c>
      <c r="D1317" s="2" t="str">
        <f t="shared" si="19"/>
        <v>Error?</v>
      </c>
    </row>
    <row r="1318" spans="1:4" x14ac:dyDescent="0.2">
      <c r="A1318" s="5">
        <v>1257</v>
      </c>
      <c r="B1318" s="1832">
        <f>'Expenditures 15-22'!H174</f>
        <v>3498832</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1341931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2155000</v>
      </c>
      <c r="C1329" s="2" t="s">
        <v>569</v>
      </c>
      <c r="D1329" s="2" t="str">
        <f t="shared" si="19"/>
        <v>Error?</v>
      </c>
    </row>
    <row r="1330" spans="1:4" x14ac:dyDescent="0.2">
      <c r="A1330" s="5">
        <v>1269</v>
      </c>
      <c r="B1330" s="1832">
        <f>'Expenditures 15-22'!K171</f>
        <v>1901</v>
      </c>
      <c r="C1330" s="2" t="s">
        <v>569</v>
      </c>
      <c r="D1330" s="2" t="str">
        <f t="shared" si="19"/>
        <v>Error?</v>
      </c>
    </row>
    <row r="1331" spans="1:4" x14ac:dyDescent="0.2">
      <c r="A1331" s="5">
        <v>1270</v>
      </c>
      <c r="B1331" s="1832">
        <f>'Expenditures 15-22'!K172</f>
        <v>3498832</v>
      </c>
      <c r="C1331" s="2" t="s">
        <v>569</v>
      </c>
      <c r="D1331" s="2" t="str">
        <f t="shared" si="19"/>
        <v>Error?</v>
      </c>
    </row>
    <row r="1332" spans="1:4" x14ac:dyDescent="0.2">
      <c r="A1332" s="5">
        <v>1271</v>
      </c>
      <c r="B1332" s="1832">
        <f>'Expenditures 15-22'!K174</f>
        <v>3498832</v>
      </c>
      <c r="C1332" s="2" t="s">
        <v>569</v>
      </c>
      <c r="D1332" s="2" t="str">
        <f t="shared" si="19"/>
        <v>Error?</v>
      </c>
    </row>
    <row r="1333" spans="1:4" x14ac:dyDescent="0.2">
      <c r="A1333" s="5">
        <v>1272</v>
      </c>
      <c r="B1333" s="1832">
        <f>'Expenditures 15-22'!K175</f>
        <v>-53074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2096262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2096262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2096262</v>
      </c>
      <c r="C1353" s="2" t="s">
        <v>569</v>
      </c>
      <c r="D1353" s="2" t="str">
        <f t="shared" si="20"/>
        <v>Error?</v>
      </c>
    </row>
    <row r="1354" spans="1:4" x14ac:dyDescent="0.2">
      <c r="A1354" s="5">
        <v>1293</v>
      </c>
      <c r="B1354" s="1832">
        <f>'Expenditures 15-22'!F182</f>
        <v>686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686</v>
      </c>
      <c r="C1358" s="2" t="s">
        <v>569</v>
      </c>
      <c r="D1358" s="2" t="str">
        <f t="shared" si="20"/>
        <v>Error?</v>
      </c>
    </row>
    <row r="1359" spans="1:4" x14ac:dyDescent="0.2">
      <c r="A1359" s="5">
        <v>1298</v>
      </c>
      <c r="B1359" s="1832">
        <f>'Expenditures 15-22'!F210</f>
        <v>686</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2096948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2096948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2096948</v>
      </c>
      <c r="C1388" s="2" t="s">
        <v>569</v>
      </c>
      <c r="D1388" s="2" t="str">
        <f t="shared" si="20"/>
        <v>Error?</v>
      </c>
    </row>
    <row r="1389" spans="1:4" x14ac:dyDescent="0.2">
      <c r="A1389" s="5">
        <v>1328</v>
      </c>
      <c r="B1389" s="1832">
        <f>'Expenditures 15-22'!K211</f>
        <v>224691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4950</v>
      </c>
      <c r="D1407" s="2" t="str">
        <f t="shared" ref="D1407:D1470" si="21">IF(ISBLANK(B1407),"OK",IF(A1407-B1407=0,"OK","Error?"))</f>
        <v>Error?</v>
      </c>
    </row>
    <row r="1408" spans="1:4" x14ac:dyDescent="0.2">
      <c r="A1408" s="5">
        <v>1347</v>
      </c>
      <c r="B1408" s="1832">
        <f>'Expenditures 15-22'!D223</f>
        <v>14702</v>
      </c>
      <c r="D1408" s="2" t="str">
        <f t="shared" si="21"/>
        <v>Error?</v>
      </c>
    </row>
    <row r="1409" spans="1:4" x14ac:dyDescent="0.2">
      <c r="A1409" s="5">
        <v>1348</v>
      </c>
      <c r="B1409" s="1832">
        <f>'Expenditures 15-22'!D224</f>
        <v>891</v>
      </c>
      <c r="D1409" s="2" t="str">
        <f t="shared" si="21"/>
        <v>Error?</v>
      </c>
    </row>
    <row r="1410" spans="1:4" x14ac:dyDescent="0.2">
      <c r="A1410" s="5">
        <v>1349</v>
      </c>
      <c r="B1410" s="1832">
        <f>'Expenditures 15-22'!D229</f>
        <v>305060</v>
      </c>
      <c r="C1410" s="2" t="s">
        <v>569</v>
      </c>
      <c r="D1410" s="2" t="str">
        <f t="shared" si="21"/>
        <v>Error?</v>
      </c>
    </row>
    <row r="1411" spans="1:4" x14ac:dyDescent="0.2">
      <c r="A1411" s="5">
        <v>1350</v>
      </c>
      <c r="B1411" s="1832">
        <f>'Expenditures 15-22'!D232</f>
        <v>5980</v>
      </c>
      <c r="D1411" s="2" t="str">
        <f t="shared" si="21"/>
        <v>Error?</v>
      </c>
    </row>
    <row r="1412" spans="1:4" x14ac:dyDescent="0.2">
      <c r="A1412" s="5">
        <v>1351</v>
      </c>
      <c r="B1412" s="1832">
        <f>'Expenditures 15-22'!D233</f>
        <v>2737</v>
      </c>
      <c r="D1412" s="2" t="str">
        <f t="shared" si="21"/>
        <v>Error?</v>
      </c>
    </row>
    <row r="1413" spans="1:4" x14ac:dyDescent="0.2">
      <c r="A1413" s="5">
        <v>1352</v>
      </c>
      <c r="B1413" s="1832">
        <f>'Expenditures 15-22'!D234</f>
        <v>15440</v>
      </c>
      <c r="D1413" s="2" t="str">
        <f t="shared" si="21"/>
        <v>Error?</v>
      </c>
    </row>
    <row r="1414" spans="1:4" x14ac:dyDescent="0.2">
      <c r="A1414" s="5">
        <v>1353</v>
      </c>
      <c r="B1414" s="1832">
        <f>'Expenditures 15-22'!D235</f>
        <v>1835</v>
      </c>
      <c r="D1414" s="2" t="str">
        <f t="shared" si="21"/>
        <v>Error?</v>
      </c>
    </row>
    <row r="1415" spans="1:4" x14ac:dyDescent="0.2">
      <c r="A1415" s="5">
        <v>1354</v>
      </c>
      <c r="B1415" s="1832">
        <f>'Expenditures 15-22'!D236</f>
        <v>3661</v>
      </c>
      <c r="D1415" s="2" t="str">
        <f t="shared" si="21"/>
        <v>Error?</v>
      </c>
    </row>
    <row r="1416" spans="1:4" x14ac:dyDescent="0.2">
      <c r="A1416" s="5">
        <v>1355</v>
      </c>
      <c r="B1416" s="1832">
        <f>'Expenditures 15-22'!D237</f>
        <v>3512</v>
      </c>
      <c r="D1416" s="2" t="str">
        <f t="shared" si="21"/>
        <v>Error?</v>
      </c>
    </row>
    <row r="1417" spans="1:4" x14ac:dyDescent="0.2">
      <c r="A1417" s="5">
        <v>1356</v>
      </c>
      <c r="B1417" s="1832">
        <f>'Expenditures 15-22'!D238</f>
        <v>33165</v>
      </c>
      <c r="C1417" s="2" t="s">
        <v>569</v>
      </c>
      <c r="D1417" s="2" t="str">
        <f t="shared" si="21"/>
        <v>Error?</v>
      </c>
    </row>
    <row r="1418" spans="1:4" x14ac:dyDescent="0.2">
      <c r="A1418" s="5">
        <v>1357</v>
      </c>
      <c r="B1418" s="1832">
        <f>'Expenditures 15-22'!D240</f>
        <v>8969</v>
      </c>
      <c r="D1418" s="2" t="str">
        <f t="shared" si="21"/>
        <v>Error?</v>
      </c>
    </row>
    <row r="1419" spans="1:4" x14ac:dyDescent="0.2">
      <c r="A1419" s="5">
        <v>1358</v>
      </c>
      <c r="B1419" s="1832">
        <f>'Expenditures 15-22'!D241</f>
        <v>40288</v>
      </c>
      <c r="D1419" s="2" t="str">
        <f t="shared" si="21"/>
        <v>Error?</v>
      </c>
    </row>
    <row r="1420" spans="1:4" x14ac:dyDescent="0.2">
      <c r="A1420" s="5">
        <v>1359</v>
      </c>
      <c r="B1420" s="1832">
        <f>'Expenditures 15-22'!D242</f>
        <v>4855</v>
      </c>
      <c r="D1420" s="2" t="str">
        <f t="shared" si="21"/>
        <v>Error?</v>
      </c>
    </row>
    <row r="1421" spans="1:4" x14ac:dyDescent="0.2">
      <c r="A1421" s="5">
        <v>1360</v>
      </c>
      <c r="B1421" s="1832">
        <f>'Expenditures 15-22'!D243</f>
        <v>54112</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6635</v>
      </c>
      <c r="D1423" s="2" t="str">
        <f t="shared" si="21"/>
        <v>Error?</v>
      </c>
    </row>
    <row r="1424" spans="1:4" x14ac:dyDescent="0.2">
      <c r="A1424" s="5">
        <v>1363</v>
      </c>
      <c r="B1424" s="1832">
        <f>'Expenditures 15-22'!D257</f>
        <v>6635</v>
      </c>
      <c r="C1424" s="2" t="s">
        <v>569</v>
      </c>
      <c r="D1424" s="2" t="str">
        <f t="shared" si="21"/>
        <v>Error?</v>
      </c>
    </row>
    <row r="1425" spans="1:4" x14ac:dyDescent="0.2">
      <c r="A1425" s="5">
        <v>1364</v>
      </c>
      <c r="B1425" s="1832">
        <f>'Expenditures 15-22'!D259</f>
        <v>48142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48142</v>
      </c>
      <c r="C1427" s="2" t="s">
        <v>569</v>
      </c>
      <c r="D1427" s="2" t="str">
        <f t="shared" si="21"/>
        <v>Error?</v>
      </c>
    </row>
    <row r="1428" spans="1:4" x14ac:dyDescent="0.2">
      <c r="A1428" s="5">
        <v>1367</v>
      </c>
      <c r="B1428" s="1832">
        <f>'Expenditures 15-22'!D263</f>
        <v>1116</v>
      </c>
      <c r="D1428" s="2" t="str">
        <f t="shared" si="21"/>
        <v>Error?</v>
      </c>
    </row>
    <row r="1429" spans="1:4" x14ac:dyDescent="0.2">
      <c r="A1429" s="5">
        <v>1368</v>
      </c>
      <c r="B1429" s="1832">
        <f>'Expenditures 15-22'!D264</f>
        <v>19842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177830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44831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243619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385673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690733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4950</v>
      </c>
      <c r="C1471" s="2" t="s">
        <v>569</v>
      </c>
      <c r="D1471" s="2" t="str">
        <f t="shared" ref="D1471:D1534" si="22">IF(ISBLANK(B1471),"OK",IF(A1471-B1471=0,"OK","Error?"))</f>
        <v>Error?</v>
      </c>
    </row>
    <row r="1472" spans="1:4" x14ac:dyDescent="0.2">
      <c r="A1472" s="5">
        <v>1411</v>
      </c>
      <c r="B1472" s="1832">
        <f>'Expenditures 15-22'!K223</f>
        <v>14702</v>
      </c>
      <c r="C1472" s="2" t="s">
        <v>569</v>
      </c>
      <c r="D1472" s="2" t="str">
        <f t="shared" si="22"/>
        <v>Error?</v>
      </c>
    </row>
    <row r="1473" spans="1:4" x14ac:dyDescent="0.2">
      <c r="A1473" s="5">
        <v>1412</v>
      </c>
      <c r="B1473" s="1832">
        <f>'Expenditures 15-22'!K224</f>
        <v>891</v>
      </c>
      <c r="C1473" s="2" t="s">
        <v>569</v>
      </c>
      <c r="D1473" s="2" t="str">
        <f t="shared" si="22"/>
        <v>Error?</v>
      </c>
    </row>
    <row r="1474" spans="1:4" x14ac:dyDescent="0.2">
      <c r="A1474" s="5">
        <v>1413</v>
      </c>
      <c r="B1474" s="1832">
        <f>'Expenditures 15-22'!K229</f>
        <v>305060</v>
      </c>
      <c r="C1474" s="2" t="s">
        <v>569</v>
      </c>
      <c r="D1474" s="2" t="str">
        <f t="shared" si="22"/>
        <v>Error?</v>
      </c>
    </row>
    <row r="1475" spans="1:4" x14ac:dyDescent="0.2">
      <c r="A1475" s="5">
        <v>1414</v>
      </c>
      <c r="B1475" s="1832">
        <f>'Expenditures 15-22'!K232</f>
        <v>5980</v>
      </c>
      <c r="C1475" s="2" t="s">
        <v>569</v>
      </c>
      <c r="D1475" s="2" t="str">
        <f t="shared" si="22"/>
        <v>Error?</v>
      </c>
    </row>
    <row r="1476" spans="1:4" x14ac:dyDescent="0.2">
      <c r="A1476" s="5">
        <v>1415</v>
      </c>
      <c r="B1476" s="1832">
        <f>'Expenditures 15-22'!K233</f>
        <v>2737</v>
      </c>
      <c r="C1476" s="2" t="s">
        <v>569</v>
      </c>
      <c r="D1476" s="2" t="str">
        <f t="shared" si="22"/>
        <v>Error?</v>
      </c>
    </row>
    <row r="1477" spans="1:4" x14ac:dyDescent="0.2">
      <c r="A1477" s="5">
        <v>1416</v>
      </c>
      <c r="B1477" s="1832">
        <f>'Expenditures 15-22'!K234</f>
        <v>15440</v>
      </c>
      <c r="C1477" s="2" t="s">
        <v>569</v>
      </c>
      <c r="D1477" s="2" t="str">
        <f t="shared" si="22"/>
        <v>Error?</v>
      </c>
    </row>
    <row r="1478" spans="1:4" x14ac:dyDescent="0.2">
      <c r="A1478" s="5">
        <v>1417</v>
      </c>
      <c r="B1478" s="1832">
        <f>'Expenditures 15-22'!K235</f>
        <v>1835</v>
      </c>
      <c r="C1478" s="2" t="s">
        <v>569</v>
      </c>
      <c r="D1478" s="2" t="str">
        <f t="shared" si="22"/>
        <v>Error?</v>
      </c>
    </row>
    <row r="1479" spans="1:4" x14ac:dyDescent="0.2">
      <c r="A1479" s="5">
        <v>1418</v>
      </c>
      <c r="B1479" s="1832">
        <f>'Expenditures 15-22'!K236</f>
        <v>3661</v>
      </c>
      <c r="C1479" s="2" t="s">
        <v>569</v>
      </c>
      <c r="D1479" s="2" t="str">
        <f t="shared" si="22"/>
        <v>Error?</v>
      </c>
    </row>
    <row r="1480" spans="1:4" x14ac:dyDescent="0.2">
      <c r="A1480" s="5">
        <v>1419</v>
      </c>
      <c r="B1480" s="1832">
        <f>'Expenditures 15-22'!K237</f>
        <v>3512</v>
      </c>
      <c r="C1480" s="2" t="s">
        <v>569</v>
      </c>
      <c r="D1480" s="2" t="str">
        <f t="shared" si="22"/>
        <v>Error?</v>
      </c>
    </row>
    <row r="1481" spans="1:4" x14ac:dyDescent="0.2">
      <c r="A1481" s="5">
        <v>1420</v>
      </c>
      <c r="B1481" s="1832">
        <f>'Expenditures 15-22'!K238</f>
        <v>33165</v>
      </c>
      <c r="C1481" s="2" t="s">
        <v>569</v>
      </c>
      <c r="D1481" s="2" t="str">
        <f t="shared" si="22"/>
        <v>Error?</v>
      </c>
    </row>
    <row r="1482" spans="1:4" x14ac:dyDescent="0.2">
      <c r="A1482" s="5">
        <v>1421</v>
      </c>
      <c r="B1482" s="1832">
        <f>'Expenditures 15-22'!K240</f>
        <v>8969</v>
      </c>
      <c r="C1482" s="2" t="s">
        <v>569</v>
      </c>
      <c r="D1482" s="2" t="str">
        <f t="shared" si="22"/>
        <v>Error?</v>
      </c>
    </row>
    <row r="1483" spans="1:4" x14ac:dyDescent="0.2">
      <c r="A1483" s="5">
        <v>1422</v>
      </c>
      <c r="B1483" s="1832">
        <f>'Expenditures 15-22'!K241</f>
        <v>40288</v>
      </c>
      <c r="C1483" s="2" t="s">
        <v>569</v>
      </c>
      <c r="D1483" s="2" t="str">
        <f t="shared" si="22"/>
        <v>Error?</v>
      </c>
    </row>
    <row r="1484" spans="1:4" x14ac:dyDescent="0.2">
      <c r="A1484" s="5">
        <v>1423</v>
      </c>
      <c r="B1484" s="1832">
        <f>'Expenditures 15-22'!K242</f>
        <v>4855</v>
      </c>
      <c r="C1484" s="2" t="s">
        <v>569</v>
      </c>
      <c r="D1484" s="2" t="str">
        <f t="shared" si="22"/>
        <v>Error?</v>
      </c>
    </row>
    <row r="1485" spans="1:4" x14ac:dyDescent="0.2">
      <c r="A1485" s="5">
        <v>1424</v>
      </c>
      <c r="B1485" s="1832">
        <f>'Expenditures 15-22'!K243</f>
        <v>54112</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6635</v>
      </c>
      <c r="C1487" s="2" t="s">
        <v>569</v>
      </c>
      <c r="D1487" s="2" t="str">
        <f t="shared" si="22"/>
        <v>Error?</v>
      </c>
    </row>
    <row r="1488" spans="1:4" x14ac:dyDescent="0.2">
      <c r="A1488" s="5">
        <v>1427</v>
      </c>
      <c r="B1488" s="1832">
        <f>'Expenditures 15-22'!K257</f>
        <v>6635</v>
      </c>
      <c r="C1488" s="2" t="s">
        <v>569</v>
      </c>
      <c r="D1488" s="2" t="str">
        <f t="shared" si="22"/>
        <v>Error?</v>
      </c>
    </row>
    <row r="1489" spans="1:4" x14ac:dyDescent="0.2">
      <c r="A1489" s="5">
        <v>1428</v>
      </c>
      <c r="B1489" s="1832">
        <f>'Expenditures 15-22'!K259</f>
        <v>48142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48142</v>
      </c>
      <c r="C1491" s="2" t="s">
        <v>569</v>
      </c>
      <c r="D1491" s="2" t="str">
        <f t="shared" si="22"/>
        <v>Error?</v>
      </c>
    </row>
    <row r="1492" spans="1:4" x14ac:dyDescent="0.2">
      <c r="A1492" s="5">
        <v>1431</v>
      </c>
      <c r="B1492" s="1832">
        <f>'Expenditures 15-22'!K263</f>
        <v>1116</v>
      </c>
      <c r="C1492" s="2" t="s">
        <v>569</v>
      </c>
      <c r="D1492" s="2" t="str">
        <f t="shared" si="22"/>
        <v>Error?</v>
      </c>
    </row>
    <row r="1493" spans="1:4" x14ac:dyDescent="0.2">
      <c r="A1493" s="5">
        <v>1432</v>
      </c>
      <c r="B1493" s="1832">
        <f>'Expenditures 15-22'!K264</f>
        <v>19842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177830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44831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243619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385673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690733</v>
      </c>
      <c r="C1517" s="2" t="s">
        <v>569</v>
      </c>
      <c r="D1517" s="2" t="str">
        <f t="shared" si="22"/>
        <v>Error?</v>
      </c>
    </row>
    <row r="1518" spans="1:4" x14ac:dyDescent="0.2">
      <c r="A1518" s="5">
        <v>1457</v>
      </c>
      <c r="B1518" s="1832">
        <f>'Expenditures 15-22'!K296</f>
        <v>46309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69889</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69889</v>
      </c>
      <c r="C1535" s="2" t="s">
        <v>569</v>
      </c>
      <c r="D1535" s="2" t="str">
        <f t="shared" ref="D1535:D1598" si="23">IF(ISBLANK(B1535),"OK",IF(A1535-B1535=0,"OK","Error?"))</f>
        <v>Error?</v>
      </c>
    </row>
    <row r="1536" spans="1:4" x14ac:dyDescent="0.2">
      <c r="A1536" s="5">
        <v>1475</v>
      </c>
      <c r="B1536" s="1832">
        <f>'Expenditures 15-22'!E312</f>
        <v>69889</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517978</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517978</v>
      </c>
      <c r="C1547" s="2" t="s">
        <v>569</v>
      </c>
      <c r="D1547" s="2" t="str">
        <f t="shared" si="23"/>
        <v>Error?</v>
      </c>
    </row>
    <row r="1548" spans="1:4" x14ac:dyDescent="0.2">
      <c r="A1548" s="5">
        <v>1487</v>
      </c>
      <c r="B1548" s="1832">
        <f>'Expenditures 15-22'!G312</f>
        <v>517978</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587867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587867</v>
      </c>
      <c r="C1559" s="2" t="s">
        <v>569</v>
      </c>
      <c r="D1559" s="2" t="str">
        <f t="shared" si="23"/>
        <v>Error?</v>
      </c>
    </row>
    <row r="1560" spans="1:4" x14ac:dyDescent="0.2">
      <c r="A1560" s="5">
        <v>1499</v>
      </c>
      <c r="B1560" s="1832">
        <f>'Expenditures 15-22'!K312</f>
        <v>587867</v>
      </c>
      <c r="C1560" s="2" t="s">
        <v>569</v>
      </c>
      <c r="D1560" s="2" t="str">
        <f t="shared" si="23"/>
        <v>Error?</v>
      </c>
    </row>
    <row r="1561" spans="1:4" x14ac:dyDescent="0.2">
      <c r="A1561" s="5">
        <v>1500</v>
      </c>
      <c r="B1561" s="1832">
        <f>'Expenditures 15-22'!K313</f>
        <v>-539631</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12222866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11843814</v>
      </c>
      <c r="C1630" s="2" t="s">
        <v>569</v>
      </c>
      <c r="D1630" s="2" t="str">
        <f t="shared" si="24"/>
        <v>Error?</v>
      </c>
    </row>
    <row r="1631" spans="1:4" x14ac:dyDescent="0.2">
      <c r="A1631" s="5">
        <v>1570</v>
      </c>
      <c r="B1631" s="1832">
        <f>'Acct Summary 7-8'!D79</f>
        <v>1490091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1702162</v>
      </c>
      <c r="C1644" s="2" t="s">
        <v>569</v>
      </c>
      <c r="D1644" s="2" t="str">
        <f t="shared" si="24"/>
        <v>Error?</v>
      </c>
    </row>
    <row r="1645" spans="1:4" x14ac:dyDescent="0.2">
      <c r="A1645" s="5">
        <v>1584</v>
      </c>
      <c r="B1645" s="1832">
        <f>'Acct Summary 7-8'!E79</f>
        <v>89136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36062</v>
      </c>
      <c r="C1658" s="2" t="s">
        <v>569</v>
      </c>
      <c r="D1658" s="2" t="str">
        <f t="shared" si="24"/>
        <v>Error?</v>
      </c>
    </row>
    <row r="1659" spans="1:4" x14ac:dyDescent="0.2">
      <c r="A1659" s="5">
        <v>1598</v>
      </c>
      <c r="B1659" s="1832">
        <f>'Acct Summary 7-8'!F79</f>
        <v>2379361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2604052</v>
      </c>
      <c r="C1672" s="2" t="s">
        <v>569</v>
      </c>
      <c r="D1672" s="2" t="str">
        <f t="shared" si="25"/>
        <v>Error?</v>
      </c>
    </row>
    <row r="1673" spans="1:4" x14ac:dyDescent="0.2">
      <c r="A1673" s="5">
        <v>1612</v>
      </c>
      <c r="B1673" s="1832">
        <f>'Acct Summary 7-8'!G79</f>
        <v>238361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284670</v>
      </c>
      <c r="C1686" s="2" t="s">
        <v>569</v>
      </c>
      <c r="D1686" s="2" t="str">
        <f t="shared" si="25"/>
        <v>Error?</v>
      </c>
    </row>
    <row r="1687" spans="1:4" x14ac:dyDescent="0.2">
      <c r="A1687" s="5">
        <v>1626</v>
      </c>
      <c r="B1687" s="1832">
        <f>'Acct Summary 7-8'!H79</f>
        <v>636702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597071</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15532231</v>
      </c>
      <c r="C1744" s="2" t="s">
        <v>569</v>
      </c>
      <c r="D1744" s="2" t="str">
        <f t="shared" si="26"/>
        <v>Error?</v>
      </c>
    </row>
    <row r="1745" spans="1:5" x14ac:dyDescent="0.2">
      <c r="A1745" s="5">
        <v>1684</v>
      </c>
      <c r="B1745" s="1832">
        <f>'Tax Sched 23'!B5</f>
        <v>3349235</v>
      </c>
      <c r="C1745" s="2" t="s">
        <v>569</v>
      </c>
      <c r="D1745" s="2" t="str">
        <f t="shared" si="26"/>
        <v>Error?</v>
      </c>
    </row>
    <row r="1746" spans="1:5" x14ac:dyDescent="0.2">
      <c r="A1746" s="5">
        <v>1685</v>
      </c>
      <c r="B1746" s="1832">
        <f>'Tax Sched 23'!B6</f>
        <v>3445758</v>
      </c>
      <c r="C1746" s="2" t="s">
        <v>569</v>
      </c>
      <c r="D1746" s="2" t="str">
        <f t="shared" si="26"/>
        <v>Error?</v>
      </c>
    </row>
    <row r="1747" spans="1:5" x14ac:dyDescent="0.2">
      <c r="A1747" s="5">
        <v>1686</v>
      </c>
      <c r="B1747" s="1832">
        <f>'Tax Sched 23'!B7</f>
        <v>1435352</v>
      </c>
      <c r="C1747" s="2" t="s">
        <v>569</v>
      </c>
      <c r="D1747" s="2" t="str">
        <f t="shared" si="26"/>
        <v>Error?</v>
      </c>
    </row>
    <row r="1748" spans="1:5" x14ac:dyDescent="0.2">
      <c r="A1748" s="5">
        <v>1687</v>
      </c>
      <c r="B1748" s="1832">
        <f>'Tax Sched 23'!B8</f>
        <v>318943</v>
      </c>
      <c r="C1748" s="2" t="s">
        <v>569</v>
      </c>
      <c r="D1748" s="2" t="str">
        <f t="shared" si="26"/>
        <v>Error?</v>
      </c>
    </row>
    <row r="1749" spans="1:5" x14ac:dyDescent="0.2">
      <c r="A1749" s="5">
        <v>1688</v>
      </c>
      <c r="B1749" s="1832">
        <f>'Tax Sched 23'!B10</f>
        <v>239286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239292</v>
      </c>
      <c r="C1752" s="2" t="s">
        <v>569</v>
      </c>
      <c r="D1752" s="2" t="str">
        <f t="shared" si="26"/>
        <v>Error?</v>
      </c>
    </row>
    <row r="1753" spans="1:5" x14ac:dyDescent="0.2">
      <c r="A1753" s="5">
        <v>1692</v>
      </c>
      <c r="B1753" s="1832">
        <f>'Tax Sched 23'!B12</f>
        <v>39870</v>
      </c>
      <c r="C1753" s="2" t="s">
        <v>569</v>
      </c>
      <c r="D1753" s="2" t="str">
        <f t="shared" si="26"/>
        <v>Error?</v>
      </c>
    </row>
    <row r="1754" spans="1:5" x14ac:dyDescent="0.2">
      <c r="A1754" s="5">
        <v>1693</v>
      </c>
      <c r="B1754" s="1832">
        <f>'Tax Sched 23'!B14</f>
        <v>315238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25668267</v>
      </c>
      <c r="C1759" s="2" t="s">
        <v>569</v>
      </c>
      <c r="D1759" s="2" t="str">
        <f t="shared" si="26"/>
        <v>Error?</v>
      </c>
    </row>
    <row r="1760" spans="1:5" x14ac:dyDescent="0.2">
      <c r="A1760" s="5">
        <v>1699</v>
      </c>
      <c r="B1760" s="1832">
        <f>'Tax Sched 23'!D4</f>
        <v>15532231</v>
      </c>
      <c r="C1760" s="2" t="s">
        <v>569</v>
      </c>
      <c r="D1760" s="2" t="str">
        <f t="shared" si="26"/>
        <v>Error?</v>
      </c>
    </row>
    <row r="1761" spans="1:7" x14ac:dyDescent="0.2">
      <c r="A1761" s="5">
        <v>1700</v>
      </c>
      <c r="B1761" s="1832">
        <f>'Tax Sched 23'!D5</f>
        <v>3349235</v>
      </c>
      <c r="C1761" s="2" t="s">
        <v>569</v>
      </c>
      <c r="D1761" s="2" t="str">
        <f t="shared" si="26"/>
        <v>Error?</v>
      </c>
    </row>
    <row r="1762" spans="1:7" s="8" customFormat="1" x14ac:dyDescent="0.2">
      <c r="A1762" s="5">
        <v>1701</v>
      </c>
      <c r="B1762" s="1832">
        <f>'Tax Sched 23'!D6</f>
        <v>3445758</v>
      </c>
      <c r="C1762" s="2" t="s">
        <v>569</v>
      </c>
      <c r="D1762" s="2" t="str">
        <f t="shared" si="26"/>
        <v>Error?</v>
      </c>
      <c r="E1762" s="9"/>
      <c r="G1762"/>
    </row>
    <row r="1763" spans="1:7" x14ac:dyDescent="0.2">
      <c r="A1763" s="5">
        <v>1702</v>
      </c>
      <c r="B1763" s="1832">
        <f>'Tax Sched 23'!D7</f>
        <v>1435352</v>
      </c>
      <c r="C1763" s="2" t="s">
        <v>569</v>
      </c>
      <c r="D1763" s="2" t="str">
        <f t="shared" si="26"/>
        <v>Error?</v>
      </c>
    </row>
    <row r="1764" spans="1:7" x14ac:dyDescent="0.2">
      <c r="A1764" s="5">
        <v>1703</v>
      </c>
      <c r="B1764" s="1832">
        <f>'Tax Sched 23'!D8</f>
        <v>318943</v>
      </c>
      <c r="C1764" s="2" t="s">
        <v>569</v>
      </c>
      <c r="D1764" s="2" t="str">
        <f t="shared" si="26"/>
        <v>Error?</v>
      </c>
    </row>
    <row r="1765" spans="1:7" x14ac:dyDescent="0.2">
      <c r="A1765" s="5">
        <v>1704</v>
      </c>
      <c r="B1765" s="1832">
        <f>'Tax Sched 23'!D10</f>
        <v>239286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239292</v>
      </c>
      <c r="C1768" s="2" t="s">
        <v>569</v>
      </c>
      <c r="D1768" s="2" t="str">
        <f t="shared" si="26"/>
        <v>Error?</v>
      </c>
    </row>
    <row r="1769" spans="1:7" x14ac:dyDescent="0.2">
      <c r="A1769" s="5">
        <v>1708</v>
      </c>
      <c r="B1769" s="1832">
        <f>'Tax Sched 23'!D12</f>
        <v>39870</v>
      </c>
      <c r="C1769" s="2" t="s">
        <v>569</v>
      </c>
      <c r="D1769" s="2" t="str">
        <f t="shared" si="26"/>
        <v>Error?</v>
      </c>
    </row>
    <row r="1770" spans="1:7" x14ac:dyDescent="0.2">
      <c r="A1770" s="5">
        <v>1709</v>
      </c>
      <c r="B1770" s="1832">
        <f>'Tax Sched 23'!D14</f>
        <v>315238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25668267</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16009542</v>
      </c>
      <c r="C1792" s="2" t="s">
        <v>569</v>
      </c>
      <c r="D1792" s="2" t="str">
        <f t="shared" si="27"/>
        <v>Error?</v>
      </c>
    </row>
    <row r="1793" spans="1:4" x14ac:dyDescent="0.2">
      <c r="A1793" s="5">
        <v>1732</v>
      </c>
      <c r="B1793" s="1832">
        <f>'Tax Sched 23'!F5</f>
        <v>3724012</v>
      </c>
      <c r="C1793" s="2" t="s">
        <v>569</v>
      </c>
      <c r="D1793" s="2" t="str">
        <f t="shared" si="27"/>
        <v>Error?</v>
      </c>
    </row>
    <row r="1794" spans="1:4" x14ac:dyDescent="0.2">
      <c r="A1794" s="5">
        <v>1733</v>
      </c>
      <c r="B1794" s="1832">
        <f>'Tax Sched 23'!F6</f>
        <v>3495799</v>
      </c>
      <c r="C1794" s="2" t="s">
        <v>569</v>
      </c>
      <c r="D1794" s="2" t="str">
        <f t="shared" si="27"/>
        <v>Error?</v>
      </c>
    </row>
    <row r="1795" spans="1:4" x14ac:dyDescent="0.2">
      <c r="A1795" s="5">
        <v>1734</v>
      </c>
      <c r="B1795" s="1832">
        <f>'Tax Sched 23'!F7</f>
        <v>1376268</v>
      </c>
      <c r="C1795" s="2" t="s">
        <v>569</v>
      </c>
      <c r="D1795" s="2" t="str">
        <f t="shared" si="27"/>
        <v>Error?</v>
      </c>
    </row>
    <row r="1796" spans="1:4" x14ac:dyDescent="0.2">
      <c r="A1796" s="5">
        <v>1735</v>
      </c>
      <c r="B1796" s="1832">
        <f>'Tax Sched 23'!F8</f>
        <v>323828</v>
      </c>
      <c r="C1796" s="2" t="s">
        <v>569</v>
      </c>
      <c r="D1796" s="2" t="str">
        <f t="shared" si="27"/>
        <v>Error?</v>
      </c>
    </row>
    <row r="1797" spans="1:4" x14ac:dyDescent="0.2">
      <c r="A1797" s="5">
        <v>1736</v>
      </c>
      <c r="B1797" s="1832">
        <f>'Tax Sched 23'!F10</f>
        <v>105245</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218584</v>
      </c>
      <c r="C1800" s="2" t="s">
        <v>569</v>
      </c>
      <c r="D1800" s="2" t="str">
        <f t="shared" si="27"/>
        <v>Error?</v>
      </c>
    </row>
    <row r="1801" spans="1:4" x14ac:dyDescent="0.2">
      <c r="A1801" s="5">
        <v>1740</v>
      </c>
      <c r="B1801" s="1832">
        <f>'Tax Sched 23'!F12</f>
        <v>80956</v>
      </c>
      <c r="C1801" s="2" t="s">
        <v>569</v>
      </c>
      <c r="D1801" s="2" t="str">
        <f t="shared" si="27"/>
        <v>Error?</v>
      </c>
    </row>
    <row r="1802" spans="1:4" x14ac:dyDescent="0.2">
      <c r="A1802" s="5">
        <v>1741</v>
      </c>
      <c r="B1802" s="1832">
        <f>'Tax Sched 23'!F14</f>
        <v>323828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26367080</v>
      </c>
      <c r="C1807" s="2" t="s">
        <v>569</v>
      </c>
      <c r="D1807" s="2" t="str">
        <f t="shared" si="27"/>
        <v>Error?</v>
      </c>
    </row>
    <row r="1808" spans="1:4" x14ac:dyDescent="0.2">
      <c r="A1808" s="5">
        <v>1747</v>
      </c>
      <c r="B1808" s="1832">
        <f>'Tax Sched 23'!E4</f>
        <v>16009542</v>
      </c>
      <c r="D1808" s="2" t="str">
        <f t="shared" si="27"/>
        <v>Error?</v>
      </c>
    </row>
    <row r="1809" spans="1:4" x14ac:dyDescent="0.2">
      <c r="A1809" s="5">
        <v>1748</v>
      </c>
      <c r="B1809" s="1832">
        <f>'Tax Sched 23'!E5</f>
        <v>3724012</v>
      </c>
      <c r="D1809" s="2" t="str">
        <f t="shared" si="27"/>
        <v>Error?</v>
      </c>
    </row>
    <row r="1810" spans="1:4" x14ac:dyDescent="0.2">
      <c r="A1810" s="5">
        <v>1749</v>
      </c>
      <c r="B1810" s="1832">
        <f>'Tax Sched 23'!E6</f>
        <v>3495799</v>
      </c>
      <c r="D1810" s="2" t="str">
        <f t="shared" si="27"/>
        <v>Error?</v>
      </c>
    </row>
    <row r="1811" spans="1:4" x14ac:dyDescent="0.2">
      <c r="A1811" s="5">
        <v>1750</v>
      </c>
      <c r="B1811" s="1832">
        <f>'Tax Sched 23'!E7</f>
        <v>1376268</v>
      </c>
      <c r="D1811" s="2" t="str">
        <f t="shared" si="27"/>
        <v>Error?</v>
      </c>
    </row>
    <row r="1812" spans="1:4" x14ac:dyDescent="0.2">
      <c r="A1812" s="5">
        <v>1751</v>
      </c>
      <c r="B1812" s="1832">
        <f>'Tax Sched 23'!E8</f>
        <v>323828</v>
      </c>
      <c r="D1812" s="2" t="str">
        <f t="shared" si="27"/>
        <v>Error?</v>
      </c>
    </row>
    <row r="1813" spans="1:4" x14ac:dyDescent="0.2">
      <c r="A1813" s="5">
        <v>1752</v>
      </c>
      <c r="B1813" s="1832">
        <f>'Tax Sched 23'!E10</f>
        <v>105245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218584</v>
      </c>
      <c r="D1816" s="2" t="str">
        <f t="shared" si="27"/>
        <v>Error?</v>
      </c>
    </row>
    <row r="1817" spans="1:4" x14ac:dyDescent="0.2">
      <c r="A1817" s="5">
        <v>1756</v>
      </c>
      <c r="B1817" s="1832">
        <f>'Tax Sched 23'!E12</f>
        <v>80956</v>
      </c>
      <c r="D1817" s="2" t="str">
        <f t="shared" si="27"/>
        <v>Error?</v>
      </c>
    </row>
    <row r="1818" spans="1:4" x14ac:dyDescent="0.2">
      <c r="A1818" s="5">
        <v>1757</v>
      </c>
      <c r="B1818" s="1832">
        <f>'Tax Sched 23'!E14</f>
        <v>323828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26367080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32305000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315238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315238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315238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6186420</v>
      </c>
      <c r="D2008" s="2" t="str">
        <f t="shared" si="30"/>
        <v>Error?</v>
      </c>
    </row>
    <row r="2009" spans="1:4" x14ac:dyDescent="0.2">
      <c r="A2009" s="5">
        <v>1948</v>
      </c>
      <c r="B2009" s="1832">
        <f>'Cap Outlay Deprec 26'!C8</f>
        <v>80423445</v>
      </c>
      <c r="D2009" s="2" t="str">
        <f t="shared" si="30"/>
        <v>Error?</v>
      </c>
    </row>
    <row r="2010" spans="1:4" x14ac:dyDescent="0.2">
      <c r="A2010" s="5">
        <v>1949</v>
      </c>
      <c r="B2010" s="1832">
        <f>'Cap Outlay Deprec 26'!C10</f>
        <v>5863196</v>
      </c>
      <c r="D2010" s="2" t="str">
        <f t="shared" si="30"/>
        <v>Error?</v>
      </c>
    </row>
    <row r="2011" spans="1:4" x14ac:dyDescent="0.2">
      <c r="A2011" s="5">
        <v>1950</v>
      </c>
      <c r="B2011" s="1832">
        <f>'Cap Outlay Deprec 26'!C12</f>
        <v>4032216</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96764866</v>
      </c>
      <c r="C2013" s="2" t="s">
        <v>569</v>
      </c>
      <c r="D2013" s="2" t="str">
        <f t="shared" si="30"/>
        <v>Error?</v>
      </c>
    </row>
    <row r="2014" spans="1:4" x14ac:dyDescent="0.2">
      <c r="A2014" s="5">
        <v>1953</v>
      </c>
      <c r="B2014" s="1832">
        <f>'Cap Outlay Deprec 26'!D5</f>
        <v>271200</v>
      </c>
      <c r="D2014" s="2" t="str">
        <f t="shared" si="30"/>
        <v>Error?</v>
      </c>
    </row>
    <row r="2015" spans="1:4" x14ac:dyDescent="0.2">
      <c r="A2015" s="5">
        <v>1954</v>
      </c>
      <c r="B2015" s="1832">
        <f>'Cap Outlay Deprec 26'!D8</f>
        <v>562734</v>
      </c>
      <c r="D2015" s="2" t="str">
        <f t="shared" si="30"/>
        <v>Error?</v>
      </c>
    </row>
    <row r="2016" spans="1:4" x14ac:dyDescent="0.2">
      <c r="A2016" s="5">
        <v>1955</v>
      </c>
      <c r="B2016" s="1832">
        <f>'Cap Outlay Deprec 26'!D10</f>
        <v>19205</v>
      </c>
      <c r="D2016" s="2" t="str">
        <f t="shared" si="30"/>
        <v>Error?</v>
      </c>
    </row>
    <row r="2017" spans="1:4" x14ac:dyDescent="0.2">
      <c r="A2017" s="5">
        <v>1956</v>
      </c>
      <c r="B2017" s="1832">
        <f>'Cap Outlay Deprec 26'!D12</f>
        <v>141488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994627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68515</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328104</v>
      </c>
      <c r="C2025" s="2" t="s">
        <v>569</v>
      </c>
      <c r="D2025" s="2" t="str">
        <f t="shared" si="30"/>
        <v>Error?</v>
      </c>
    </row>
    <row r="2026" spans="1:4" x14ac:dyDescent="0.2">
      <c r="A2026" s="5">
        <v>1965</v>
      </c>
      <c r="B2026" s="1832">
        <f>'Cap Outlay Deprec 26'!F5</f>
        <v>6457620</v>
      </c>
      <c r="C2026" s="2" t="s">
        <v>569</v>
      </c>
      <c r="D2026" s="2" t="str">
        <f t="shared" si="30"/>
        <v>Error?</v>
      </c>
    </row>
    <row r="2027" spans="1:4" x14ac:dyDescent="0.2">
      <c r="A2027" s="5">
        <v>1966</v>
      </c>
      <c r="B2027" s="1832">
        <f>'Cap Outlay Deprec 26'!F8</f>
        <v>80986179</v>
      </c>
      <c r="C2027" s="2" t="s">
        <v>569</v>
      </c>
      <c r="D2027" s="2" t="str">
        <f t="shared" si="30"/>
        <v>Error?</v>
      </c>
    </row>
    <row r="2028" spans="1:4" x14ac:dyDescent="0.2">
      <c r="A2028" s="5">
        <v>1967</v>
      </c>
      <c r="B2028" s="1832">
        <f>'Cap Outlay Deprec 26'!F10</f>
        <v>5882401</v>
      </c>
      <c r="C2028" s="2" t="s">
        <v>569</v>
      </c>
      <c r="D2028" s="2" t="str">
        <f t="shared" si="30"/>
        <v>Error?</v>
      </c>
    </row>
    <row r="2029" spans="1:4" x14ac:dyDescent="0.2">
      <c r="A2029" s="5">
        <v>1968</v>
      </c>
      <c r="B2029" s="1832">
        <f>'Cap Outlay Deprec 26'!F12</f>
        <v>4105189</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97431389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28793119</v>
      </c>
      <c r="D2033" s="2" t="str">
        <f t="shared" si="30"/>
        <v>Error?</v>
      </c>
    </row>
    <row r="2034" spans="1:4" x14ac:dyDescent="0.2">
      <c r="A2034" s="5">
        <v>1973</v>
      </c>
      <c r="B2034" s="1832">
        <f>'Cap Outlay Deprec 26'!H10</f>
        <v>4603934</v>
      </c>
      <c r="D2034" s="2" t="str">
        <f t="shared" si="30"/>
        <v>Error?</v>
      </c>
    </row>
    <row r="2035" spans="1:4" x14ac:dyDescent="0.2">
      <c r="A2035" s="5">
        <v>1974</v>
      </c>
      <c r="B2035" s="1832">
        <f>'Cap Outlay Deprec 26'!H12</f>
        <v>3490810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36887863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2120646</v>
      </c>
      <c r="D2039" s="2" t="str">
        <f t="shared" si="30"/>
        <v>Error?</v>
      </c>
    </row>
    <row r="2040" spans="1:4" x14ac:dyDescent="0.2">
      <c r="A2040" s="5">
        <v>1979</v>
      </c>
      <c r="B2040" s="1832">
        <f>'Cap Outlay Deprec 26'!I10</f>
        <v>200021</v>
      </c>
      <c r="D2040" s="2" t="str">
        <f t="shared" si="30"/>
        <v>Error?</v>
      </c>
    </row>
    <row r="2041" spans="1:4" x14ac:dyDescent="0.2">
      <c r="A2041" s="5">
        <v>1980</v>
      </c>
      <c r="B2041" s="1832">
        <f>'Cap Outlay Deprec 26'!I12</f>
        <v>165571</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2486238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64222</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64222</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30913765</v>
      </c>
      <c r="C2051" s="2" t="s">
        <v>569</v>
      </c>
      <c r="D2051" s="2" t="str">
        <f t="shared" si="31"/>
        <v>Error?</v>
      </c>
    </row>
    <row r="2052" spans="1:4" x14ac:dyDescent="0.2">
      <c r="A2052" s="5">
        <v>1991</v>
      </c>
      <c r="B2052" s="1832">
        <f>'Cap Outlay Deprec 26'!K10</f>
        <v>4803955</v>
      </c>
      <c r="C2052" s="2" t="s">
        <v>569</v>
      </c>
      <c r="D2052" s="2" t="str">
        <f t="shared" si="31"/>
        <v>Error?</v>
      </c>
    </row>
    <row r="2053" spans="1:4" x14ac:dyDescent="0.2">
      <c r="A2053" s="5">
        <v>1992</v>
      </c>
      <c r="B2053" s="1832">
        <f>'Cap Outlay Deprec 26'!K12</f>
        <v>3592159</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39309879</v>
      </c>
      <c r="C2055" s="2" t="s">
        <v>569</v>
      </c>
      <c r="D2055" s="2" t="str">
        <f t="shared" si="31"/>
        <v>Error?</v>
      </c>
    </row>
    <row r="2056" spans="1:4" x14ac:dyDescent="0.2">
      <c r="A2056" s="5">
        <v>1995</v>
      </c>
      <c r="B2056" s="1832">
        <f>'Cap Outlay Deprec 26'!L5</f>
        <v>6457620</v>
      </c>
      <c r="C2056" s="2" t="s">
        <v>569</v>
      </c>
      <c r="D2056" s="2" t="str">
        <f t="shared" si="31"/>
        <v>Error?</v>
      </c>
    </row>
    <row r="2057" spans="1:4" x14ac:dyDescent="0.2">
      <c r="A2057" s="5">
        <v>1996</v>
      </c>
      <c r="B2057" s="1832">
        <f>'Cap Outlay Deprec 26'!L8</f>
        <v>50072414</v>
      </c>
      <c r="C2057" s="2" t="s">
        <v>569</v>
      </c>
      <c r="D2057" s="2" t="str">
        <f t="shared" si="31"/>
        <v>Error?</v>
      </c>
    </row>
    <row r="2058" spans="1:4" x14ac:dyDescent="0.2">
      <c r="A2058" s="5">
        <v>1997</v>
      </c>
      <c r="B2058" s="1832">
        <f>'Cap Outlay Deprec 26'!L10</f>
        <v>1078446</v>
      </c>
      <c r="C2058" s="2" t="s">
        <v>569</v>
      </c>
      <c r="D2058" s="2" t="str">
        <f t="shared" si="31"/>
        <v>Error?</v>
      </c>
    </row>
    <row r="2059" spans="1:4" x14ac:dyDescent="0.2">
      <c r="A2059" s="5">
        <v>1998</v>
      </c>
      <c r="B2059" s="1832">
        <f>'Cap Outlay Deprec 26'!L12</f>
        <v>513030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58121510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40222</v>
      </c>
      <c r="C2088" s="2" t="s">
        <v>569</v>
      </c>
      <c r="D2088" s="2" t="str">
        <f t="shared" si="31"/>
        <v>Error?</v>
      </c>
    </row>
    <row r="2089" spans="1:4" x14ac:dyDescent="0.2">
      <c r="A2089" s="5">
        <v>2028</v>
      </c>
      <c r="B2089" s="1832">
        <f>'Expenditures 15-22'!K92</f>
        <v>453743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227028</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227028</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500000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1399567</v>
      </c>
      <c r="D2435" s="2" t="str">
        <f t="shared" si="37"/>
        <v>Error?</v>
      </c>
    </row>
    <row r="2436" spans="1:4" x14ac:dyDescent="0.2">
      <c r="A2436" s="10">
        <v>2375</v>
      </c>
      <c r="B2436" s="1832"/>
      <c r="D2436" s="2" t="str">
        <f t="shared" si="37"/>
        <v>OK</v>
      </c>
    </row>
    <row r="2437" spans="1:4" x14ac:dyDescent="0.2">
      <c r="A2437" s="5">
        <v>2376</v>
      </c>
      <c r="B2437" s="1832">
        <f>'Assets-Liab 5-6'!D38</f>
        <v>58000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411567</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36062</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597071</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19394924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1671170</v>
      </c>
      <c r="C2553" s="2" t="s">
        <v>569</v>
      </c>
      <c r="D2553" s="2" t="str">
        <f t="shared" si="38"/>
        <v>Error?</v>
      </c>
    </row>
    <row r="2554" spans="1:4" x14ac:dyDescent="0.2">
      <c r="A2554" s="5">
        <v>2493</v>
      </c>
      <c r="B2554" s="1832">
        <f>'Acct Summary 7-8'!C7</f>
        <v>903692</v>
      </c>
      <c r="C2554" s="2" t="s">
        <v>569</v>
      </c>
      <c r="D2554" s="2" t="str">
        <f t="shared" si="38"/>
        <v>Error?</v>
      </c>
    </row>
    <row r="2555" spans="1:4" x14ac:dyDescent="0.2">
      <c r="A2555" s="5">
        <v>2494</v>
      </c>
      <c r="B2555" s="1832">
        <f>'Acct Summary 7-8'!C8</f>
        <v>21992687</v>
      </c>
      <c r="C2555" s="2" t="s">
        <v>569</v>
      </c>
      <c r="D2555" s="2" t="str">
        <f t="shared" si="38"/>
        <v>Error?</v>
      </c>
    </row>
    <row r="2556" spans="1:4" x14ac:dyDescent="0.2">
      <c r="A2556" s="5">
        <v>2495</v>
      </c>
      <c r="B2556" s="1832">
        <f>'Acct Summary 7-8'!C12</f>
        <v>15868720</v>
      </c>
      <c r="C2556" s="2" t="s">
        <v>569</v>
      </c>
      <c r="D2556" s="2" t="str">
        <f t="shared" si="38"/>
        <v>Error?</v>
      </c>
    </row>
    <row r="2557" spans="1:4" x14ac:dyDescent="0.2">
      <c r="A2557" s="5">
        <v>2496</v>
      </c>
      <c r="B2557" s="1832">
        <f>'Acct Summary 7-8'!C13</f>
        <v>6009034</v>
      </c>
      <c r="C2557" s="2" t="s">
        <v>569</v>
      </c>
      <c r="D2557" s="2" t="str">
        <f t="shared" si="38"/>
        <v>Error?</v>
      </c>
    </row>
    <row r="2558" spans="1:4" x14ac:dyDescent="0.2">
      <c r="A2558" s="5">
        <v>2497</v>
      </c>
      <c r="B2558" s="1832">
        <f>'Acct Summary 7-8'!C14</f>
        <v>20</v>
      </c>
      <c r="C2558" s="2" t="s">
        <v>569</v>
      </c>
      <c r="D2558" s="2" t="str">
        <f t="shared" si="38"/>
        <v>Error?</v>
      </c>
    </row>
    <row r="2559" spans="1:4" x14ac:dyDescent="0.2">
      <c r="A2559" s="5">
        <v>2498</v>
      </c>
      <c r="B2559" s="1832">
        <f>'Acct Summary 7-8'!C15</f>
        <v>493965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22371739</v>
      </c>
      <c r="C2561" s="2" t="s">
        <v>569</v>
      </c>
      <c r="D2561" s="2" t="str">
        <f t="shared" si="39"/>
        <v>Error?</v>
      </c>
    </row>
    <row r="2562" spans="1:4" x14ac:dyDescent="0.2">
      <c r="A2562" s="5">
        <v>2501</v>
      </c>
      <c r="B2562" s="1832">
        <f>'Acct Summary 7-8'!C20</f>
        <v>-379052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3429251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3479251</v>
      </c>
      <c r="C2568" s="2" t="s">
        <v>569</v>
      </c>
      <c r="D2568" s="2" t="str">
        <f t="shared" si="39"/>
        <v>Error?</v>
      </c>
    </row>
    <row r="2569" spans="1:4" x14ac:dyDescent="0.2">
      <c r="A2569" s="5">
        <v>2508</v>
      </c>
      <c r="B2569" s="1832">
        <f>'Acct Summary 7-8'!D13</f>
        <v>3040152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227028</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3267180</v>
      </c>
      <c r="C2573" s="2" t="s">
        <v>569</v>
      </c>
      <c r="D2573" s="2" t="str">
        <f t="shared" si="39"/>
        <v>Error?</v>
      </c>
    </row>
    <row r="2574" spans="1:4" x14ac:dyDescent="0.2">
      <c r="A2574" s="5">
        <v>2513</v>
      </c>
      <c r="B2574" s="1832">
        <f>'Acct Summary 7-8'!D20</f>
        <v>212071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1441959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879680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2321639</v>
      </c>
      <c r="C2595" s="2" t="s">
        <v>569</v>
      </c>
      <c r="D2595" s="2" t="str">
        <f t="shared" si="39"/>
        <v>Error?</v>
      </c>
    </row>
    <row r="2596" spans="1:4" x14ac:dyDescent="0.2">
      <c r="A2596" s="5">
        <v>2535</v>
      </c>
      <c r="B2596" s="1832">
        <f>'Acct Summary 7-8'!F13</f>
        <v>2096948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2096948</v>
      </c>
      <c r="C2600" s="2" t="s">
        <v>569</v>
      </c>
      <c r="D2600" s="2" t="str">
        <f t="shared" si="39"/>
        <v>Error?</v>
      </c>
    </row>
    <row r="2601" spans="1:4" x14ac:dyDescent="0.2">
      <c r="A2601" s="5">
        <v>2540</v>
      </c>
      <c r="B2601" s="1832">
        <f>'Acct Summary 7-8'!F20</f>
        <v>224691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737042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737042</v>
      </c>
      <c r="C2606" s="2" t="s">
        <v>569</v>
      </c>
      <c r="D2606" s="2" t="str">
        <f t="shared" si="39"/>
        <v>Error?</v>
      </c>
    </row>
    <row r="2607" spans="1:4" x14ac:dyDescent="0.2">
      <c r="A2607" s="5">
        <v>2546</v>
      </c>
      <c r="B2607" s="1832">
        <f>'Acct Summary 7-8'!G12</f>
        <v>305060</v>
      </c>
      <c r="C2607" s="2" t="s">
        <v>569</v>
      </c>
      <c r="D2607" s="2" t="str">
        <f t="shared" si="39"/>
        <v>Error?</v>
      </c>
    </row>
    <row r="2608" spans="1:4" x14ac:dyDescent="0.2">
      <c r="A2608" s="5">
        <v>2547</v>
      </c>
      <c r="B2608" s="1832">
        <f>'Acct Summary 7-8'!G13</f>
        <v>385673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690733</v>
      </c>
      <c r="C2612" s="2" t="s">
        <v>569</v>
      </c>
      <c r="D2612" s="2" t="str">
        <f t="shared" si="39"/>
        <v>Error?</v>
      </c>
    </row>
    <row r="2613" spans="1:4" x14ac:dyDescent="0.2">
      <c r="A2613" s="5">
        <v>2552</v>
      </c>
      <c r="B2613" s="1832">
        <f>'Acct Summary 7-8'!G20</f>
        <v>46309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3445758</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3445758</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3498832</v>
      </c>
      <c r="C2634" s="2" t="s">
        <v>569</v>
      </c>
      <c r="D2634" s="2" t="str">
        <f t="shared" si="40"/>
        <v>Error?</v>
      </c>
    </row>
    <row r="2635" spans="1:4" x14ac:dyDescent="0.2">
      <c r="A2635" s="5">
        <v>2574</v>
      </c>
      <c r="B2635" s="1832">
        <f>'Acct Summary 7-8'!E17</f>
        <v>3498832</v>
      </c>
      <c r="C2635" s="2" t="s">
        <v>569</v>
      </c>
      <c r="D2635" s="2" t="str">
        <f t="shared" si="40"/>
        <v>Error?</v>
      </c>
    </row>
    <row r="2636" spans="1:4" x14ac:dyDescent="0.2">
      <c r="A2636" s="5">
        <v>2575</v>
      </c>
      <c r="B2636" s="1832">
        <f>'Acct Summary 7-8'!E20</f>
        <v>-53074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48236</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48236</v>
      </c>
      <c r="C2658" s="2" t="s">
        <v>569</v>
      </c>
      <c r="D2658" s="2" t="str">
        <f t="shared" si="40"/>
        <v>Error?</v>
      </c>
    </row>
    <row r="2659" spans="1:4" x14ac:dyDescent="0.2">
      <c r="A2659" s="5">
        <v>2598</v>
      </c>
      <c r="B2659" s="1832">
        <f>'Acct Summary 7-8'!H13</f>
        <v>587867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587867</v>
      </c>
      <c r="C2661" s="2" t="s">
        <v>569</v>
      </c>
      <c r="D2661" s="2" t="str">
        <f t="shared" si="40"/>
        <v>Error?</v>
      </c>
    </row>
    <row r="2662" spans="1:4" x14ac:dyDescent="0.2">
      <c r="A2662" s="5">
        <v>2601</v>
      </c>
      <c r="B2662" s="1832">
        <f>'Acct Summary 7-8'!H20</f>
        <v>-539631</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40222</v>
      </c>
      <c r="C2789" s="2" t="s">
        <v>569</v>
      </c>
      <c r="D2789" s="2" t="str">
        <f t="shared" si="42"/>
        <v>Error?</v>
      </c>
    </row>
    <row r="2790" spans="1:4" x14ac:dyDescent="0.2">
      <c r="A2790" s="5">
        <v>2729</v>
      </c>
      <c r="B2790" s="1832">
        <f>'Expenditures 15-22'!E102</f>
        <v>40222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819702</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842256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838320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842256</v>
      </c>
      <c r="D2912" s="2" t="str">
        <f t="shared" si="44"/>
        <v>Error?</v>
      </c>
    </row>
    <row r="2913" spans="1:4" x14ac:dyDescent="0.2">
      <c r="A2913" s="5">
        <v>2852</v>
      </c>
      <c r="B2913" s="1832">
        <f>'Assets-Liab 5-6'!I41</f>
        <v>842256</v>
      </c>
      <c r="C2913" s="2" t="s">
        <v>569</v>
      </c>
      <c r="D2913" s="2" t="str">
        <f t="shared" si="44"/>
        <v>Error?</v>
      </c>
    </row>
    <row r="2914" spans="1:4" x14ac:dyDescent="0.2">
      <c r="A2914" s="5">
        <v>2853</v>
      </c>
      <c r="B2914" s="1832">
        <f>'Assets-Liab 5-6'!L33</f>
        <v>838320</v>
      </c>
      <c r="D2914" s="2" t="str">
        <f t="shared" si="44"/>
        <v>Error?</v>
      </c>
    </row>
    <row r="2915" spans="1:4" x14ac:dyDescent="0.2">
      <c r="A2915" s="10">
        <v>2854</v>
      </c>
      <c r="B2915" s="1832"/>
      <c r="D2915" s="2" t="str">
        <f t="shared" si="44"/>
        <v>OK</v>
      </c>
    </row>
    <row r="2916" spans="1:4" x14ac:dyDescent="0.2">
      <c r="A2916" s="5">
        <v>2855</v>
      </c>
      <c r="B2916" s="1832">
        <f>'Assets-Liab 5-6'!L34</f>
        <v>838320</v>
      </c>
      <c r="C2916" s="2" t="s">
        <v>569</v>
      </c>
      <c r="D2916" s="2" t="str">
        <f t="shared" si="44"/>
        <v>Error?</v>
      </c>
    </row>
    <row r="2917" spans="1:4" x14ac:dyDescent="0.2">
      <c r="A2917" s="5">
        <v>2856</v>
      </c>
      <c r="B2917" s="1832">
        <f>'Assets-Liab 5-6'!L41</f>
        <v>838320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7094</v>
      </c>
      <c r="D2949" s="2" t="str">
        <f t="shared" si="45"/>
        <v>Error?</v>
      </c>
    </row>
    <row r="2950" spans="1:4" x14ac:dyDescent="0.2">
      <c r="A2950" s="5">
        <v>2889</v>
      </c>
      <c r="B2950" s="1832">
        <f>'Expenditures 15-22'!E79</f>
        <v>33128</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7094</v>
      </c>
      <c r="C2973" s="2" t="s">
        <v>569</v>
      </c>
      <c r="D2973" s="2" t="str">
        <f t="shared" si="45"/>
        <v>Error?</v>
      </c>
    </row>
    <row r="2974" spans="1:4" x14ac:dyDescent="0.2">
      <c r="A2974" s="5">
        <v>2913</v>
      </c>
      <c r="B2974" s="1832">
        <f>'Expenditures 15-22'!K79</f>
        <v>33128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227028</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227028</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82762</v>
      </c>
      <c r="D3055" s="2" t="str">
        <f t="shared" si="46"/>
        <v>Error?</v>
      </c>
    </row>
    <row r="3056" spans="1:4" x14ac:dyDescent="0.2">
      <c r="A3056" s="5">
        <v>2995</v>
      </c>
      <c r="B3056" s="1832">
        <f>'Expenditures 15-22'!D10</f>
        <v>5</v>
      </c>
      <c r="D3056" s="2" t="str">
        <f t="shared" si="46"/>
        <v>Error?</v>
      </c>
    </row>
    <row r="3057" spans="1:4" x14ac:dyDescent="0.2">
      <c r="A3057" s="5">
        <v>2996</v>
      </c>
      <c r="B3057" s="1832">
        <f>'Expenditures 15-22'!E10</f>
        <v>2598</v>
      </c>
      <c r="D3057" s="2" t="str">
        <f t="shared" si="46"/>
        <v>Error?</v>
      </c>
    </row>
    <row r="3058" spans="1:4" x14ac:dyDescent="0.2">
      <c r="A3058" s="5">
        <v>2997</v>
      </c>
      <c r="B3058" s="1832">
        <f>'Expenditures 15-22'!F10</f>
        <v>101661</v>
      </c>
      <c r="D3058" s="2" t="str">
        <f t="shared" si="46"/>
        <v>Error?</v>
      </c>
    </row>
    <row r="3059" spans="1:4" x14ac:dyDescent="0.2">
      <c r="A3059" s="5">
        <v>2998</v>
      </c>
      <c r="B3059" s="1832">
        <f>'Expenditures 15-22'!G10</f>
        <v>4668</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191694</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6565</v>
      </c>
      <c r="D3064" s="2" t="str">
        <f t="shared" si="46"/>
        <v>Error?</v>
      </c>
    </row>
    <row r="3065" spans="1:4" x14ac:dyDescent="0.2">
      <c r="A3065" s="5">
        <v>3004</v>
      </c>
      <c r="B3065" s="1832">
        <f>'Expenditures 15-22'!K219</f>
        <v>6565</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239286</v>
      </c>
      <c r="C3225" s="2" t="s">
        <v>569</v>
      </c>
      <c r="D3225" s="2" t="str">
        <f t="shared" si="49"/>
        <v>Error?</v>
      </c>
    </row>
    <row r="3226" spans="1:4" x14ac:dyDescent="0.2">
      <c r="A3226" s="5">
        <v>3165</v>
      </c>
      <c r="B3226" s="1832">
        <f>'Acct Summary 7-8'!I8</f>
        <v>239286</v>
      </c>
      <c r="C3226" s="2" t="s">
        <v>569</v>
      </c>
      <c r="D3226" s="2" t="str">
        <f t="shared" si="49"/>
        <v>Error?</v>
      </c>
    </row>
    <row r="3227" spans="1:4" x14ac:dyDescent="0.2">
      <c r="A3227" s="5">
        <v>3166</v>
      </c>
      <c r="B3227" s="1832">
        <f>'Acct Summary 7-8'!I20</f>
        <v>239286</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-379052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212071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224691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46309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-53074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500000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500000</v>
      </c>
      <c r="C3299" s="2" t="s">
        <v>569</v>
      </c>
      <c r="D3299" s="2" t="str">
        <f t="shared" si="50"/>
        <v>Error?</v>
      </c>
    </row>
    <row r="3300" spans="1:4" x14ac:dyDescent="0.2">
      <c r="A3300" s="5">
        <v>3239</v>
      </c>
      <c r="B3300" s="1832">
        <f>'Acct Summary 7-8'!H78</f>
        <v>-39631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500000</v>
      </c>
      <c r="C3318" s="2" t="s">
        <v>569</v>
      </c>
      <c r="D3318" s="2" t="str">
        <f t="shared" si="50"/>
        <v>Error?</v>
      </c>
    </row>
    <row r="3319" spans="1:4" x14ac:dyDescent="0.2">
      <c r="A3319" s="5">
        <v>3258</v>
      </c>
      <c r="B3319" s="1832">
        <f>'Acct Summary 7-8'!I77</f>
        <v>-500000</v>
      </c>
      <c r="C3319" s="2" t="s">
        <v>569</v>
      </c>
      <c r="D3319" s="2" t="str">
        <f t="shared" si="50"/>
        <v>Error?</v>
      </c>
    </row>
    <row r="3320" spans="1:4" x14ac:dyDescent="0.2">
      <c r="A3320" s="5">
        <v>3259</v>
      </c>
      <c r="B3320" s="1832">
        <f>'Acct Summary 7-8'!I78</f>
        <v>-260714</v>
      </c>
      <c r="C3320" s="2" t="s">
        <v>569</v>
      </c>
      <c r="D3320" s="2" t="str">
        <f t="shared" si="50"/>
        <v>Error?</v>
      </c>
    </row>
    <row r="3321" spans="1:4" x14ac:dyDescent="0.2">
      <c r="A3321" s="5">
        <v>3260</v>
      </c>
      <c r="B3321" s="1832">
        <f>'Acct Summary 7-8'!I79</f>
        <v>1102970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842256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2133790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451507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65218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54738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5889</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383431</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3094573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127902</v>
      </c>
      <c r="D3387" s="2" t="str">
        <f t="shared" si="51"/>
        <v>Error?</v>
      </c>
    </row>
    <row r="3388" spans="1:4" x14ac:dyDescent="0.2">
      <c r="A3388" s="5">
        <v>3327</v>
      </c>
      <c r="B3388" s="1832">
        <f>'Expenditures 15-22'!D217</f>
        <v>120651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127902</v>
      </c>
      <c r="C3390" s="2" t="s">
        <v>569</v>
      </c>
      <c r="D3390" s="2" t="str">
        <f t="shared" si="51"/>
        <v>Error?</v>
      </c>
    </row>
    <row r="3391" spans="1:4" x14ac:dyDescent="0.2">
      <c r="A3391" s="5">
        <v>3330</v>
      </c>
      <c r="B3391" s="1832">
        <f>'Expenditures 15-22'!K217</f>
        <v>120651</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22901</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1017446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152284</v>
      </c>
      <c r="D3417" s="2" t="str">
        <f t="shared" si="52"/>
        <v>Error?</v>
      </c>
    </row>
    <row r="3418" spans="1:4" x14ac:dyDescent="0.2">
      <c r="A3418" s="10">
        <v>3357</v>
      </c>
      <c r="B3418" s="1832"/>
      <c r="D3418" s="2" t="str">
        <f t="shared" si="52"/>
        <v>OK</v>
      </c>
    </row>
    <row r="3419" spans="1:4" x14ac:dyDescent="0.2">
      <c r="A3419" s="5">
        <v>3358</v>
      </c>
      <c r="B3419" s="1832">
        <f>'Assets-Liab 5-6'!F4</f>
        <v>109709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597071</v>
      </c>
      <c r="D3425" s="2" t="str">
        <f t="shared" si="52"/>
        <v>Error?</v>
      </c>
    </row>
    <row r="3426" spans="1:4" x14ac:dyDescent="0.2">
      <c r="A3426" s="10">
        <v>3365</v>
      </c>
      <c r="B3426" s="1832"/>
      <c r="D3426" s="2" t="str">
        <f t="shared" si="52"/>
        <v>OK</v>
      </c>
    </row>
    <row r="3427" spans="1:4" x14ac:dyDescent="0.2">
      <c r="A3427" s="5">
        <v>3366</v>
      </c>
      <c r="B3427" s="1832">
        <f>'Assets-Liab 5-6'!I4</f>
        <v>22554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838320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358820</v>
      </c>
      <c r="C3446" s="2" t="s">
        <v>569</v>
      </c>
      <c r="D3446" s="2" t="str">
        <f t="shared" si="52"/>
        <v>Error?</v>
      </c>
    </row>
    <row r="3447" spans="1:4" x14ac:dyDescent="0.2">
      <c r="A3447" s="5">
        <v>3386</v>
      </c>
      <c r="B3447" s="1832">
        <f>'Tax Sched 23'!D16</f>
        <v>358820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445261</v>
      </c>
      <c r="C3449" s="2" t="s">
        <v>569</v>
      </c>
      <c r="D3449" s="2" t="str">
        <f t="shared" si="52"/>
        <v>Error?</v>
      </c>
    </row>
    <row r="3450" spans="1:4" x14ac:dyDescent="0.2">
      <c r="A3450" s="5">
        <v>3389</v>
      </c>
      <c r="B3450" s="1832">
        <f>'Tax Sched 23'!E16</f>
        <v>445261</v>
      </c>
      <c r="D3450" s="2" t="str">
        <f t="shared" si="52"/>
        <v>Error?</v>
      </c>
    </row>
    <row r="3451" spans="1:4" x14ac:dyDescent="0.2">
      <c r="A3451" s="5">
        <v>3390</v>
      </c>
      <c r="B3451" s="1832">
        <f>'Cap Outlay Deprec 26'!C15</f>
        <v>259589</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259589</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26421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371803</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398224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398224</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398224</v>
      </c>
      <c r="C3568" s="2" t="s">
        <v>569</v>
      </c>
      <c r="D3568" s="2" t="str">
        <f t="shared" si="54"/>
        <v>Error?</v>
      </c>
    </row>
    <row r="3569" spans="1:4" x14ac:dyDescent="0.2">
      <c r="A3569" s="5">
        <v>3508</v>
      </c>
      <c r="B3569" s="1832">
        <f>'Acct Summary 7-8'!K4</f>
        <v>39870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39870</v>
      </c>
      <c r="C3571" s="2" t="s">
        <v>569</v>
      </c>
      <c r="D3571" s="2" t="str">
        <f t="shared" si="54"/>
        <v>Error?</v>
      </c>
    </row>
    <row r="3572" spans="1:4" x14ac:dyDescent="0.2">
      <c r="A3572" s="5">
        <v>3511</v>
      </c>
      <c r="B3572" s="1832">
        <f>'Acct Summary 7-8'!K13</f>
        <v>600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600</v>
      </c>
      <c r="C3575" s="2" t="s">
        <v>569</v>
      </c>
      <c r="D3575" s="2" t="str">
        <f t="shared" si="54"/>
        <v>Error?</v>
      </c>
    </row>
    <row r="3576" spans="1:4" x14ac:dyDescent="0.2">
      <c r="A3576" s="5">
        <v>3515</v>
      </c>
      <c r="B3576" s="1832">
        <f>'Acct Summary 7-8'!K20</f>
        <v>39270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39270</v>
      </c>
      <c r="C3588" s="2" t="s">
        <v>569</v>
      </c>
      <c r="D3588" s="2" t="str">
        <f t="shared" si="55"/>
        <v>Error?</v>
      </c>
    </row>
    <row r="3589" spans="1:4" x14ac:dyDescent="0.2">
      <c r="A3589" s="5">
        <v>3528</v>
      </c>
      <c r="B3589" s="1832">
        <f>'Acct Summary 7-8'!K79</f>
        <v>358954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398224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600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600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600</v>
      </c>
      <c r="C3635" s="2" t="s">
        <v>569</v>
      </c>
      <c r="D3635" s="2" t="str">
        <f t="shared" si="55"/>
        <v>Error?</v>
      </c>
    </row>
    <row r="3636" spans="1:4" x14ac:dyDescent="0.2">
      <c r="A3636" s="5">
        <v>3575</v>
      </c>
      <c r="B3636" s="1832">
        <f>'Expenditures 15-22'!E367</f>
        <v>600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600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600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600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600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39270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394242</v>
      </c>
      <c r="C3725" s="2" t="s">
        <v>569</v>
      </c>
      <c r="D3725" s="2" t="str">
        <f t="shared" si="57"/>
        <v>Error?</v>
      </c>
    </row>
    <row r="3726" spans="1:4" x14ac:dyDescent="0.2">
      <c r="A3726" s="5">
        <v>3665</v>
      </c>
      <c r="B3726" s="1832">
        <f>'Tax Sched 23'!D13</f>
        <v>394242</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263757</v>
      </c>
      <c r="C3728" s="2" t="s">
        <v>569</v>
      </c>
      <c r="D3728" s="2" t="str">
        <f t="shared" si="57"/>
        <v>Error?</v>
      </c>
    </row>
    <row r="3729" spans="1:4" x14ac:dyDescent="0.2">
      <c r="A3729" s="5">
        <v>3668</v>
      </c>
      <c r="B3729" s="1832">
        <f>'Tax Sched 23'!E13</f>
        <v>263757</v>
      </c>
      <c r="D3729" s="2" t="str">
        <f t="shared" si="57"/>
        <v>Error?</v>
      </c>
    </row>
    <row r="3730" spans="1:4" x14ac:dyDescent="0.2">
      <c r="A3730" s="5">
        <v>3669</v>
      </c>
      <c r="B3730" s="1832">
        <f>'ICR Computation 30'!E10</f>
        <v>227150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1702504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23695191</v>
      </c>
      <c r="C4122" s="2" t="s">
        <v>569</v>
      </c>
      <c r="D4122" s="2" t="str">
        <f t="shared" si="63"/>
        <v>Error?</v>
      </c>
    </row>
    <row r="4123" spans="1:4" x14ac:dyDescent="0.2">
      <c r="A4123" s="5">
        <v>4062</v>
      </c>
      <c r="B4123" s="1832">
        <f>'Acct Summary 7-8'!D10</f>
        <v>3479251</v>
      </c>
      <c r="C4123" s="2" t="s">
        <v>569</v>
      </c>
      <c r="D4123" s="2" t="str">
        <f t="shared" si="63"/>
        <v>Error?</v>
      </c>
    </row>
    <row r="4124" spans="1:4" x14ac:dyDescent="0.2">
      <c r="A4124" s="5">
        <v>4063</v>
      </c>
      <c r="B4124" s="1832">
        <f>'Acct Summary 7-8'!E10</f>
        <v>3445758</v>
      </c>
      <c r="C4124" s="2" t="s">
        <v>569</v>
      </c>
      <c r="D4124" s="2" t="str">
        <f t="shared" si="63"/>
        <v>Error?</v>
      </c>
    </row>
    <row r="4125" spans="1:4" x14ac:dyDescent="0.2">
      <c r="A4125" s="5">
        <v>4064</v>
      </c>
      <c r="B4125" s="1832">
        <f>'Acct Summary 7-8'!F10</f>
        <v>2321639</v>
      </c>
      <c r="C4125" s="2" t="s">
        <v>569</v>
      </c>
      <c r="D4125" s="2" t="str">
        <f t="shared" si="63"/>
        <v>Error?</v>
      </c>
    </row>
    <row r="4126" spans="1:4" x14ac:dyDescent="0.2">
      <c r="A4126" s="5">
        <v>4065</v>
      </c>
      <c r="B4126" s="1832">
        <f>'Acct Summary 7-8'!G10</f>
        <v>737042</v>
      </c>
      <c r="C4126" s="2" t="s">
        <v>569</v>
      </c>
      <c r="D4126" s="2" t="str">
        <f t="shared" si="63"/>
        <v>Error?</v>
      </c>
    </row>
    <row r="4127" spans="1:4" x14ac:dyDescent="0.2">
      <c r="A4127" s="5">
        <v>4066</v>
      </c>
      <c r="B4127" s="1832">
        <f>'Acct Summary 7-8'!H10</f>
        <v>48236</v>
      </c>
      <c r="C4127" s="2" t="s">
        <v>569</v>
      </c>
      <c r="D4127" s="2" t="str">
        <f t="shared" si="63"/>
        <v>Error?</v>
      </c>
    </row>
    <row r="4128" spans="1:4" x14ac:dyDescent="0.2">
      <c r="A4128" s="5">
        <v>4067</v>
      </c>
      <c r="B4128" s="1832">
        <f>'Acct Summary 7-8'!I10</f>
        <v>239286</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39870</v>
      </c>
      <c r="C4130" s="2" t="s">
        <v>569</v>
      </c>
      <c r="D4130" s="2" t="str">
        <f t="shared" si="63"/>
        <v>Error?</v>
      </c>
    </row>
    <row r="4131" spans="1:4" x14ac:dyDescent="0.2">
      <c r="A4131" s="5">
        <v>4070</v>
      </c>
      <c r="B4131" s="1832">
        <f>'Acct Summary 7-8'!C18</f>
        <v>1702504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24074243</v>
      </c>
      <c r="C4136" s="2" t="s">
        <v>569</v>
      </c>
      <c r="D4136" s="2" t="str">
        <f t="shared" si="63"/>
        <v>Error?</v>
      </c>
    </row>
    <row r="4137" spans="1:4" x14ac:dyDescent="0.2">
      <c r="A4137" s="5">
        <v>4076</v>
      </c>
      <c r="B4137" s="1832">
        <f>'Acct Summary 7-8'!D19</f>
        <v>3267180</v>
      </c>
      <c r="C4137" s="2" t="s">
        <v>569</v>
      </c>
      <c r="D4137" s="2" t="str">
        <f t="shared" si="63"/>
        <v>Error?</v>
      </c>
    </row>
    <row r="4138" spans="1:4" x14ac:dyDescent="0.2">
      <c r="A4138" s="5">
        <v>4077</v>
      </c>
      <c r="B4138" s="1832">
        <f>'Acct Summary 7-8'!E19</f>
        <v>3498832</v>
      </c>
      <c r="C4138" s="2" t="s">
        <v>569</v>
      </c>
      <c r="D4138" s="2" t="str">
        <f t="shared" si="63"/>
        <v>Error?</v>
      </c>
    </row>
    <row r="4139" spans="1:4" x14ac:dyDescent="0.2">
      <c r="A4139" s="5">
        <v>4078</v>
      </c>
      <c r="B4139" s="1832">
        <f>'Acct Summary 7-8'!F19</f>
        <v>2096948</v>
      </c>
      <c r="C4139" s="2" t="s">
        <v>569</v>
      </c>
      <c r="D4139" s="2" t="str">
        <f t="shared" si="63"/>
        <v>Error?</v>
      </c>
    </row>
    <row r="4140" spans="1:4" x14ac:dyDescent="0.2">
      <c r="A4140" s="5">
        <v>4079</v>
      </c>
      <c r="B4140" s="1832">
        <f>'Acct Summary 7-8'!G19</f>
        <v>690733</v>
      </c>
      <c r="C4140" s="2" t="s">
        <v>569</v>
      </c>
      <c r="D4140" s="2" t="str">
        <f t="shared" si="63"/>
        <v>Error?</v>
      </c>
    </row>
    <row r="4141" spans="1:4" x14ac:dyDescent="0.2">
      <c r="A4141" s="5">
        <v>4080</v>
      </c>
      <c r="B4141" s="1832">
        <f>'Acct Summary 7-8'!H19</f>
        <v>587867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600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30150000</v>
      </c>
      <c r="C4171" s="2" t="s">
        <v>569</v>
      </c>
      <c r="D4171" s="2" t="str">
        <f t="shared" si="64"/>
        <v>Error?</v>
      </c>
    </row>
    <row r="4172" spans="1:4" x14ac:dyDescent="0.2">
      <c r="A4172" s="5">
        <v>4111</v>
      </c>
      <c r="B4172" s="1832">
        <f>'Short-Term Long-Term Debt 24'!J49</f>
        <v>30113938</v>
      </c>
      <c r="C4172" s="2" t="s">
        <v>569</v>
      </c>
      <c r="D4172" s="2" t="str">
        <f t="shared" si="64"/>
        <v>Error?</v>
      </c>
    </row>
    <row r="4173" spans="1:4" x14ac:dyDescent="0.2">
      <c r="A4173" s="5">
        <v>4112</v>
      </c>
      <c r="B4173" s="1832">
        <f>'Short-Term Long-Term Debt 24'!H49</f>
        <v>2155000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1977.5</v>
      </c>
      <c r="C4265" s="2" t="s">
        <v>569</v>
      </c>
      <c r="D4265" s="2" t="str">
        <f t="shared" si="65"/>
        <v>Error?</v>
      </c>
      <c r="E4265" s="125"/>
    </row>
    <row r="4266" spans="1:5" x14ac:dyDescent="0.2">
      <c r="A4266" s="12">
        <v>4205</v>
      </c>
      <c r="B4266" s="1832">
        <f>('FP Info 3'!F10)*100000</f>
        <v>460</v>
      </c>
      <c r="C4266" s="2" t="s">
        <v>569</v>
      </c>
      <c r="D4266" s="2" t="str">
        <f t="shared" si="65"/>
        <v>Error?</v>
      </c>
      <c r="E4266" s="125"/>
    </row>
    <row r="4267" spans="1:5" x14ac:dyDescent="0.2">
      <c r="A4267" s="12">
        <v>4206</v>
      </c>
      <c r="B4267" s="1832">
        <f>('FP Info 3'!H10)*100000</f>
        <v>170</v>
      </c>
      <c r="C4267" s="2" t="s">
        <v>569</v>
      </c>
      <c r="D4267" s="2" t="str">
        <f t="shared" si="65"/>
        <v>Error?</v>
      </c>
      <c r="E4267" s="125"/>
    </row>
    <row r="4268" spans="1:5" x14ac:dyDescent="0.2">
      <c r="A4268" s="12">
        <v>4207</v>
      </c>
      <c r="B4268" s="1832">
        <f>('FP Info 3'!J10)*100000</f>
        <v>2608</v>
      </c>
      <c r="C4268" s="2" t="s">
        <v>569</v>
      </c>
      <c r="D4268" s="2" t="str">
        <f t="shared" si="65"/>
        <v>Error?</v>
      </c>
    </row>
    <row r="4269" spans="1:5" x14ac:dyDescent="0.2">
      <c r="A4269" s="12">
        <v>4208</v>
      </c>
      <c r="B4269" s="1832">
        <f>'FP Info 3'!J16</f>
        <v>16992284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35293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107199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12.999999999999998</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809561545</v>
      </c>
      <c r="D4995" s="2" t="str">
        <f t="shared" si="77"/>
        <v>Error?</v>
      </c>
    </row>
    <row r="4996" spans="1:4" x14ac:dyDescent="0.2">
      <c r="A4996" s="12">
        <v>4935</v>
      </c>
      <c r="B4996" s="1832">
        <f>'FP Info 3'!H31</f>
        <v>111719493.21000001</v>
      </c>
      <c r="D4996" s="2" t="str">
        <f t="shared" si="77"/>
        <v>Error?</v>
      </c>
    </row>
    <row r="4997" spans="1:4" x14ac:dyDescent="0.2">
      <c r="A4997" s="12">
        <v>4936</v>
      </c>
      <c r="B4997" s="1832">
        <f>'FP Info 3'!H37</f>
        <v>30150000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394242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15532231</v>
      </c>
      <c r="D5061" s="2" t="str">
        <f t="shared" si="78"/>
        <v>Error?</v>
      </c>
    </row>
    <row r="5062" spans="1:4" x14ac:dyDescent="0.2">
      <c r="A5062" s="10">
        <v>5001</v>
      </c>
      <c r="B5062" s="1832"/>
      <c r="D5062" s="2" t="str">
        <f t="shared" si="78"/>
        <v>OK</v>
      </c>
    </row>
    <row r="5063" spans="1:4" x14ac:dyDescent="0.2">
      <c r="A5063" s="5">
        <v>5002</v>
      </c>
      <c r="B5063" s="1832">
        <f>'Revenues 9-14'!C7</f>
        <v>315238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16241711</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1507615</v>
      </c>
      <c r="D5069" s="2" t="str">
        <f t="shared" si="78"/>
        <v>Error?</v>
      </c>
    </row>
    <row r="5070" spans="1:4" x14ac:dyDescent="0.2">
      <c r="A5070" s="5">
        <v>5009</v>
      </c>
      <c r="B5070" s="1832">
        <f>'Revenues 9-14'!C17</f>
        <v>404730</v>
      </c>
      <c r="D5070" s="2" t="str">
        <f t="shared" si="78"/>
        <v>Error?</v>
      </c>
    </row>
    <row r="5071" spans="1:4" x14ac:dyDescent="0.2">
      <c r="A5071" s="5">
        <v>5010</v>
      </c>
      <c r="B5071" s="1832">
        <f>'Revenues 9-14'!C18</f>
        <v>1912345</v>
      </c>
      <c r="C5071" s="2" t="s">
        <v>569</v>
      </c>
      <c r="D5071" s="2" t="str">
        <f t="shared" si="78"/>
        <v>Error?</v>
      </c>
    </row>
    <row r="5072" spans="1:4" x14ac:dyDescent="0.2">
      <c r="A5072" s="5">
        <v>5011</v>
      </c>
      <c r="B5072" s="1832">
        <f>'Revenues 9-14'!C20</f>
        <v>16699</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1680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23994</v>
      </c>
      <c r="C5087" s="2" t="s">
        <v>569</v>
      </c>
      <c r="D5087" s="2" t="str">
        <f t="shared" si="78"/>
        <v>Error?</v>
      </c>
    </row>
    <row r="5088" spans="1:4" x14ac:dyDescent="0.2">
      <c r="A5088" s="5">
        <v>5027</v>
      </c>
      <c r="B5088" s="1832">
        <f>'Revenues 9-14'!C65</f>
        <v>529556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529556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6811</v>
      </c>
      <c r="D5094" s="2" t="str">
        <f t="shared" si="78"/>
        <v>Error?</v>
      </c>
    </row>
    <row r="5095" spans="1:4" x14ac:dyDescent="0.2">
      <c r="A5095" s="5">
        <v>5034</v>
      </c>
      <c r="B5095" s="1832">
        <f>'Revenues 9-14'!C74</f>
        <v>4772</v>
      </c>
      <c r="D5095" s="2" t="str">
        <f t="shared" si="78"/>
        <v>Error?</v>
      </c>
    </row>
    <row r="5096" spans="1:4" x14ac:dyDescent="0.2">
      <c r="A5096" s="5">
        <v>5035</v>
      </c>
      <c r="B5096" s="1832">
        <f>'Revenues 9-14'!C75</f>
        <v>408381</v>
      </c>
      <c r="C5096" s="2" t="s">
        <v>569</v>
      </c>
      <c r="D5096" s="2" t="str">
        <f t="shared" si="78"/>
        <v>Error?</v>
      </c>
    </row>
    <row r="5097" spans="1:4" x14ac:dyDescent="0.2">
      <c r="A5097" s="5">
        <v>5036</v>
      </c>
      <c r="B5097" s="1832">
        <f>'Revenues 9-14'!C77</f>
        <v>32600</v>
      </c>
      <c r="D5097" s="2" t="str">
        <f t="shared" si="78"/>
        <v>Error?</v>
      </c>
    </row>
    <row r="5098" spans="1:4" x14ac:dyDescent="0.2">
      <c r="A5098" s="5">
        <v>5037</v>
      </c>
      <c r="B5098" s="1832">
        <f>'Revenues 9-14'!C78</f>
        <v>33128</v>
      </c>
      <c r="D5098" s="2" t="str">
        <f t="shared" si="78"/>
        <v>Error?</v>
      </c>
    </row>
    <row r="5099" spans="1:4" x14ac:dyDescent="0.2">
      <c r="A5099" s="5">
        <v>5038</v>
      </c>
      <c r="B5099" s="1832">
        <f>'Revenues 9-14'!C79</f>
        <v>6180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390</v>
      </c>
      <c r="D5101" s="2" t="str">
        <f t="shared" si="78"/>
        <v>Error?</v>
      </c>
    </row>
    <row r="5102" spans="1:4" x14ac:dyDescent="0.2">
      <c r="A5102" s="5">
        <v>5041</v>
      </c>
      <c r="B5102" s="1832">
        <f>'Revenues 9-14'!C82</f>
        <v>72298</v>
      </c>
      <c r="C5102" s="2" t="s">
        <v>569</v>
      </c>
      <c r="D5102" s="2" t="str">
        <f t="shared" si="78"/>
        <v>Error?</v>
      </c>
    </row>
    <row r="5103" spans="1:4" x14ac:dyDescent="0.2">
      <c r="A5103" s="5">
        <v>5042</v>
      </c>
      <c r="B5103" s="1832">
        <f>'Revenues 9-14'!C84</f>
        <v>45810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30215</v>
      </c>
      <c r="D5111" s="2" t="str">
        <f t="shared" si="78"/>
        <v>Error?</v>
      </c>
    </row>
    <row r="5112" spans="1:4" x14ac:dyDescent="0.2">
      <c r="A5112" s="5">
        <v>5051</v>
      </c>
      <c r="B5112" s="1832">
        <f>'Revenues 9-14'!C93</f>
        <v>76025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6522</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28452</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83437</v>
      </c>
      <c r="D5119" s="2" t="str">
        <f t="shared" ref="D5119:D5182" si="79">IF(ISBLANK(B5119),"OK",IF(A5119-B5119=0,"OK","Error?"))</f>
        <v>Error?</v>
      </c>
    </row>
    <row r="5120" spans="1:4" x14ac:dyDescent="0.2">
      <c r="A5120" s="5">
        <v>5059</v>
      </c>
      <c r="B5120" s="1832">
        <f>'Revenues 9-14'!C108</f>
        <v>130614</v>
      </c>
      <c r="C5120" s="2" t="s">
        <v>569</v>
      </c>
      <c r="D5120" s="2" t="str">
        <f t="shared" si="79"/>
        <v>Error?</v>
      </c>
    </row>
    <row r="5121" spans="1:4" x14ac:dyDescent="0.2">
      <c r="A5121" s="5">
        <v>5060</v>
      </c>
      <c r="B5121" s="1832">
        <f>'Revenues 9-14'!C109</f>
        <v>19394924</v>
      </c>
      <c r="C5121" s="2" t="s">
        <v>569</v>
      </c>
      <c r="D5121" s="2" t="str">
        <f t="shared" si="79"/>
        <v>Error?</v>
      </c>
    </row>
    <row r="5122" spans="1:4" x14ac:dyDescent="0.2">
      <c r="A5122" s="5">
        <v>5061</v>
      </c>
      <c r="B5122" s="1832">
        <f>'Revenues 9-14'!C111</f>
        <v>22901</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22901</v>
      </c>
      <c r="C5125" s="2" t="s">
        <v>569</v>
      </c>
      <c r="D5125" s="2" t="str">
        <f t="shared" si="79"/>
        <v>Error?</v>
      </c>
    </row>
    <row r="5126" spans="1:4" x14ac:dyDescent="0.2">
      <c r="A5126" s="5">
        <v>5065</v>
      </c>
      <c r="B5126" s="1832">
        <f>'Revenues 9-14'!C117</f>
        <v>1347219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1347219</v>
      </c>
      <c r="C5132" s="2" t="s">
        <v>569</v>
      </c>
      <c r="D5132" s="2" t="str">
        <f t="shared" si="79"/>
        <v>Error?</v>
      </c>
    </row>
    <row r="5133" spans="1:4" x14ac:dyDescent="0.2">
      <c r="A5133" s="5">
        <v>5072</v>
      </c>
      <c r="B5133" s="1832">
        <f>'Revenues 9-14'!C125</f>
        <v>110130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12286</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122416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3120</v>
      </c>
      <c r="D5167" s="2" t="str">
        <f t="shared" si="79"/>
        <v>Error?</v>
      </c>
    </row>
    <row r="5168" spans="1:4" x14ac:dyDescent="0.2">
      <c r="A5168" s="5">
        <v>5107</v>
      </c>
      <c r="B5168" s="1832">
        <f>'Revenues 9-14'!C148</f>
        <v>22444</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175971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323951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1671170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201411</v>
      </c>
      <c r="D5239" s="2" t="str">
        <f t="shared" si="80"/>
        <v>Error?</v>
      </c>
    </row>
    <row r="5240" spans="1:4" x14ac:dyDescent="0.2">
      <c r="A5240" s="5">
        <v>5179</v>
      </c>
      <c r="B5240" s="1832">
        <f>'Revenues 9-14'!C192</f>
        <v>2386</v>
      </c>
      <c r="D5240" s="2" t="str">
        <f t="shared" si="80"/>
        <v>Error?</v>
      </c>
    </row>
    <row r="5241" spans="1:4" x14ac:dyDescent="0.2">
      <c r="A5241" s="5">
        <v>5180</v>
      </c>
      <c r="B5241" s="1832">
        <f>'Revenues 9-14'!C193</f>
        <v>23353</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227150</v>
      </c>
      <c r="C5246" s="2" t="s">
        <v>569</v>
      </c>
      <c r="D5246" s="2" t="str">
        <f t="shared" si="80"/>
        <v>Error?</v>
      </c>
    </row>
    <row r="5247" spans="1:4" x14ac:dyDescent="0.2">
      <c r="A5247" s="5">
        <v>5186</v>
      </c>
      <c r="B5247" s="1832">
        <f>'Revenues 9-14'!C200</f>
        <v>183694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183694</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8317</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342036</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350353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3</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903692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903692</v>
      </c>
      <c r="C5326" s="2" t="s">
        <v>569</v>
      </c>
      <c r="D5326" s="2" t="str">
        <f t="shared" si="82"/>
        <v>Error?</v>
      </c>
    </row>
    <row r="5327" spans="1:5" x14ac:dyDescent="0.2">
      <c r="A5327" s="5">
        <v>5266</v>
      </c>
      <c r="B5327" s="1832">
        <f>'Revenues 9-14'!C268</f>
        <v>21992687</v>
      </c>
      <c r="C5327" s="2" t="s">
        <v>569</v>
      </c>
      <c r="D5327" s="2" t="str">
        <f t="shared" si="82"/>
        <v>Error?</v>
      </c>
    </row>
    <row r="5328" spans="1:5" x14ac:dyDescent="0.2">
      <c r="A5328" s="5">
        <v>5267</v>
      </c>
      <c r="B5328" s="1832">
        <f>'Revenues 9-14'!D5</f>
        <v>3349235</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3349235</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20495</v>
      </c>
      <c r="D5349" s="2" t="str">
        <f t="shared" si="82"/>
        <v>Error?</v>
      </c>
    </row>
    <row r="5350" spans="1:4" x14ac:dyDescent="0.2">
      <c r="A5350" s="5">
        <v>5289</v>
      </c>
      <c r="B5350" s="1832">
        <f>'Revenues 9-14'!D96</f>
        <v>59521</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80016</v>
      </c>
      <c r="C5355" s="2" t="s">
        <v>569</v>
      </c>
      <c r="D5355" s="2" t="str">
        <f t="shared" si="82"/>
        <v>Error?</v>
      </c>
    </row>
    <row r="5356" spans="1:4" x14ac:dyDescent="0.2">
      <c r="A5356" s="5">
        <v>5295</v>
      </c>
      <c r="B5356" s="1832">
        <f>'Revenues 9-14'!D109</f>
        <v>3429251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3479251</v>
      </c>
      <c r="C5508" s="2" t="s">
        <v>569</v>
      </c>
      <c r="D5508" s="2" t="str">
        <f t="shared" si="85"/>
        <v>Error?</v>
      </c>
    </row>
    <row r="5509" spans="1:4" x14ac:dyDescent="0.2">
      <c r="A5509" s="5">
        <v>5448</v>
      </c>
      <c r="B5509" s="1832">
        <f>'Revenues 9-14'!E5</f>
        <v>3445758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3445758</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3445758</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3445758</v>
      </c>
      <c r="C5552" s="2" t="s">
        <v>569</v>
      </c>
      <c r="D5552" s="2" t="str">
        <f t="shared" si="85"/>
        <v>Error?</v>
      </c>
    </row>
    <row r="5553" spans="1:4" x14ac:dyDescent="0.2">
      <c r="A5553" s="5">
        <v>5492</v>
      </c>
      <c r="B5553" s="1832">
        <f>'Revenues 9-14'!F5</f>
        <v>1435352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1435352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6607</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6607</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1441959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409414</v>
      </c>
      <c r="D5615" s="2" t="str">
        <f t="shared" si="86"/>
        <v>Error?</v>
      </c>
    </row>
    <row r="5616" spans="1:4" x14ac:dyDescent="0.2">
      <c r="A5616" s="10">
        <v>5555</v>
      </c>
      <c r="B5616" s="1832"/>
      <c r="D5616" s="2" t="str">
        <f t="shared" si="86"/>
        <v>OK</v>
      </c>
    </row>
    <row r="5617" spans="1:5" x14ac:dyDescent="0.2">
      <c r="A5617" s="5">
        <v>5556</v>
      </c>
      <c r="B5617" s="1832">
        <f>'Revenues 9-14'!F153</f>
        <v>470266</v>
      </c>
      <c r="D5617" s="2" t="str">
        <f t="shared" si="86"/>
        <v>Error?</v>
      </c>
    </row>
    <row r="5618" spans="1:5" x14ac:dyDescent="0.2">
      <c r="A5618" s="5">
        <v>5557</v>
      </c>
      <c r="B5618" s="1832">
        <f>'Revenues 9-14'!F155</f>
        <v>879680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879680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879680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2321639</v>
      </c>
      <c r="C5720" s="2" t="s">
        <v>569</v>
      </c>
      <c r="D5720" s="2" t="str">
        <f t="shared" si="88"/>
        <v>Error?</v>
      </c>
    </row>
    <row r="5721" spans="1:4" x14ac:dyDescent="0.2">
      <c r="A5721" s="5">
        <v>5660</v>
      </c>
      <c r="B5721" s="1832">
        <f>'Revenues 9-14'!G5</f>
        <v>318943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358820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677763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59279</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59279</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737042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48236</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48236</v>
      </c>
      <c r="C5915" s="2" t="s">
        <v>569</v>
      </c>
      <c r="D5915" s="2" t="str">
        <f t="shared" si="91"/>
        <v>Error?</v>
      </c>
    </row>
    <row r="5916" spans="1:4" x14ac:dyDescent="0.2">
      <c r="A5916" s="5">
        <v>5855</v>
      </c>
      <c r="B5916" s="1832">
        <f>'Revenues 9-14'!I5</f>
        <v>239286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239286</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239286</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39870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39870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39870</v>
      </c>
      <c r="C6023" s="2" t="s">
        <v>569</v>
      </c>
      <c r="D6023" s="2" t="str">
        <f t="shared" si="93"/>
        <v>Error?</v>
      </c>
    </row>
    <row r="6024" spans="1:5" x14ac:dyDescent="0.2">
      <c r="A6024" s="5">
        <v>5963</v>
      </c>
      <c r="B6024" s="1832">
        <f>'Revenues 9-14'!G109</f>
        <v>737042</v>
      </c>
      <c r="C6024" s="2" t="s">
        <v>569</v>
      </c>
      <c r="D6024" s="2" t="str">
        <f t="shared" si="93"/>
        <v>Error?</v>
      </c>
    </row>
    <row r="6025" spans="1:5" x14ac:dyDescent="0.2">
      <c r="A6025" s="5">
        <v>5964</v>
      </c>
      <c r="B6025" s="1832">
        <f>'Revenues 9-14'!H109</f>
        <v>48236</v>
      </c>
      <c r="C6025" s="2" t="s">
        <v>569</v>
      </c>
      <c r="D6025" s="2" t="str">
        <f t="shared" si="93"/>
        <v>Error?</v>
      </c>
    </row>
    <row r="6026" spans="1:5" x14ac:dyDescent="0.2">
      <c r="A6026" s="5">
        <v>5965</v>
      </c>
      <c r="B6026" s="1832">
        <f>'Revenues 9-14'!I109</f>
        <v>239286</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39870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396798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60981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1990.8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495750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258137</v>
      </c>
      <c r="D6143" s="2" t="str">
        <f t="shared" ref="D6143:D6206" si="95">IF(ISBLANK(B6143),"OK",IF(A6143-B6143=0,"OK","Error?"))</f>
        <v>Error?</v>
      </c>
      <c r="E6143" s="2" t="s">
        <v>189</v>
      </c>
    </row>
    <row r="6144" spans="1:5" x14ac:dyDescent="0.2">
      <c r="A6144">
        <v>6083</v>
      </c>
      <c r="B6144" s="1832">
        <f>'Assets-Liab 5-6'!E27</f>
        <v>116222</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17116</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289308</v>
      </c>
      <c r="D6169" s="2" t="str">
        <f t="shared" si="95"/>
        <v>Error?</v>
      </c>
      <c r="E6169" s="2" t="s">
        <v>189</v>
      </c>
    </row>
    <row r="6170" spans="1:5" x14ac:dyDescent="0.2">
      <c r="A6170">
        <v>6109</v>
      </c>
      <c r="B6170" s="1832">
        <f>'Assets-Liab 5-6'!D30</f>
        <v>7963</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495750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495750</v>
      </c>
      <c r="D6216" s="2" t="str">
        <f t="shared" si="96"/>
        <v>Error?</v>
      </c>
      <c r="E6216" s="2" t="s">
        <v>189</v>
      </c>
    </row>
    <row r="6217" spans="1:5" x14ac:dyDescent="0.2">
      <c r="A6217">
        <v>6156</v>
      </c>
      <c r="B6217" s="1832">
        <f>'Assets-Liab 5-6'!J4</f>
        <v>1653</v>
      </c>
      <c r="D6217" s="2" t="str">
        <f t="shared" si="96"/>
        <v>Error?</v>
      </c>
      <c r="E6217" s="2" t="s">
        <v>189</v>
      </c>
    </row>
    <row r="6218" spans="1:5" x14ac:dyDescent="0.2">
      <c r="A6218">
        <v>6157</v>
      </c>
      <c r="B6218" s="1832">
        <f>'Assets-Liab 5-6'!J5</f>
        <v>494097</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239292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239292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239292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147774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147774</v>
      </c>
      <c r="D6229" s="2" t="str">
        <f t="shared" si="96"/>
        <v>Error?</v>
      </c>
      <c r="E6229" s="2" t="s">
        <v>189</v>
      </c>
    </row>
    <row r="6230" spans="1:5" x14ac:dyDescent="0.2">
      <c r="A6230">
        <v>6169</v>
      </c>
      <c r="B6230" s="1832">
        <f>'Acct Summary 7-8'!J20</f>
        <v>91518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91518</v>
      </c>
      <c r="D6263" s="2" t="str">
        <f t="shared" si="96"/>
        <v>Error?</v>
      </c>
      <c r="E6263" s="2" t="s">
        <v>189</v>
      </c>
    </row>
    <row r="6264" spans="1:5" x14ac:dyDescent="0.2">
      <c r="A6264">
        <v>6203</v>
      </c>
      <c r="B6264" s="1832">
        <f>'Acct Summary 7-8'!J79</f>
        <v>404232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495750</v>
      </c>
      <c r="D6266" s="2" t="str">
        <f t="shared" si="96"/>
        <v>Error?</v>
      </c>
      <c r="E6266" s="2" t="s">
        <v>189</v>
      </c>
    </row>
    <row r="6267" spans="1:5" x14ac:dyDescent="0.2">
      <c r="A6267">
        <v>6206</v>
      </c>
      <c r="B6267" s="1832">
        <f>'Acct Summary 7-8'!C82</f>
        <v>-379052</v>
      </c>
      <c r="D6267" s="2" t="str">
        <f t="shared" si="96"/>
        <v>Error?</v>
      </c>
      <c r="E6267" s="2" t="s">
        <v>189</v>
      </c>
    </row>
    <row r="6268" spans="1:5" x14ac:dyDescent="0.2">
      <c r="A6268">
        <v>6207</v>
      </c>
      <c r="B6268" s="1832">
        <f>'Acct Summary 7-8'!D82</f>
        <v>212071</v>
      </c>
      <c r="D6268" s="2" t="str">
        <f t="shared" si="96"/>
        <v>Error?</v>
      </c>
      <c r="E6268" s="2" t="s">
        <v>189</v>
      </c>
    </row>
    <row r="6269" spans="1:5" x14ac:dyDescent="0.2">
      <c r="A6269">
        <v>6208</v>
      </c>
      <c r="B6269" s="1832">
        <f>'Acct Summary 7-8'!E82</f>
        <v>-53074</v>
      </c>
      <c r="D6269" s="2" t="str">
        <f t="shared" si="96"/>
        <v>Error?</v>
      </c>
      <c r="E6269" s="2" t="s">
        <v>189</v>
      </c>
    </row>
    <row r="6270" spans="1:5" x14ac:dyDescent="0.2">
      <c r="A6270">
        <v>6209</v>
      </c>
      <c r="B6270" s="1832">
        <f>'Acct Summary 7-8'!F82</f>
        <v>224691</v>
      </c>
      <c r="D6270" s="2" t="str">
        <f t="shared" si="96"/>
        <v>Error?</v>
      </c>
      <c r="E6270" s="2" t="s">
        <v>189</v>
      </c>
    </row>
    <row r="6271" spans="1:5" x14ac:dyDescent="0.2">
      <c r="A6271">
        <v>6210</v>
      </c>
      <c r="B6271" s="1832">
        <f>'Acct Summary 7-8'!G82</f>
        <v>46309</v>
      </c>
      <c r="D6271" s="2" t="str">
        <f t="shared" ref="D6271:D6334" si="97">IF(ISBLANK(B6271),"OK",IF(A6271-B6271=0,"OK","Error?"))</f>
        <v>Error?</v>
      </c>
      <c r="E6271" s="2" t="s">
        <v>189</v>
      </c>
    </row>
    <row r="6272" spans="1:5" x14ac:dyDescent="0.2">
      <c r="A6272">
        <v>6211</v>
      </c>
      <c r="B6272" s="1832">
        <f>'Acct Summary 7-8'!H82</f>
        <v>-39631</v>
      </c>
      <c r="D6272" s="2" t="str">
        <f t="shared" si="97"/>
        <v>Error?</v>
      </c>
      <c r="E6272" s="2" t="s">
        <v>189</v>
      </c>
    </row>
    <row r="6273" spans="1:5" x14ac:dyDescent="0.2">
      <c r="A6273">
        <v>6212</v>
      </c>
      <c r="B6273" s="1832">
        <f>'Acct Summary 7-8'!I82</f>
        <v>-260714</v>
      </c>
      <c r="D6273" s="2" t="str">
        <f t="shared" si="97"/>
        <v>Error?</v>
      </c>
      <c r="E6273" s="2" t="s">
        <v>189</v>
      </c>
    </row>
    <row r="6274" spans="1:5" x14ac:dyDescent="0.2">
      <c r="A6274">
        <v>6213</v>
      </c>
      <c r="B6274" s="1832">
        <f>'Acct Summary 7-8'!J82</f>
        <v>91518</v>
      </c>
      <c r="D6274" s="2" t="str">
        <f t="shared" si="97"/>
        <v>Error?</v>
      </c>
      <c r="E6274" s="2" t="s">
        <v>189</v>
      </c>
    </row>
    <row r="6275" spans="1:5" x14ac:dyDescent="0.2">
      <c r="A6275">
        <v>6214</v>
      </c>
      <c r="B6275" s="1832">
        <f>'Acct Summary 7-8'!K82</f>
        <v>39270</v>
      </c>
      <c r="D6275" s="2" t="str">
        <f t="shared" si="97"/>
        <v>Error?</v>
      </c>
      <c r="E6275" s="2" t="s">
        <v>189</v>
      </c>
    </row>
    <row r="6276" spans="1:5" x14ac:dyDescent="0.2">
      <c r="A6276">
        <v>6215</v>
      </c>
      <c r="B6276" s="1832">
        <f>'Acct Summary 7-8'!C83</f>
        <v>-3.2004217560323053E-2</v>
      </c>
      <c r="D6276" s="2" t="str">
        <f t="shared" si="97"/>
        <v>Error?</v>
      </c>
      <c r="E6276" s="2" t="s">
        <v>189</v>
      </c>
    </row>
    <row r="6277" spans="1:5" x14ac:dyDescent="0.2">
      <c r="A6277">
        <v>6216</v>
      </c>
      <c r="B6277" s="1832">
        <f>'Acct Summary 7-8'!D83</f>
        <v>0.12458919891291194</v>
      </c>
      <c r="D6277" s="2" t="str">
        <f t="shared" si="97"/>
        <v>Error?</v>
      </c>
      <c r="E6277" s="2" t="s">
        <v>189</v>
      </c>
    </row>
    <row r="6278" spans="1:5" x14ac:dyDescent="0.2">
      <c r="A6278">
        <v>6217</v>
      </c>
      <c r="B6278" s="1832">
        <f>'Acct Summary 7-8'!E83</f>
        <v>-1.4717431090899007</v>
      </c>
      <c r="D6278" s="2" t="str">
        <f t="shared" si="97"/>
        <v>Error?</v>
      </c>
      <c r="E6278" s="2" t="s">
        <v>189</v>
      </c>
    </row>
    <row r="6279" spans="1:5" x14ac:dyDescent="0.2">
      <c r="A6279">
        <v>6218</v>
      </c>
      <c r="B6279" s="1832">
        <f>'Acct Summary 7-8'!F83</f>
        <v>8.6285143307430118E-2</v>
      </c>
      <c r="D6279" s="2" t="str">
        <f t="shared" si="97"/>
        <v>Error?</v>
      </c>
      <c r="E6279" s="2" t="s">
        <v>189</v>
      </c>
    </row>
    <row r="6280" spans="1:5" x14ac:dyDescent="0.2">
      <c r="A6280">
        <v>6219</v>
      </c>
      <c r="B6280" s="1832">
        <f>'Acct Summary 7-8'!G83</f>
        <v>0.16267608107633399</v>
      </c>
      <c r="D6280" s="2" t="str">
        <f t="shared" si="97"/>
        <v>Error?</v>
      </c>
      <c r="E6280" s="2" t="s">
        <v>189</v>
      </c>
    </row>
    <row r="6281" spans="1:5" x14ac:dyDescent="0.2">
      <c r="A6281">
        <v>6220</v>
      </c>
      <c r="B6281" s="1832">
        <f>'Acct Summary 7-8'!H83</f>
        <v>-6.6375690663254452E-2</v>
      </c>
      <c r="D6281" s="2" t="str">
        <f t="shared" si="97"/>
        <v>Error?</v>
      </c>
      <c r="E6281" s="2" t="s">
        <v>189</v>
      </c>
    </row>
    <row r="6282" spans="1:5" x14ac:dyDescent="0.2">
      <c r="A6282">
        <v>6221</v>
      </c>
      <c r="B6282" s="1832">
        <f>'Acct Summary 7-8'!I83</f>
        <v>-0.30954246689842518</v>
      </c>
      <c r="D6282" s="2" t="str">
        <f t="shared" si="97"/>
        <v>Error?</v>
      </c>
      <c r="E6282" s="2" t="s">
        <v>189</v>
      </c>
    </row>
    <row r="6283" spans="1:5" x14ac:dyDescent="0.2">
      <c r="A6283">
        <v>6222</v>
      </c>
      <c r="B6283" s="1832">
        <f>'Acct Summary 7-8'!J83</f>
        <v>0.18460514372163389</v>
      </c>
      <c r="D6283" s="2" t="str">
        <f t="shared" si="97"/>
        <v>Error?</v>
      </c>
      <c r="E6283" s="2" t="s">
        <v>189</v>
      </c>
    </row>
    <row r="6284" spans="1:5" x14ac:dyDescent="0.2">
      <c r="A6284">
        <v>6223</v>
      </c>
      <c r="B6284" s="1832">
        <f>'Acct Summary 7-8'!K83</f>
        <v>9.8612841014102615E-2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239292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239292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5615</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48236</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12203</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239292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290255</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268850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453743</v>
      </c>
      <c r="D6985" s="2" t="str">
        <f t="shared" si="108"/>
        <v>Error?</v>
      </c>
    </row>
    <row r="6986" spans="1:4" x14ac:dyDescent="0.2">
      <c r="A6986">
        <v>6925</v>
      </c>
      <c r="B6986" s="1832">
        <f>'Expenditures 15-22'!K87</f>
        <v>453743</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453743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147774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239292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14380</v>
      </c>
      <c r="D7075" s="2" t="str">
        <f t="shared" si="109"/>
        <v>Error?</v>
      </c>
    </row>
    <row r="7076" spans="1:4" x14ac:dyDescent="0.2">
      <c r="A7076">
        <v>7015</v>
      </c>
      <c r="B7076" s="1832">
        <f>'Expenditures 15-22'!K218</f>
        <v>14380</v>
      </c>
      <c r="D7076" s="2" t="str">
        <f t="shared" si="109"/>
        <v>Error?</v>
      </c>
    </row>
    <row r="7077" spans="1:4" x14ac:dyDescent="0.2">
      <c r="A7077">
        <v>7016</v>
      </c>
      <c r="B7077" s="1832">
        <f>'Expenditures 15-22'!D220</f>
        <v>15019</v>
      </c>
      <c r="D7077" s="2" t="str">
        <f t="shared" si="109"/>
        <v>Error?</v>
      </c>
    </row>
    <row r="7078" spans="1:4" x14ac:dyDescent="0.2">
      <c r="A7078">
        <v>7017</v>
      </c>
      <c r="B7078" s="1832">
        <f>'Expenditures 15-22'!K220</f>
        <v>15019</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81047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81047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60000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60000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6727</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6727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147774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147774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147774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147774</v>
      </c>
      <c r="D7224" s="2" t="str">
        <f t="shared" si="111"/>
        <v>Error?</v>
      </c>
    </row>
    <row r="7225" spans="1:4" x14ac:dyDescent="0.2">
      <c r="A7225">
        <v>7164</v>
      </c>
      <c r="B7225" s="1832">
        <f>'Expenditures 15-22'!K343</f>
        <v>91518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232576</v>
      </c>
      <c r="D7251" s="2" t="str">
        <f t="shared" si="112"/>
        <v>Error?</v>
      </c>
    </row>
    <row r="7252" spans="1:4" x14ac:dyDescent="0.2">
      <c r="A7252">
        <f t="shared" si="113"/>
        <v>7191</v>
      </c>
      <c r="B7252" s="1832">
        <f>'Expenditures 15-22'!D9</f>
        <v>53379</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4300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199112</v>
      </c>
      <c r="D7257" s="2" t="str">
        <f t="shared" si="112"/>
        <v>Error?</v>
      </c>
    </row>
    <row r="7258" spans="1:4" x14ac:dyDescent="0.2">
      <c r="A7258">
        <f t="shared" si="113"/>
        <v>7197</v>
      </c>
      <c r="B7258" s="1832">
        <f>'Expenditures 15-22'!D11</f>
        <v>69738</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2486238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12203</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22444</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34647</v>
      </c>
      <c r="D7719" s="2" t="str">
        <f t="shared" si="126"/>
        <v>Error?</v>
      </c>
      <c r="E7719" s="2" t="s">
        <v>822</v>
      </c>
    </row>
    <row r="7720" spans="1:6" x14ac:dyDescent="0.2">
      <c r="A7720">
        <v>7659</v>
      </c>
      <c r="B7720" s="1832">
        <f>'Rest Tax Levies-Tort Im 25'!H14</f>
        <v>315238</v>
      </c>
      <c r="D7720" s="2" t="str">
        <f t="shared" si="126"/>
        <v>Error?</v>
      </c>
      <c r="E7720" s="2" t="s">
        <v>822</v>
      </c>
    </row>
    <row r="7721" spans="1:6" x14ac:dyDescent="0.2">
      <c r="A7721">
        <v>7660</v>
      </c>
      <c r="B7721" s="1832">
        <f>'Rest Tax Levies-Tort Im 25'!K14</f>
        <v>34647</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500000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34647</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38890000</v>
      </c>
      <c r="D7817" s="2" t="str">
        <f t="shared" si="128"/>
        <v>Error?</v>
      </c>
      <c r="E7817" s="4" t="s">
        <v>1963</v>
      </c>
    </row>
    <row r="7818" spans="1:5" x14ac:dyDescent="0.2">
      <c r="A7818">
        <v>7757</v>
      </c>
      <c r="B7818" s="1832">
        <f>'PCTC-OEPP 27-28'!F172</f>
        <v>0</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-2051621</v>
      </c>
      <c r="D7820" s="2" t="str">
        <f t="shared" si="128"/>
        <v>Error?</v>
      </c>
    </row>
    <row r="7821" spans="1:5" x14ac:dyDescent="0.2">
      <c r="A7821">
        <v>7760</v>
      </c>
      <c r="B7821" s="1832">
        <f>'ICR Computation 30'!G40</f>
        <v>-2051621</v>
      </c>
      <c r="D7821" s="2" t="str">
        <f t="shared" si="128"/>
        <v>Error?</v>
      </c>
    </row>
    <row r="7822" spans="1:5" x14ac:dyDescent="0.2">
      <c r="A7822" s="1">
        <v>7761</v>
      </c>
      <c r="B7822" s="1832">
        <f>'PCTC-OEPP 27-28'!F14</f>
        <v>32073206</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290255</v>
      </c>
      <c r="D7827" s="2" t="str">
        <f t="shared" si="129"/>
        <v>Error?</v>
      </c>
      <c r="E7827" s="4" t="s">
        <v>1995</v>
      </c>
    </row>
    <row r="7828" spans="1:5" x14ac:dyDescent="0.2">
      <c r="A7828">
        <v>7767</v>
      </c>
      <c r="B7828" s="1832">
        <f>'PCTC-OEPP 27-28'!F36</f>
        <v>268850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47239</v>
      </c>
      <c r="D7830" s="2" t="str">
        <f t="shared" si="129"/>
        <v>Error?</v>
      </c>
      <c r="E7830" s="4" t="s">
        <v>1995</v>
      </c>
    </row>
    <row r="7831" spans="1:5" x14ac:dyDescent="0.2">
      <c r="A7831">
        <v>7770</v>
      </c>
      <c r="B7831" s="1832">
        <f>'PCTC-OEPP 27-28'!F52</f>
        <v>20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4287395</v>
      </c>
      <c r="D7834" s="2" t="str">
        <f t="shared" si="129"/>
        <v>Error?</v>
      </c>
      <c r="E7834" s="4" t="s">
        <v>1995</v>
      </c>
    </row>
    <row r="7835" spans="1:5" x14ac:dyDescent="0.2">
      <c r="A7835">
        <v>7774</v>
      </c>
      <c r="B7835" s="1832">
        <f>'PCTC-OEPP 27-28'!F78</f>
        <v>27785811</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13957.108197709464</v>
      </c>
      <c r="D7837" s="2" t="str">
        <f t="shared" si="129"/>
        <v>Error?</v>
      </c>
      <c r="E7837" s="4" t="s">
        <v>1995</v>
      </c>
    </row>
    <row r="7838" spans="1:5" x14ac:dyDescent="0.2">
      <c r="A7838">
        <v>7777</v>
      </c>
      <c r="B7838" s="1832">
        <f>'PCTC-OEPP 27-28'!F96</f>
        <v>72298</v>
      </c>
      <c r="D7838" s="2" t="str">
        <f t="shared" si="129"/>
        <v>Error?</v>
      </c>
      <c r="E7838" s="4" t="s">
        <v>1995</v>
      </c>
    </row>
    <row r="7839" spans="1:5" x14ac:dyDescent="0.2">
      <c r="A7839">
        <v>7778</v>
      </c>
      <c r="B7839" s="1832">
        <f>'PCTC-OEPP 27-28'!F102</f>
        <v>20495</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122416</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22444</v>
      </c>
      <c r="D7846" s="2" t="str">
        <f t="shared" si="129"/>
        <v>Error?</v>
      </c>
      <c r="E7846" s="4" t="s">
        <v>1995</v>
      </c>
    </row>
    <row r="7847" spans="1:5" x14ac:dyDescent="0.2">
      <c r="A7847">
        <v>7786</v>
      </c>
      <c r="B7847" s="1832">
        <f>'PCTC-OEPP 27-28'!F112</f>
        <v>879680</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227150</v>
      </c>
      <c r="D7858" s="2" t="str">
        <f t="shared" si="129"/>
        <v>Error?</v>
      </c>
      <c r="E7858" s="4" t="s">
        <v>1995</v>
      </c>
    </row>
    <row r="7859" spans="1:5" x14ac:dyDescent="0.2">
      <c r="A7859">
        <v>7798</v>
      </c>
      <c r="B7859" s="1832">
        <f>'PCTC-OEPP 27-28'!F127</f>
        <v>183694</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342036</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3</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0</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35293</v>
      </c>
      <c r="D7874" s="2" t="str">
        <f t="shared" si="129"/>
        <v>Error?</v>
      </c>
      <c r="E7874" s="4" t="s">
        <v>1995</v>
      </c>
    </row>
    <row r="7875" spans="1:5" x14ac:dyDescent="0.2">
      <c r="A7875">
        <v>7814</v>
      </c>
      <c r="B7875" s="1832">
        <f>'PCTC-OEPP 27-28'!F170</f>
        <v>107199</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2550234</v>
      </c>
      <c r="D7877" s="2" t="str">
        <f t="shared" si="129"/>
        <v>Error?</v>
      </c>
      <c r="E7877" s="4" t="s">
        <v>1995</v>
      </c>
    </row>
    <row r="7878" spans="1:5" x14ac:dyDescent="0.2">
      <c r="A7878">
        <v>7817</v>
      </c>
      <c r="B7878" s="1832">
        <f>'PCTC-OEPP 27-28'!F176</f>
        <v>25235577</v>
      </c>
      <c r="D7878" s="2" t="str">
        <f t="shared" si="129"/>
        <v>Error?</v>
      </c>
      <c r="E7878" s="4" t="s">
        <v>1995</v>
      </c>
    </row>
    <row r="7879" spans="1:5" x14ac:dyDescent="0.2">
      <c r="A7879">
        <v>7818</v>
      </c>
      <c r="B7879" s="1832">
        <f>'PCTC-OEPP 27-28'!F178</f>
        <v>27721815</v>
      </c>
      <c r="D7879" s="2" t="str">
        <f t="shared" si="129"/>
        <v>Error?</v>
      </c>
      <c r="E7879" s="4" t="s">
        <v>1995</v>
      </c>
    </row>
    <row r="7880" spans="1:5" x14ac:dyDescent="0.2">
      <c r="A7880">
        <v>7819</v>
      </c>
      <c r="B7880" s="1832">
        <f>'PCTC-OEPP 27-28'!F180</f>
        <v>13924.962326702833</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47" sqref="B4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1" t="s">
        <v>1181</v>
      </c>
      <c r="B2" s="2511"/>
      <c r="C2" s="2511"/>
      <c r="D2" s="2511"/>
      <c r="E2" s="2511"/>
      <c r="F2" s="2511"/>
      <c r="G2" s="2511"/>
      <c r="H2" s="2511"/>
      <c r="I2" s="2511"/>
      <c r="J2" s="2511"/>
      <c r="K2" s="2511"/>
      <c r="L2" s="2511"/>
    </row>
    <row r="3" spans="1:29" ht="13.5" customHeight="1" x14ac:dyDescent="0.2">
      <c r="A3" s="2497" t="s">
        <v>1180</v>
      </c>
      <c r="B3" s="2497"/>
      <c r="C3" s="2497"/>
      <c r="D3" s="2497"/>
      <c r="E3" s="2497"/>
      <c r="F3" s="2497"/>
      <c r="G3" s="2497"/>
      <c r="H3" s="2497"/>
      <c r="I3" s="2497"/>
      <c r="J3" s="2497"/>
      <c r="K3" s="2497"/>
      <c r="L3" s="2497"/>
    </row>
    <row r="4" spans="1:29" ht="13.5" customHeight="1" x14ac:dyDescent="0.2">
      <c r="A4" s="2528" t="str">
        <f>"Year Ending June 30, "&amp;'AFR20'!E2</f>
        <v>Year Ending June 30, 2020</v>
      </c>
      <c r="B4" s="2529"/>
      <c r="C4" s="2529"/>
      <c r="D4" s="2529"/>
      <c r="E4" s="2529"/>
      <c r="F4" s="2529"/>
      <c r="G4" s="2529"/>
      <c r="H4" s="2529"/>
      <c r="I4" s="2529"/>
      <c r="J4" s="2529"/>
      <c r="K4" s="2529"/>
      <c r="L4" s="252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491" t="str">
        <f>COVER!A17</f>
        <v>Coal City CUSD 1</v>
      </c>
      <c r="B7" s="2492"/>
      <c r="C7" s="2492"/>
      <c r="D7" s="2530"/>
      <c r="E7" s="2531">
        <f>COVER!A13</f>
        <v>24032001026</v>
      </c>
      <c r="F7" s="2532"/>
      <c r="G7" s="2498" t="str">
        <f>COVER!T23</f>
        <v>066-005100</v>
      </c>
      <c r="H7" s="2499"/>
      <c r="I7" s="2499"/>
      <c r="J7" s="2499"/>
      <c r="K7" s="2499"/>
      <c r="L7" s="250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01"/>
      <c r="B9" s="2502"/>
      <c r="C9" s="2502"/>
      <c r="D9" s="2502"/>
      <c r="E9" s="2502"/>
      <c r="F9" s="2503"/>
      <c r="G9" s="2504" t="str">
        <f>COVER!T13</f>
        <v>Mack &amp; Associates, P.C.</v>
      </c>
      <c r="H9" s="2505"/>
      <c r="I9" s="2505"/>
      <c r="J9" s="2505"/>
      <c r="K9" s="2505"/>
      <c r="L9" s="2506"/>
    </row>
    <row r="10" spans="1:29" ht="13.5" customHeight="1" x14ac:dyDescent="0.2">
      <c r="A10" s="2488" t="str">
        <f>COVER!A38</f>
        <v>Dr. Kent Bugg</v>
      </c>
      <c r="B10" s="2489"/>
      <c r="C10" s="2489"/>
      <c r="D10" s="2489"/>
      <c r="E10" s="2489"/>
      <c r="F10" s="2490"/>
      <c r="G10" s="2504" t="str">
        <f>COVER!T17</f>
        <v>116 E. Washington Street, Suite One</v>
      </c>
      <c r="H10" s="2517"/>
      <c r="I10" s="2517"/>
      <c r="J10" s="2517"/>
      <c r="K10" s="2517"/>
      <c r="L10" s="2518"/>
    </row>
    <row r="11" spans="1:29" ht="13.5" customHeight="1" x14ac:dyDescent="0.2">
      <c r="A11" s="963" t="s">
        <v>1502</v>
      </c>
      <c r="B11" s="964"/>
      <c r="C11" s="965"/>
      <c r="D11" s="970"/>
      <c r="E11" s="965"/>
      <c r="F11" s="969"/>
      <c r="G11" s="2504" t="str">
        <f>COVER!T19</f>
        <v>Morris</v>
      </c>
      <c r="H11" s="2517"/>
      <c r="I11" s="2517"/>
      <c r="J11" s="2517"/>
      <c r="K11" s="2517"/>
      <c r="L11" s="2518"/>
    </row>
    <row r="12" spans="1:29" ht="13.5" customHeight="1" x14ac:dyDescent="0.2">
      <c r="A12" s="2522" t="s">
        <v>1501</v>
      </c>
      <c r="B12" s="2523"/>
      <c r="C12" s="2523"/>
      <c r="D12" s="2523"/>
      <c r="E12" s="2523"/>
      <c r="F12" s="2524"/>
      <c r="G12" s="2519"/>
      <c r="H12" s="2520"/>
      <c r="I12" s="2520"/>
      <c r="J12" s="2520"/>
      <c r="K12" s="2520"/>
      <c r="L12" s="2521"/>
    </row>
    <row r="13" spans="1:29" ht="13.5" customHeight="1" x14ac:dyDescent="0.2">
      <c r="A13" s="2504"/>
      <c r="B13" s="2517"/>
      <c r="C13" s="2517"/>
      <c r="D13" s="2517"/>
      <c r="E13" s="2517"/>
      <c r="F13" s="2518"/>
      <c r="G13" s="2512" t="s">
        <v>1503</v>
      </c>
      <c r="H13" s="2513"/>
      <c r="I13" s="2525" t="str">
        <f>COVER!T25</f>
        <v>tmack@mackcpas.com</v>
      </c>
      <c r="J13" s="2526"/>
      <c r="K13" s="2526"/>
      <c r="L13" s="2527"/>
    </row>
    <row r="14" spans="1:29" ht="13.5" customHeight="1" x14ac:dyDescent="0.2">
      <c r="A14" s="2504" t="str">
        <f>COVER!A19</f>
        <v>550 S. Carbon Hill Road</v>
      </c>
      <c r="B14" s="2517"/>
      <c r="C14" s="2517"/>
      <c r="D14" s="2517"/>
      <c r="E14" s="2517"/>
      <c r="F14" s="2518"/>
      <c r="G14" s="974" t="s">
        <v>1175</v>
      </c>
      <c r="H14" s="972"/>
      <c r="I14" s="972"/>
      <c r="J14" s="972"/>
      <c r="K14" s="972"/>
      <c r="L14" s="973"/>
    </row>
    <row r="15" spans="1:29" ht="13.5" customHeight="1" x14ac:dyDescent="0.2">
      <c r="A15" s="2504" t="str">
        <f>COVER!A21</f>
        <v>Coal City</v>
      </c>
      <c r="B15" s="2517"/>
      <c r="C15" s="2517"/>
      <c r="D15" s="2517"/>
      <c r="E15" s="2517"/>
      <c r="F15" s="2518"/>
      <c r="G15" s="2514" t="str">
        <f>COVER!T15</f>
        <v>Tawnya Mack, CPA</v>
      </c>
      <c r="H15" s="2515"/>
      <c r="I15" s="2515"/>
      <c r="J15" s="2515"/>
      <c r="K15" s="2515"/>
      <c r="L15" s="2516"/>
    </row>
    <row r="16" spans="1:29" ht="12.2" customHeight="1" x14ac:dyDescent="0.2">
      <c r="A16" s="2494">
        <f>COVER!A25</f>
        <v>60416</v>
      </c>
      <c r="B16" s="2495"/>
      <c r="C16" s="2495"/>
      <c r="D16" s="2495"/>
      <c r="E16" s="2495"/>
      <c r="F16" s="2496"/>
      <c r="G16" s="2507"/>
      <c r="H16" s="2508"/>
      <c r="I16" s="2508"/>
      <c r="J16" s="2508"/>
      <c r="K16" s="2508"/>
      <c r="L16" s="2509"/>
    </row>
    <row r="17" spans="1:13" ht="12.2" customHeight="1" x14ac:dyDescent="0.2">
      <c r="A17" s="2510"/>
      <c r="B17" s="2495"/>
      <c r="C17" s="2495"/>
      <c r="D17" s="2495"/>
      <c r="E17" s="2495"/>
      <c r="F17" s="2496"/>
      <c r="G17" s="974" t="s">
        <v>1174</v>
      </c>
      <c r="H17" s="972"/>
      <c r="I17" s="972"/>
      <c r="J17" s="972"/>
      <c r="K17" s="976" t="s">
        <v>1173</v>
      </c>
      <c r="L17" s="969"/>
      <c r="M17" s="962"/>
    </row>
    <row r="18" spans="1:13" ht="12.2" customHeight="1" x14ac:dyDescent="0.2">
      <c r="A18" s="2488"/>
      <c r="B18" s="2489"/>
      <c r="C18" s="2489"/>
      <c r="D18" s="2489"/>
      <c r="E18" s="2489"/>
      <c r="F18" s="2490"/>
      <c r="G18" s="2491" t="str">
        <f>COVER!T21</f>
        <v>815-942-3306</v>
      </c>
      <c r="H18" s="2492"/>
      <c r="I18" s="2492"/>
      <c r="J18" s="2492"/>
      <c r="K18" s="2491" t="str">
        <f>COVER!X21</f>
        <v>815-942-9430</v>
      </c>
      <c r="L18" s="249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2048</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t="s">
        <v>2083</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t="s">
        <v>2048</v>
      </c>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33" t="str">
        <f>'Single Audit Cover'!A7</f>
        <v>Coal City CUSD 1</v>
      </c>
      <c r="B1" s="2534"/>
      <c r="C1" s="2534"/>
      <c r="D1" s="2534"/>
    </row>
    <row r="2" spans="1:11" s="991" customFormat="1" ht="12.75" x14ac:dyDescent="0.2">
      <c r="A2" s="2535">
        <f>'Single Audit Cover'!E7</f>
        <v>24032001026</v>
      </c>
      <c r="B2" s="2536"/>
      <c r="C2" s="2536"/>
      <c r="D2" s="2536"/>
    </row>
    <row r="3" spans="1:11" s="991" customFormat="1" ht="12.75" x14ac:dyDescent="0.2">
      <c r="A3" s="2533" t="s">
        <v>1496</v>
      </c>
      <c r="B3" s="2534"/>
      <c r="C3" s="2534"/>
      <c r="D3" s="253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3" zoomScale="110" zoomScaleNormal="110" workbookViewId="0">
      <selection activeCell="I20" sqref="I2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37" t="s">
        <v>1669</v>
      </c>
      <c r="B1" s="2538"/>
      <c r="C1" s="2538"/>
      <c r="D1" s="2538"/>
      <c r="E1" s="2538"/>
      <c r="F1" s="2539"/>
    </row>
    <row r="2" spans="1:8" ht="45" customHeight="1" x14ac:dyDescent="0.2">
      <c r="A2" s="254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48"/>
      <c r="C2" s="2548"/>
      <c r="D2" s="2548"/>
      <c r="E2" s="2548"/>
      <c r="F2" s="2549"/>
      <c r="G2" s="853"/>
      <c r="H2" s="853"/>
    </row>
    <row r="3" spans="1:8" ht="57" customHeight="1" x14ac:dyDescent="0.2">
      <c r="A3" s="2550" t="s">
        <v>1969</v>
      </c>
      <c r="B3" s="2551"/>
      <c r="C3" s="2551"/>
      <c r="D3" s="2551"/>
      <c r="E3" s="2551"/>
      <c r="F3" s="2552"/>
      <c r="G3" s="853"/>
      <c r="H3" s="853"/>
    </row>
    <row r="4" spans="1:8" ht="14.25" customHeight="1" x14ac:dyDescent="0.2">
      <c r="A4" s="255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57"/>
      <c r="C4" s="2557"/>
      <c r="D4" s="2557"/>
      <c r="E4" s="2557"/>
      <c r="F4" s="2558"/>
      <c r="G4" s="853"/>
      <c r="H4" s="853"/>
    </row>
    <row r="5" spans="1:8" ht="14.25" customHeight="1" x14ac:dyDescent="0.2">
      <c r="A5" s="255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60"/>
      <c r="C5" s="2560"/>
      <c r="D5" s="2560"/>
      <c r="E5" s="2560"/>
      <c r="F5" s="2561"/>
      <c r="G5" s="853"/>
      <c r="H5" s="853"/>
    </row>
    <row r="6" spans="1:8" s="854" customFormat="1" ht="41.25" customHeight="1" x14ac:dyDescent="0.2">
      <c r="A6" s="2553" t="s">
        <v>1670</v>
      </c>
      <c r="B6" s="2554"/>
      <c r="C6" s="2554"/>
      <c r="D6" s="2554"/>
      <c r="E6" s="2554"/>
      <c r="F6" s="255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21992687</v>
      </c>
      <c r="C8" s="1813">
        <f>'Acct Summary 7-8'!D8</f>
        <v>3479251</v>
      </c>
      <c r="D8" s="1813">
        <f>'Acct Summary 7-8'!F8</f>
        <v>2321639</v>
      </c>
      <c r="E8" s="1813">
        <f>'Acct Summary 7-8'!I8</f>
        <v>239286</v>
      </c>
      <c r="F8" s="1813">
        <f>SUM(B8:E8)</f>
        <v>28032863</v>
      </c>
    </row>
    <row r="9" spans="1:8" s="858" customFormat="1" ht="14.25" customHeight="1" thickBot="1" x14ac:dyDescent="0.25">
      <c r="A9" s="857" t="s">
        <v>1353</v>
      </c>
      <c r="B9" s="1814">
        <f>'Acct Summary 7-8'!C17</f>
        <v>22371739</v>
      </c>
      <c r="C9" s="1814">
        <f>'Acct Summary 7-8'!D17</f>
        <v>3267180</v>
      </c>
      <c r="D9" s="1814">
        <f>'Acct Summary 7-8'!F17</f>
        <v>2096948</v>
      </c>
      <c r="E9" s="1813"/>
      <c r="F9" s="1813">
        <f>SUM(B9:E9)</f>
        <v>27735867</v>
      </c>
    </row>
    <row r="10" spans="1:8" s="858" customFormat="1" ht="14.25" thickTop="1" thickBot="1" x14ac:dyDescent="0.25">
      <c r="A10" s="859" t="s">
        <v>1354</v>
      </c>
      <c r="B10" s="1815">
        <f>(B8-B9)</f>
        <v>-379052</v>
      </c>
      <c r="C10" s="1815">
        <f>(C8-C9)</f>
        <v>212071</v>
      </c>
      <c r="D10" s="1815">
        <f>(D8-D9)</f>
        <v>224691</v>
      </c>
      <c r="E10" s="1814">
        <f>(E8-E9)</f>
        <v>239286</v>
      </c>
      <c r="F10" s="1816">
        <f>SUM(F8-F9)</f>
        <v>296996</v>
      </c>
    </row>
    <row r="11" spans="1:8" s="858" customFormat="1" ht="14.25" thickTop="1" thickBot="1" x14ac:dyDescent="0.25">
      <c r="A11" s="860" t="s">
        <v>1900</v>
      </c>
      <c r="B11" s="1817">
        <f>'Acct Summary 7-8'!C81</f>
        <v>11843814</v>
      </c>
      <c r="C11" s="1817">
        <f>'Acct Summary 7-8'!D81</f>
        <v>1702162</v>
      </c>
      <c r="D11" s="1817">
        <f>'Acct Summary 7-8'!F81</f>
        <v>2604052</v>
      </c>
      <c r="E11" s="1817">
        <f>'Acct Summary 7-8'!I81</f>
        <v>842256</v>
      </c>
      <c r="F11" s="1818">
        <f>SUM(B11:E11)</f>
        <v>16992284</v>
      </c>
    </row>
    <row r="12" spans="1:8" ht="16.5" customHeight="1" thickTop="1" x14ac:dyDescent="0.2">
      <c r="A12" s="861"/>
      <c r="B12" s="862"/>
      <c r="C12" s="2541" t="str">
        <f>IF(AND(F10&lt;0,F11&gt;=0,ABS(F10*3)&gt;ABS(F11)),A16,IF(AND(F10&lt;0,F11&gt;0,ABS(F10*3)&lt;=ABS(F11)),A17,IF(AND(F10&lt;0,F11&lt;0),A16,IF(F11=0,A19,A18))))</f>
        <v>Balanced - no deficit reduction plan is required.</v>
      </c>
      <c r="D12" s="2542"/>
      <c r="E12" s="2542"/>
      <c r="F12" s="2543"/>
    </row>
    <row r="13" spans="1:8" ht="19.5" customHeight="1" x14ac:dyDescent="0.2">
      <c r="A13" s="863"/>
      <c r="B13" s="864"/>
      <c r="C13" s="2541"/>
      <c r="D13" s="2542"/>
      <c r="E13" s="2542"/>
      <c r="F13" s="2543"/>
      <c r="H13" s="853"/>
    </row>
    <row r="14" spans="1:8" ht="19.5" customHeight="1" x14ac:dyDescent="0.2">
      <c r="A14" s="863"/>
      <c r="B14" s="864"/>
      <c r="C14" s="2541"/>
      <c r="D14" s="2542"/>
      <c r="E14" s="2542"/>
      <c r="F14" s="2543"/>
      <c r="H14" s="853"/>
    </row>
    <row r="15" spans="1:8" ht="17.25" customHeight="1" x14ac:dyDescent="0.2">
      <c r="A15" s="863"/>
      <c r="B15" s="864"/>
      <c r="C15" s="2544"/>
      <c r="D15" s="2545"/>
      <c r="E15" s="2545"/>
      <c r="F15" s="2546"/>
      <c r="H15" s="853"/>
    </row>
    <row r="16" spans="1:8" s="288" customFormat="1" ht="51.75" hidden="1" customHeight="1" x14ac:dyDescent="0.2">
      <c r="A16" s="2540" t="s">
        <v>1666</v>
      </c>
      <c r="B16" s="2540"/>
      <c r="C16" s="2540"/>
      <c r="D16" s="2540"/>
      <c r="E16" s="254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C25" sqref="C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Coal City CUSD 1</v>
      </c>
      <c r="B1" s="2563"/>
      <c r="C1" s="2563"/>
      <c r="D1" s="2563"/>
      <c r="E1" s="2563"/>
    </row>
    <row r="2" spans="1:5" x14ac:dyDescent="0.2">
      <c r="A2" s="2564">
        <f>'Single Audit Cover'!E7</f>
        <v>24032001026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903692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60981</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-107199</v>
      </c>
    </row>
    <row r="19" spans="1:4" ht="13.5" thickBot="1" x14ac:dyDescent="0.25">
      <c r="A19" s="1041" t="s">
        <v>1224</v>
      </c>
      <c r="D19" s="1042">
        <f>SUM(D10:D17)</f>
        <v>857474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t="s">
        <v>2162</v>
      </c>
      <c r="B24" s="2565"/>
      <c r="D24" s="1044">
        <v>-3</v>
      </c>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857471</v>
      </c>
    </row>
    <row r="33" spans="1:4" x14ac:dyDescent="0.2">
      <c r="D33" s="1045"/>
    </row>
    <row r="34" spans="1:4" x14ac:dyDescent="0.2">
      <c r="A34" s="295" t="s">
        <v>1221</v>
      </c>
    </row>
    <row r="35" spans="1:4" x14ac:dyDescent="0.2">
      <c r="A35" s="295" t="s">
        <v>1220</v>
      </c>
      <c r="B35" s="1034" t="s">
        <v>1219</v>
      </c>
      <c r="D35" s="1046">
        <f>+' SEFA (2)'!F27</f>
        <v>857471</v>
      </c>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857471</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F22" sqref="F2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497" t="str">
        <f>'Single Audit Cover'!A7</f>
        <v>Coal City CUSD 1</v>
      </c>
      <c r="C1" s="2567"/>
      <c r="D1" s="2567"/>
      <c r="E1" s="2567"/>
      <c r="F1" s="2567"/>
      <c r="G1" s="2567"/>
      <c r="H1" s="2567"/>
      <c r="I1" s="2567"/>
      <c r="J1" s="2567"/>
      <c r="K1" s="2567"/>
      <c r="L1" s="2567"/>
      <c r="M1" s="2567"/>
    </row>
    <row r="2" spans="2:14" ht="15" x14ac:dyDescent="0.2">
      <c r="B2" s="2568">
        <f>'Single Audit Cover'!E7</f>
        <v>24032001026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2139</v>
      </c>
      <c r="C11" s="1821"/>
      <c r="D11" s="1822"/>
      <c r="E11" s="1823"/>
      <c r="F11" s="1823"/>
      <c r="G11" s="1823"/>
      <c r="H11" s="1823"/>
      <c r="I11" s="1823"/>
      <c r="J11" s="1823"/>
      <c r="K11" s="1823"/>
      <c r="L11" s="1823">
        <f>+G11+I11+K11</f>
        <v>0</v>
      </c>
      <c r="M11" s="1823"/>
    </row>
    <row r="12" spans="2:14" ht="20.100000000000001" customHeight="1" x14ac:dyDescent="0.2">
      <c r="B12" s="1113" t="s">
        <v>2084</v>
      </c>
      <c r="C12" s="1824"/>
      <c r="D12" s="1825"/>
      <c r="E12" s="1826"/>
      <c r="F12" s="1826"/>
      <c r="G12" s="1826"/>
      <c r="H12" s="1826"/>
      <c r="I12" s="1826"/>
      <c r="J12" s="1826"/>
      <c r="K12" s="1826"/>
      <c r="L12" s="1823">
        <f t="shared" ref="L12:L27" si="0">+G12+I12+K12</f>
        <v>0</v>
      </c>
      <c r="M12" s="1826"/>
    </row>
    <row r="13" spans="2:14" ht="20.100000000000001" customHeight="1" x14ac:dyDescent="0.2">
      <c r="B13" s="1113" t="s">
        <v>2085</v>
      </c>
      <c r="C13" s="1824"/>
      <c r="D13" s="1825"/>
      <c r="E13" s="1826"/>
      <c r="F13" s="1826"/>
      <c r="G13" s="1826"/>
      <c r="H13" s="1826"/>
      <c r="I13" s="1826"/>
      <c r="J13" s="1826"/>
      <c r="K13" s="1826"/>
      <c r="L13" s="1823">
        <f t="shared" si="0"/>
        <v>0</v>
      </c>
      <c r="M13" s="1826"/>
    </row>
    <row r="14" spans="2:14" ht="20.100000000000001" customHeight="1" x14ac:dyDescent="0.2">
      <c r="B14" s="1113" t="s">
        <v>2086</v>
      </c>
      <c r="C14" s="1824">
        <v>10.555</v>
      </c>
      <c r="D14" s="1825" t="s">
        <v>2088</v>
      </c>
      <c r="E14" s="1826"/>
      <c r="F14" s="1826">
        <v>152488</v>
      </c>
      <c r="G14" s="1826"/>
      <c r="H14" s="1826"/>
      <c r="I14" s="1826">
        <v>155811</v>
      </c>
      <c r="J14" s="1826"/>
      <c r="K14" s="1826"/>
      <c r="L14" s="1823">
        <f>+G14+I14+K14</f>
        <v>155811</v>
      </c>
      <c r="M14" s="1826" t="s">
        <v>2083</v>
      </c>
    </row>
    <row r="15" spans="2:14" ht="20.100000000000001" customHeight="1" x14ac:dyDescent="0.2">
      <c r="B15" s="1113" t="s">
        <v>2087</v>
      </c>
      <c r="C15" s="1824">
        <v>10.555</v>
      </c>
      <c r="D15" s="1825" t="s">
        <v>2089</v>
      </c>
      <c r="E15" s="1826">
        <v>216877</v>
      </c>
      <c r="F15" s="1826">
        <v>48923</v>
      </c>
      <c r="G15" s="1826">
        <v>216877</v>
      </c>
      <c r="H15" s="1826"/>
      <c r="I15" s="1826">
        <v>48923</v>
      </c>
      <c r="J15" s="1826"/>
      <c r="K15" s="1826"/>
      <c r="L15" s="1823">
        <f t="shared" si="0"/>
        <v>265800</v>
      </c>
      <c r="M15" s="1826" t="s">
        <v>2083</v>
      </c>
    </row>
    <row r="16" spans="2:14" ht="20.100000000000001" customHeight="1" x14ac:dyDescent="0.2">
      <c r="B16" s="1113" t="s">
        <v>2095</v>
      </c>
      <c r="C16" s="1824">
        <v>10.555999999999999</v>
      </c>
      <c r="D16" s="1825" t="s">
        <v>2097</v>
      </c>
      <c r="E16" s="1826"/>
      <c r="F16" s="1826">
        <v>1857</v>
      </c>
      <c r="G16" s="1826"/>
      <c r="H16" s="1826"/>
      <c r="I16" s="1826">
        <v>1857</v>
      </c>
      <c r="J16" s="1826"/>
      <c r="K16" s="1826"/>
      <c r="L16" s="1823">
        <f t="shared" si="0"/>
        <v>1857</v>
      </c>
      <c r="M16" s="1826" t="s">
        <v>2083</v>
      </c>
    </row>
    <row r="17" spans="2:14" ht="20.100000000000001" customHeight="1" x14ac:dyDescent="0.2">
      <c r="B17" s="1113" t="s">
        <v>2096</v>
      </c>
      <c r="C17" s="1824">
        <v>10.555999999999999</v>
      </c>
      <c r="D17" s="1825" t="s">
        <v>2098</v>
      </c>
      <c r="E17" s="1826">
        <v>2766</v>
      </c>
      <c r="F17" s="1826">
        <v>529</v>
      </c>
      <c r="G17" s="1826">
        <v>2766</v>
      </c>
      <c r="H17" s="1826"/>
      <c r="I17" s="1826">
        <v>529</v>
      </c>
      <c r="J17" s="1826"/>
      <c r="K17" s="1826"/>
      <c r="L17" s="1823">
        <f t="shared" si="0"/>
        <v>3295</v>
      </c>
      <c r="M17" s="1826" t="s">
        <v>2083</v>
      </c>
    </row>
    <row r="18" spans="2:14" ht="20.100000000000001" customHeight="1" x14ac:dyDescent="0.2">
      <c r="B18" s="1113" t="s">
        <v>2090</v>
      </c>
      <c r="C18" s="1824">
        <v>10.553000000000001</v>
      </c>
      <c r="D18" s="1825" t="s">
        <v>2099</v>
      </c>
      <c r="E18" s="1826"/>
      <c r="F18" s="1826">
        <v>19123</v>
      </c>
      <c r="G18" s="1826"/>
      <c r="H18" s="1826"/>
      <c r="I18" s="1826">
        <v>21224</v>
      </c>
      <c r="J18" s="1826"/>
      <c r="K18" s="1826"/>
      <c r="L18" s="1823">
        <f t="shared" si="0"/>
        <v>21224</v>
      </c>
      <c r="M18" s="1826" t="s">
        <v>2083</v>
      </c>
    </row>
    <row r="19" spans="2:14" ht="20.100000000000001" customHeight="1" x14ac:dyDescent="0.2">
      <c r="B19" s="1113" t="s">
        <v>2091</v>
      </c>
      <c r="C19" s="1824">
        <v>10.553000000000001</v>
      </c>
      <c r="D19" s="1825" t="s">
        <v>2100</v>
      </c>
      <c r="E19" s="1826">
        <v>22859</v>
      </c>
      <c r="F19" s="1826">
        <v>4230</v>
      </c>
      <c r="G19" s="1826">
        <v>22859</v>
      </c>
      <c r="H19" s="1826"/>
      <c r="I19" s="1826">
        <v>4230</v>
      </c>
      <c r="J19" s="1826"/>
      <c r="K19" s="1826"/>
      <c r="L19" s="1823">
        <f t="shared" si="0"/>
        <v>27089</v>
      </c>
      <c r="M19" s="1826" t="s">
        <v>2083</v>
      </c>
    </row>
    <row r="20" spans="2:14" ht="20.100000000000001" customHeight="1" x14ac:dyDescent="0.2">
      <c r="B20" s="1113" t="s">
        <v>2093</v>
      </c>
      <c r="C20" s="1824">
        <v>10.555</v>
      </c>
      <c r="D20" s="1825">
        <v>2020</v>
      </c>
      <c r="E20" s="1826"/>
      <c r="F20" s="1826">
        <v>43583</v>
      </c>
      <c r="G20" s="1826"/>
      <c r="H20" s="1826"/>
      <c r="I20" s="1826">
        <v>43583</v>
      </c>
      <c r="J20" s="1826"/>
      <c r="K20" s="1826"/>
      <c r="L20" s="1823">
        <f t="shared" si="0"/>
        <v>43583</v>
      </c>
      <c r="M20" s="1826" t="s">
        <v>2083</v>
      </c>
    </row>
    <row r="21" spans="2:14" ht="20.100000000000001" customHeight="1" x14ac:dyDescent="0.2">
      <c r="B21" s="1113" t="s">
        <v>2094</v>
      </c>
      <c r="C21" s="1824">
        <v>10.555</v>
      </c>
      <c r="D21" s="1825">
        <v>2020</v>
      </c>
      <c r="E21" s="1826"/>
      <c r="F21" s="1826">
        <v>17398</v>
      </c>
      <c r="G21" s="1826"/>
      <c r="H21" s="1826"/>
      <c r="I21" s="1826">
        <v>17398</v>
      </c>
      <c r="J21" s="1826"/>
      <c r="K21" s="1826"/>
      <c r="L21" s="1823">
        <f>+G21+I21+K21</f>
        <v>17398</v>
      </c>
      <c r="M21" s="1826" t="s">
        <v>2083</v>
      </c>
    </row>
    <row r="22" spans="2:14" ht="20.100000000000001" customHeight="1" x14ac:dyDescent="0.2">
      <c r="B22" s="1113" t="s">
        <v>2092</v>
      </c>
      <c r="C22" s="1824"/>
      <c r="D22" s="1825"/>
      <c r="E22" s="1826">
        <f>+SUM(E14:E21)</f>
        <v>242502</v>
      </c>
      <c r="F22" s="1826">
        <f>+SUM(F14:F21)</f>
        <v>288131</v>
      </c>
      <c r="G22" s="1826">
        <f>+SUM(G14:G21)</f>
        <v>242502</v>
      </c>
      <c r="H22" s="1826"/>
      <c r="I22" s="1826">
        <f>SUM(I14:I21)</f>
        <v>293555</v>
      </c>
      <c r="J22" s="1826"/>
      <c r="K22" s="1826"/>
      <c r="L22" s="1823">
        <f>+G22+I22+K22</f>
        <v>536057</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2140</v>
      </c>
      <c r="C24" s="1824"/>
      <c r="D24" s="1825"/>
      <c r="E24" s="1826"/>
      <c r="F24" s="1826"/>
      <c r="G24" s="1826"/>
      <c r="H24" s="1826"/>
      <c r="I24" s="1826"/>
      <c r="J24" s="1826"/>
      <c r="K24" s="1826"/>
      <c r="L24" s="1823">
        <f t="shared" si="0"/>
        <v>0</v>
      </c>
      <c r="M24" s="1826"/>
    </row>
    <row r="25" spans="2:14" ht="20.100000000000001" customHeight="1" x14ac:dyDescent="0.2">
      <c r="B25" s="1113" t="s">
        <v>2141</v>
      </c>
      <c r="C25" s="1824"/>
      <c r="D25" s="1825"/>
      <c r="E25" s="1826"/>
      <c r="F25" s="1826"/>
      <c r="G25" s="1826"/>
      <c r="H25" s="1826"/>
      <c r="I25" s="1826"/>
      <c r="J25" s="1826"/>
      <c r="K25" s="1826"/>
      <c r="L25" s="1823">
        <f t="shared" si="0"/>
        <v>0</v>
      </c>
      <c r="M25" s="1826"/>
    </row>
    <row r="26" spans="2:14" ht="20.100000000000001" customHeight="1" x14ac:dyDescent="0.2">
      <c r="B26" s="1113" t="s">
        <v>2142</v>
      </c>
      <c r="C26" s="1824">
        <v>84.01</v>
      </c>
      <c r="D26" s="1825" t="s">
        <v>2101</v>
      </c>
      <c r="E26" s="1826"/>
      <c r="F26" s="1826">
        <f>129169</f>
        <v>129169</v>
      </c>
      <c r="G26" s="1826"/>
      <c r="H26" s="1826"/>
      <c r="I26" s="1826">
        <v>184295</v>
      </c>
      <c r="J26" s="1826"/>
      <c r="K26" s="1826"/>
      <c r="L26" s="1823">
        <f>+G26+I26+K26</f>
        <v>184295</v>
      </c>
      <c r="M26" s="1826">
        <v>272627</v>
      </c>
    </row>
    <row r="27" spans="2:14" ht="20.100000000000001" customHeight="1" x14ac:dyDescent="0.2">
      <c r="B27" s="1113" t="s">
        <v>2143</v>
      </c>
      <c r="C27" s="1824">
        <v>84.01</v>
      </c>
      <c r="D27" s="1825" t="s">
        <v>2127</v>
      </c>
      <c r="E27" s="1826">
        <v>181939</v>
      </c>
      <c r="F27" s="1826">
        <v>54525</v>
      </c>
      <c r="G27" s="1826">
        <v>236464</v>
      </c>
      <c r="H27" s="1826"/>
      <c r="I27" s="1826"/>
      <c r="J27" s="1826"/>
      <c r="K27" s="1826"/>
      <c r="L27" s="1823">
        <f t="shared" si="0"/>
        <v>236464</v>
      </c>
      <c r="M27" s="1826">
        <v>270006</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A389-2F30-4B54-99AC-5F78A2EEDF6F}">
  <dimension ref="B1:N152"/>
  <sheetViews>
    <sheetView showGridLines="0" zoomScaleNormal="100" workbookViewId="0">
      <selection activeCell="L28" sqref="L2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497" t="str">
        <f>'Single Audit Cover'!A7</f>
        <v>Coal City CUSD 1</v>
      </c>
      <c r="C1" s="2567"/>
      <c r="D1" s="2567"/>
      <c r="E1" s="2567"/>
      <c r="F1" s="2567"/>
      <c r="G1" s="2567"/>
      <c r="H1" s="2567"/>
      <c r="I1" s="2567"/>
      <c r="J1" s="2567"/>
      <c r="K1" s="2567"/>
      <c r="L1" s="2567"/>
      <c r="M1" s="2567"/>
    </row>
    <row r="2" spans="2:14" ht="15" x14ac:dyDescent="0.2">
      <c r="B2" s="2568">
        <f>'Single Audit Cover'!E7</f>
        <v>24032001026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2144</v>
      </c>
      <c r="C11" s="1821"/>
      <c r="D11" s="1822"/>
      <c r="E11" s="1823"/>
      <c r="F11" s="1823"/>
      <c r="G11" s="1823"/>
      <c r="H11" s="1823"/>
      <c r="I11" s="1823"/>
      <c r="J11" s="1823"/>
      <c r="K11" s="1823"/>
      <c r="L11" s="1823"/>
      <c r="M11" s="1823"/>
    </row>
    <row r="12" spans="2:14" ht="20.100000000000001" customHeight="1" x14ac:dyDescent="0.2">
      <c r="B12" s="1113" t="s">
        <v>2145</v>
      </c>
      <c r="C12" s="1824"/>
      <c r="D12" s="1825"/>
      <c r="E12" s="1826"/>
      <c r="F12" s="1826"/>
      <c r="G12" s="1826"/>
      <c r="H12" s="1826"/>
      <c r="I12" s="1826"/>
      <c r="J12" s="1826"/>
      <c r="K12" s="1826"/>
      <c r="L12" s="1823"/>
      <c r="M12" s="1826"/>
    </row>
    <row r="13" spans="2:14" ht="20.100000000000001" customHeight="1" x14ac:dyDescent="0.2">
      <c r="B13" s="1113" t="s">
        <v>2146</v>
      </c>
      <c r="C13" s="1824">
        <v>84.42</v>
      </c>
      <c r="D13" s="1825" t="s">
        <v>2128</v>
      </c>
      <c r="E13" s="1826"/>
      <c r="F13" s="1826">
        <v>0</v>
      </c>
      <c r="G13" s="1826"/>
      <c r="H13" s="1826"/>
      <c r="I13" s="1826">
        <v>0</v>
      </c>
      <c r="J13" s="1826"/>
      <c r="K13" s="1826"/>
      <c r="L13" s="1823">
        <f t="shared" ref="L13" si="0">+G13+I13+K13</f>
        <v>0</v>
      </c>
      <c r="M13" s="1826">
        <v>4589</v>
      </c>
    </row>
    <row r="14" spans="2:14" ht="20.100000000000001" customHeight="1" x14ac:dyDescent="0.2">
      <c r="B14" s="1113" t="s">
        <v>2147</v>
      </c>
      <c r="C14" s="1824">
        <v>84.42</v>
      </c>
      <c r="D14" s="1825" t="s">
        <v>2129</v>
      </c>
      <c r="E14" s="1826">
        <v>16218</v>
      </c>
      <c r="F14" s="1826"/>
      <c r="G14" s="1826">
        <v>16218</v>
      </c>
      <c r="H14" s="1826"/>
      <c r="I14" s="1826"/>
      <c r="J14" s="1826"/>
      <c r="K14" s="1826"/>
      <c r="L14" s="1823">
        <f>+G14+I14+K14</f>
        <v>16218</v>
      </c>
      <c r="M14" s="1826">
        <v>20807</v>
      </c>
    </row>
    <row r="15" spans="2:14" ht="20.100000000000001" customHeight="1" x14ac:dyDescent="0.2">
      <c r="B15" s="1113" t="s">
        <v>2148</v>
      </c>
      <c r="C15" s="1824">
        <v>84.03</v>
      </c>
      <c r="D15" s="1825" t="s">
        <v>2130</v>
      </c>
      <c r="E15" s="1826"/>
      <c r="F15" s="1826">
        <v>6664</v>
      </c>
      <c r="G15" s="1826"/>
      <c r="H15" s="1826"/>
      <c r="I15" s="1826">
        <v>9005</v>
      </c>
      <c r="J15" s="1826"/>
      <c r="K15" s="1826"/>
      <c r="L15" s="1823">
        <f t="shared" ref="L15:L22" si="1">G15+I15+K15</f>
        <v>9005</v>
      </c>
      <c r="M15" s="1826">
        <v>11207</v>
      </c>
    </row>
    <row r="16" spans="2:14" ht="20.100000000000001" customHeight="1" x14ac:dyDescent="0.2">
      <c r="B16" s="1113" t="s">
        <v>2149</v>
      </c>
      <c r="C16" s="1824">
        <v>84.03</v>
      </c>
      <c r="D16" s="1825" t="s">
        <v>2131</v>
      </c>
      <c r="E16" s="1826">
        <v>7494</v>
      </c>
      <c r="F16" s="1826">
        <v>1653</v>
      </c>
      <c r="G16" s="1826">
        <v>9147</v>
      </c>
      <c r="H16" s="1826"/>
      <c r="I16" s="1826"/>
      <c r="J16" s="1826"/>
      <c r="K16" s="1826"/>
      <c r="L16" s="1823">
        <f t="shared" si="1"/>
        <v>9147</v>
      </c>
      <c r="M16" s="1826">
        <v>9147</v>
      </c>
    </row>
    <row r="17" spans="2:14" ht="20.100000000000001" customHeight="1" x14ac:dyDescent="0.2">
      <c r="B17" s="1113" t="s">
        <v>2150</v>
      </c>
      <c r="C17" s="1824">
        <v>84.03</v>
      </c>
      <c r="D17" s="1825" t="s">
        <v>2132</v>
      </c>
      <c r="E17" s="1826"/>
      <c r="F17" s="1826">
        <v>287927</v>
      </c>
      <c r="G17" s="1826"/>
      <c r="H17" s="1826"/>
      <c r="I17" s="1826">
        <v>435721</v>
      </c>
      <c r="J17" s="1826"/>
      <c r="K17" s="1826"/>
      <c r="L17" s="1823">
        <f t="shared" si="1"/>
        <v>435721</v>
      </c>
      <c r="M17" s="1826">
        <v>435721</v>
      </c>
    </row>
    <row r="18" spans="2:14" ht="20.100000000000001" customHeight="1" x14ac:dyDescent="0.2">
      <c r="B18" s="1113" t="s">
        <v>2151</v>
      </c>
      <c r="C18" s="1824">
        <v>84.03</v>
      </c>
      <c r="D18" s="1825" t="s">
        <v>2133</v>
      </c>
      <c r="E18" s="1826">
        <v>377774</v>
      </c>
      <c r="F18" s="1826">
        <v>54109</v>
      </c>
      <c r="G18" s="1826">
        <v>431883</v>
      </c>
      <c r="H18" s="1826"/>
      <c r="I18" s="1826"/>
      <c r="J18" s="1826"/>
      <c r="K18" s="1826"/>
      <c r="L18" s="1823">
        <f t="shared" si="1"/>
        <v>431883</v>
      </c>
      <c r="M18" s="1826">
        <v>431883</v>
      </c>
    </row>
    <row r="19" spans="2:14" ht="20.100000000000001" customHeight="1" x14ac:dyDescent="0.2">
      <c r="B19" s="1113" t="s">
        <v>2152</v>
      </c>
      <c r="C19" s="1824">
        <v>84.37</v>
      </c>
      <c r="D19" s="1825" t="s">
        <v>2134</v>
      </c>
      <c r="E19" s="1826"/>
      <c r="F19" s="1826"/>
      <c r="G19" s="1826"/>
      <c r="H19" s="1826"/>
      <c r="I19" s="1826"/>
      <c r="J19" s="1826"/>
      <c r="K19" s="1826"/>
      <c r="L19" s="1823">
        <f t="shared" si="1"/>
        <v>0</v>
      </c>
      <c r="M19" s="1826">
        <v>500</v>
      </c>
    </row>
    <row r="20" spans="2:14" ht="20.100000000000001" customHeight="1" x14ac:dyDescent="0.2">
      <c r="B20" s="1113" t="s">
        <v>2153</v>
      </c>
      <c r="C20" s="1824" t="s">
        <v>2154</v>
      </c>
      <c r="D20" s="1825" t="s">
        <v>2155</v>
      </c>
      <c r="E20" s="1826"/>
      <c r="F20" s="1826"/>
      <c r="G20" s="1826"/>
      <c r="H20" s="1826"/>
      <c r="I20" s="1826">
        <v>62000</v>
      </c>
      <c r="J20" s="1826"/>
      <c r="K20" s="1826"/>
      <c r="L20" s="1823">
        <f t="shared" si="1"/>
        <v>62000</v>
      </c>
      <c r="M20" s="1826">
        <v>152771</v>
      </c>
    </row>
    <row r="21" spans="2:14" ht="20.100000000000001" customHeight="1" x14ac:dyDescent="0.2">
      <c r="B21" s="1113" t="s">
        <v>2156</v>
      </c>
      <c r="C21" s="1824" t="s">
        <v>2135</v>
      </c>
      <c r="D21" s="1825"/>
      <c r="E21" s="1826">
        <f>+SUM(E13:E20,' SEFA'!E26:E27)</f>
        <v>583425</v>
      </c>
      <c r="F21" s="1826">
        <f>+SUM(F13:F20,' SEFA'!F26:F27)</f>
        <v>534047</v>
      </c>
      <c r="G21" s="1826">
        <f>+SUM(G13:G20,' SEFA'!G26:G27)</f>
        <v>693712</v>
      </c>
      <c r="H21" s="1826"/>
      <c r="I21" s="1826">
        <f>+SUM(I13:I20,' SEFA'!I26:I27)</f>
        <v>691021</v>
      </c>
      <c r="J21" s="1826"/>
      <c r="K21" s="1826"/>
      <c r="L21" s="1823">
        <f>+G21+I21+K21</f>
        <v>1384733</v>
      </c>
      <c r="M21" s="1826">
        <f>+SUM(E13:E20,' SEFA'!E26:E27)</f>
        <v>583425</v>
      </c>
    </row>
    <row r="22" spans="2:14" ht="20.100000000000001" customHeight="1" x14ac:dyDescent="0.2">
      <c r="B22" s="1113" t="s">
        <v>2161</v>
      </c>
      <c r="C22" s="1824"/>
      <c r="D22" s="1825"/>
      <c r="E22" s="1826"/>
      <c r="F22" s="1826"/>
      <c r="G22" s="1826"/>
      <c r="H22" s="1826"/>
      <c r="I22" s="1826"/>
      <c r="J22" s="1826"/>
      <c r="K22" s="1826"/>
      <c r="L22" s="1823">
        <f t="shared" si="1"/>
        <v>0</v>
      </c>
      <c r="M22" s="1826"/>
    </row>
    <row r="23" spans="2:14" ht="20.100000000000001" customHeight="1" x14ac:dyDescent="0.2">
      <c r="B23" s="1113" t="s">
        <v>2160</v>
      </c>
      <c r="C23" s="1824"/>
      <c r="D23" s="1825"/>
      <c r="E23" s="1826"/>
      <c r="F23" s="1826"/>
      <c r="G23" s="1826"/>
      <c r="H23" s="1826"/>
      <c r="I23" s="1826"/>
      <c r="J23" s="1826"/>
      <c r="K23" s="1826"/>
      <c r="L23" s="1823">
        <f>+G23+I23+K23</f>
        <v>0</v>
      </c>
      <c r="M23" s="1826"/>
    </row>
    <row r="24" spans="2:14" ht="20.100000000000001" customHeight="1" x14ac:dyDescent="0.2">
      <c r="B24" s="1113" t="s">
        <v>2159</v>
      </c>
      <c r="C24" s="1824">
        <v>93.78</v>
      </c>
      <c r="D24" s="1825" t="s">
        <v>2136</v>
      </c>
      <c r="E24" s="1826"/>
      <c r="F24" s="1826">
        <v>25284</v>
      </c>
      <c r="G24" s="1826"/>
      <c r="H24" s="1826"/>
      <c r="I24" s="1826">
        <v>39900</v>
      </c>
      <c r="J24" s="1826"/>
      <c r="K24" s="1826"/>
      <c r="L24" s="1823">
        <f>+G24+I24+K24</f>
        <v>39900</v>
      </c>
      <c r="M24" s="1826" t="s">
        <v>2083</v>
      </c>
    </row>
    <row r="25" spans="2:14" ht="20.100000000000001" customHeight="1" x14ac:dyDescent="0.2">
      <c r="B25" s="1113" t="s">
        <v>2158</v>
      </c>
      <c r="C25" s="1824">
        <v>93.78</v>
      </c>
      <c r="D25" s="1825" t="s">
        <v>2137</v>
      </c>
      <c r="E25" s="1826">
        <v>26370</v>
      </c>
      <c r="F25" s="1826">
        <v>10009</v>
      </c>
      <c r="G25" s="1826">
        <v>37894</v>
      </c>
      <c r="H25" s="1826"/>
      <c r="I25" s="1826">
        <v>0</v>
      </c>
      <c r="J25" s="1826"/>
      <c r="K25" s="1826"/>
      <c r="L25" s="1823">
        <f>+G25+I25+K25</f>
        <v>37894</v>
      </c>
      <c r="M25" s="1826" t="s">
        <v>2083</v>
      </c>
    </row>
    <row r="26" spans="2:14" ht="20.100000000000001" customHeight="1" x14ac:dyDescent="0.2">
      <c r="B26" s="1113" t="s">
        <v>2157</v>
      </c>
      <c r="C26" s="1824"/>
      <c r="D26" s="1825"/>
      <c r="E26" s="1826">
        <f>+E25</f>
        <v>26370</v>
      </c>
      <c r="F26" s="1826">
        <f>+F24+F25</f>
        <v>35293</v>
      </c>
      <c r="G26" s="1826">
        <f>+G25</f>
        <v>37894</v>
      </c>
      <c r="H26" s="1826"/>
      <c r="I26" s="1826">
        <f>+I24</f>
        <v>39900</v>
      </c>
      <c r="J26" s="1826"/>
      <c r="K26" s="1826"/>
      <c r="L26" s="1823">
        <f>+G26+I26+K26</f>
        <v>77794</v>
      </c>
      <c r="M26" s="1826"/>
    </row>
    <row r="27" spans="2:14" ht="20.100000000000001" customHeight="1" x14ac:dyDescent="0.2">
      <c r="B27" s="1113" t="s">
        <v>2138</v>
      </c>
      <c r="C27" s="1824"/>
      <c r="D27" s="1825"/>
      <c r="E27" s="1826">
        <f>+E26+E21+' SEFA'!E22</f>
        <v>852297</v>
      </c>
      <c r="F27" s="1826">
        <f>+F26+F21+' SEFA'!F22</f>
        <v>857471</v>
      </c>
      <c r="G27" s="1826">
        <f>+G26+G21+' SEFA'!G22</f>
        <v>974108</v>
      </c>
      <c r="H27" s="1826"/>
      <c r="I27" s="1826">
        <f>+I26+I21+' SEFA'!I22</f>
        <v>1024476</v>
      </c>
      <c r="J27" s="1826"/>
      <c r="K27" s="1826"/>
      <c r="L27" s="1823">
        <f>+G27+I27+K27</f>
        <v>1998584</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Normal="100" workbookViewId="0">
      <selection activeCell="J118" sqref="J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1986</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1986</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2057</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t="s">
        <v>2081</v>
      </c>
      <c r="E118" s="300"/>
      <c r="F118" s="2035">
        <v>44076</v>
      </c>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Coal City CUSD 1</v>
      </c>
      <c r="B1" s="2572"/>
      <c r="C1" s="2572"/>
      <c r="D1" s="2572"/>
      <c r="E1" s="2572"/>
      <c r="F1" s="2572"/>
    </row>
    <row r="2" spans="1:7" ht="13.5" customHeight="1" x14ac:dyDescent="0.2">
      <c r="A2" s="2568">
        <f>'Single Audit Cover'!E7</f>
        <v>24032001026</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2102</v>
      </c>
      <c r="B7" s="2571"/>
      <c r="C7" s="2571"/>
      <c r="D7" s="2571"/>
      <c r="E7" s="2571"/>
      <c r="F7" s="257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2103</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t="s">
        <v>2104</v>
      </c>
      <c r="C17" s="1061" t="s">
        <v>2083</v>
      </c>
      <c r="D17" s="2575">
        <v>0</v>
      </c>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2105</v>
      </c>
      <c r="B32" s="2579"/>
      <c r="C32" s="2579"/>
      <c r="D32" s="2579"/>
      <c r="E32" s="2579"/>
      <c r="F32" s="2579"/>
    </row>
    <row r="33" spans="1:6" ht="13.5" customHeight="1" x14ac:dyDescent="0.2">
      <c r="A33" s="306" t="s">
        <v>1417</v>
      </c>
      <c r="B33" s="306"/>
      <c r="C33" s="1064">
        <v>43583</v>
      </c>
      <c r="D33" s="1526"/>
      <c r="E33" s="1062"/>
    </row>
    <row r="34" spans="1:6" ht="13.5" customHeight="1" x14ac:dyDescent="0.2">
      <c r="A34" s="306" t="s">
        <v>1808</v>
      </c>
      <c r="B34" s="306"/>
      <c r="C34" s="1065">
        <v>17398</v>
      </c>
      <c r="D34" s="1526" t="s">
        <v>1572</v>
      </c>
      <c r="E34" s="2580">
        <f>+C33+C34</f>
        <v>60981</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568</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1" zoomScale="110" zoomScaleNormal="110" workbookViewId="0">
      <selection activeCell="G50" sqref="G50"/>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Coal City CUSD 1</v>
      </c>
      <c r="C1" s="2588"/>
      <c r="D1" s="2588"/>
      <c r="E1" s="2588"/>
      <c r="F1" s="2588"/>
      <c r="G1" s="2588"/>
      <c r="H1" s="2588"/>
      <c r="I1" s="2588"/>
      <c r="J1" s="1178"/>
    </row>
    <row r="2" spans="2:10" s="295" customFormat="1" ht="12.75" customHeight="1" x14ac:dyDescent="0.2">
      <c r="B2" s="2589">
        <f>'Single Audit Cover'!E7</f>
        <v>24032001026</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t="s">
        <v>2106</v>
      </c>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t="s">
        <v>2106</v>
      </c>
      <c r="E29" s="2594"/>
      <c r="F29" s="2594"/>
      <c r="G29" s="2594"/>
      <c r="H29" s="2594"/>
      <c r="I29" s="2594"/>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5" t="s">
        <v>1725</v>
      </c>
      <c r="D37" s="2596"/>
      <c r="E37" s="2596"/>
      <c r="F37" s="2597"/>
      <c r="G37" s="2595" t="s">
        <v>1575</v>
      </c>
      <c r="H37" s="2596"/>
      <c r="I37" s="2597"/>
    </row>
    <row r="38" spans="2:9" ht="16.5" customHeight="1" x14ac:dyDescent="0.2">
      <c r="B38" s="1200" t="s">
        <v>2107</v>
      </c>
      <c r="C38" s="2583" t="s">
        <v>2108</v>
      </c>
      <c r="D38" s="2584"/>
      <c r="E38" s="2584"/>
      <c r="F38" s="2585"/>
      <c r="G38" s="2598">
        <v>293555</v>
      </c>
      <c r="H38" s="2599"/>
      <c r="I38" s="2600"/>
    </row>
    <row r="39" spans="2:9" ht="16.5" customHeight="1" x14ac:dyDescent="0.2">
      <c r="B39" s="1200">
        <v>84.01</v>
      </c>
      <c r="C39" s="2583" t="s">
        <v>2109</v>
      </c>
      <c r="D39" s="2584"/>
      <c r="E39" s="2584"/>
      <c r="F39" s="2585"/>
      <c r="G39" s="2586">
        <v>184295</v>
      </c>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477850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1024476</v>
      </c>
      <c r="E45" s="2606"/>
    </row>
    <row r="46" spans="2:9" ht="5.25" customHeight="1" x14ac:dyDescent="0.2">
      <c r="B46" s="1201"/>
      <c r="D46" s="1202"/>
      <c r="E46" s="1203"/>
    </row>
    <row r="47" spans="2:9" ht="12.75" customHeight="1" x14ac:dyDescent="0.2">
      <c r="B47" s="1076" t="s">
        <v>1577</v>
      </c>
      <c r="C47" s="1076"/>
      <c r="D47" s="1204">
        <f>+G43/D45</f>
        <v>0.46643357189431472</v>
      </c>
      <c r="E47" s="1205"/>
      <c r="F47" s="1206"/>
      <c r="I47" s="1207"/>
    </row>
    <row r="48" spans="2:9" ht="9.9499999999999993" customHeight="1" x14ac:dyDescent="0.2"/>
    <row r="49" spans="1:9" x14ac:dyDescent="0.2">
      <c r="B49" s="1138" t="s">
        <v>1262</v>
      </c>
      <c r="C49" s="1058"/>
      <c r="D49" s="1058"/>
      <c r="E49" s="2607">
        <v>750000</v>
      </c>
      <c r="F49" s="2607"/>
      <c r="G49" s="2607"/>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Coal City CUSD 1</v>
      </c>
      <c r="C1" s="2587"/>
      <c r="D1" s="2587"/>
      <c r="E1" s="2587"/>
      <c r="F1" s="2587"/>
      <c r="G1" s="2587"/>
      <c r="H1" s="2587"/>
      <c r="I1" s="2587"/>
      <c r="J1" s="2587"/>
      <c r="K1" s="2587"/>
      <c r="L1" s="1144"/>
      <c r="M1" s="1144"/>
    </row>
    <row r="2" spans="1:13" ht="12" customHeight="1" x14ac:dyDescent="0.2">
      <c r="B2" s="2589">
        <f>'Single Audit Cover'!E7</f>
        <v>24032001026</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t="s">
        <v>2083</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Coal City CUSD 1</v>
      </c>
      <c r="C1" s="2614"/>
      <c r="D1" s="2614"/>
      <c r="E1" s="2614"/>
      <c r="F1" s="2614"/>
      <c r="G1" s="2614"/>
      <c r="H1" s="2614"/>
      <c r="I1" s="2614"/>
      <c r="J1" s="2614"/>
      <c r="K1" s="2614"/>
      <c r="L1" s="1221"/>
    </row>
    <row r="2" spans="1:12" ht="12.75" customHeight="1" x14ac:dyDescent="0.2">
      <c r="B2" s="2615">
        <f>'Single Audit Cover'!E7</f>
        <v>24032001026</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t="s">
        <v>2083</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J13" sqref="J1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Coal City CUSD 1</v>
      </c>
      <c r="C1" s="2587"/>
      <c r="D1" s="2587"/>
      <c r="E1" s="1240"/>
    </row>
    <row r="2" spans="2:5" s="1058" customFormat="1" ht="12.75" customHeight="1" x14ac:dyDescent="0.2">
      <c r="B2" s="2589">
        <f>'Single Audit Cover'!E7</f>
        <v>24032001026</v>
      </c>
      <c r="C2" s="2589"/>
      <c r="D2" s="2589"/>
      <c r="E2" s="1241"/>
    </row>
    <row r="3" spans="2:5" ht="12.75" customHeight="1" x14ac:dyDescent="0.2">
      <c r="B3" s="2610" t="s">
        <v>1740</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2104</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L15" sqref="L1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809561545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1.9775000000000001E-2</v>
      </c>
      <c r="E10" s="333" t="s">
        <v>998</v>
      </c>
      <c r="F10" s="332">
        <v>4.5999999999999999E-3</v>
      </c>
      <c r="G10" s="333" t="s">
        <v>998</v>
      </c>
      <c r="H10" s="332">
        <v>1.6999999999999999E-3</v>
      </c>
      <c r="I10" s="333" t="s">
        <v>999</v>
      </c>
      <c r="J10" s="1424">
        <f>ROUND(D10+F10+H10,5)</f>
        <v>2.6079999999999999E-2</v>
      </c>
      <c r="K10" s="217"/>
      <c r="L10" s="332">
        <v>1.2999999999999999E-4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28032863</v>
      </c>
      <c r="E16" s="1547"/>
      <c r="F16" s="1546">
        <f>SUM('Acct Summary 7-8'!C17,'Acct Summary 7-8'!D17,'Acct Summary 7-8'!F17)</f>
        <v>27735867</v>
      </c>
      <c r="G16" s="1547"/>
      <c r="H16" s="1546">
        <f>SUM(D16-F16)</f>
        <v>296996</v>
      </c>
      <c r="I16" s="1548"/>
      <c r="J16" s="1546">
        <f>SUM('Acct Summary 7-8'!C81,'Acct Summary 7-8'!D81,'Acct Summary 7-8'!F81,'Acct Summary 7-8'!I81)</f>
        <v>16992284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111719493.21000001</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30150000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Coal City CUSD 1</v>
      </c>
      <c r="E7" s="368"/>
      <c r="G7" s="247"/>
      <c r="H7" s="364"/>
      <c r="I7" s="364"/>
      <c r="J7" s="364"/>
      <c r="K7" s="364"/>
      <c r="L7" s="307"/>
      <c r="M7" s="307"/>
      <c r="N7" s="307"/>
      <c r="O7" s="307"/>
      <c r="P7" s="307"/>
    </row>
    <row r="8" spans="1:18" ht="12.75" x14ac:dyDescent="0.2">
      <c r="A8" s="307"/>
      <c r="B8" s="307"/>
      <c r="C8" s="366" t="s">
        <v>1115</v>
      </c>
      <c r="D8" s="369">
        <f>COVER!A13</f>
        <v>24032001026</v>
      </c>
      <c r="E8" s="370"/>
      <c r="G8" s="307"/>
      <c r="H8" s="307"/>
      <c r="I8" s="307"/>
      <c r="J8" s="307"/>
      <c r="K8" s="307"/>
      <c r="L8" s="307"/>
      <c r="M8" s="307"/>
      <c r="N8" s="307"/>
      <c r="O8" s="307"/>
      <c r="P8" s="307"/>
    </row>
    <row r="9" spans="1:18" ht="12.75" x14ac:dyDescent="0.2">
      <c r="A9" s="307"/>
      <c r="B9" s="307"/>
      <c r="C9" s="366" t="s">
        <v>708</v>
      </c>
      <c r="D9" s="371" t="str">
        <f>COVER!A15</f>
        <v>Grundy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16992284</v>
      </c>
      <c r="I12" s="380"/>
      <c r="J12" s="380"/>
      <c r="K12" s="1559">
        <f>TRUNC((H12/H13*100000),5)/100000</f>
        <v>0.60615585350000001</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28032863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27735867</v>
      </c>
      <c r="I17" s="380"/>
      <c r="J17" s="389"/>
      <c r="K17" s="1559">
        <f>TRUNC((H17/H18*100000),5)/100000</f>
        <v>0.98940543459999997</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28032863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17547692</v>
      </c>
      <c r="I24" s="394"/>
      <c r="J24" s="394"/>
      <c r="K24" s="1555">
        <f>TRUNC(((H24/H25*100000)/100000),2)</f>
        <v>227.76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77044.074999999997</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17946360.32956</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30150000</v>
      </c>
      <c r="I32" s="392"/>
      <c r="J32" s="392"/>
      <c r="K32" s="1555">
        <f>TRUNC(100-((((H32/H33*100))*100)/100),2)</f>
        <v>73.010000000000005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111719493.21000001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M23" sqref="M2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1017446</v>
      </c>
      <c r="D4" s="1573"/>
      <c r="E4" s="1573">
        <v>152284</v>
      </c>
      <c r="F4" s="1573">
        <v>109709</v>
      </c>
      <c r="G4" s="1573"/>
      <c r="H4" s="1573">
        <v>597071</v>
      </c>
      <c r="I4" s="1573">
        <v>22554</v>
      </c>
      <c r="J4" s="1574">
        <v>1653</v>
      </c>
      <c r="K4" s="1573">
        <v>26421</v>
      </c>
      <c r="L4" s="1573">
        <v>838320</v>
      </c>
      <c r="M4" s="1575"/>
      <c r="N4" s="1576"/>
    </row>
    <row r="5" spans="1:14" x14ac:dyDescent="0.2">
      <c r="A5" s="427" t="s">
        <v>985</v>
      </c>
      <c r="B5" s="429">
        <v>120</v>
      </c>
      <c r="C5" s="1572">
        <v>11115676</v>
      </c>
      <c r="D5" s="1573">
        <v>1968262</v>
      </c>
      <c r="E5" s="1573"/>
      <c r="F5" s="1573">
        <v>2494343</v>
      </c>
      <c r="G5" s="1573">
        <v>301786</v>
      </c>
      <c r="H5" s="1573"/>
      <c r="I5" s="1573">
        <v>819702</v>
      </c>
      <c r="J5" s="1574">
        <v>494097</v>
      </c>
      <c r="K5" s="1577">
        <v>371803</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12133122</v>
      </c>
      <c r="D13" s="1587">
        <f t="shared" ref="D13:L13" si="0">SUM(D4:D12)</f>
        <v>1968262</v>
      </c>
      <c r="E13" s="1587">
        <f t="shared" si="0"/>
        <v>152284</v>
      </c>
      <c r="F13" s="1587">
        <f t="shared" si="0"/>
        <v>2604052</v>
      </c>
      <c r="G13" s="1587">
        <f t="shared" si="0"/>
        <v>301786</v>
      </c>
      <c r="H13" s="1587">
        <f t="shared" si="0"/>
        <v>597071</v>
      </c>
      <c r="I13" s="1587">
        <f t="shared" si="0"/>
        <v>842256</v>
      </c>
      <c r="J13" s="1587">
        <f t="shared" si="0"/>
        <v>495750</v>
      </c>
      <c r="K13" s="1587">
        <f t="shared" si="0"/>
        <v>398224</v>
      </c>
      <c r="L13" s="1587">
        <f t="shared" si="0"/>
        <v>838320</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6457620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50072414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1078446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513038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36062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30113938</v>
      </c>
    </row>
    <row r="23" spans="1:14" ht="13.5" customHeight="1" thickBot="1" x14ac:dyDescent="0.25">
      <c r="A23" s="1426" t="s">
        <v>638</v>
      </c>
      <c r="B23" s="1429"/>
      <c r="C23" s="1575"/>
      <c r="D23" s="1575"/>
      <c r="E23" s="1575"/>
      <c r="F23" s="1575"/>
      <c r="G23" s="1575"/>
      <c r="H23" s="1575"/>
      <c r="I23" s="1575"/>
      <c r="J23" s="1575"/>
      <c r="K23" s="1575"/>
      <c r="L23" s="1575"/>
      <c r="M23" s="1594">
        <f>SUM(M15:M22)</f>
        <v>58121518</v>
      </c>
      <c r="N23" s="1594">
        <f>SUM(N21:N22)</f>
        <v>30150000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v>258137</v>
      </c>
      <c r="E27" s="1574">
        <v>116222</v>
      </c>
      <c r="F27" s="1574"/>
      <c r="G27" s="1574">
        <v>17116</v>
      </c>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289308</v>
      </c>
      <c r="D30" s="1579">
        <v>7963</v>
      </c>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838320</v>
      </c>
      <c r="M33" s="1575"/>
      <c r="N33" s="1576"/>
    </row>
    <row r="34" spans="1:14" ht="13.5" customHeight="1" thickBot="1" x14ac:dyDescent="0.25">
      <c r="A34" s="1427" t="s">
        <v>649</v>
      </c>
      <c r="B34" s="1428"/>
      <c r="C34" s="1600">
        <f>SUM(C25:C33)</f>
        <v>289308</v>
      </c>
      <c r="D34" s="1600">
        <f t="shared" ref="D34:K34" si="1">SUM(D25:D33)</f>
        <v>266100</v>
      </c>
      <c r="E34" s="1600">
        <f t="shared" si="1"/>
        <v>116222</v>
      </c>
      <c r="F34" s="1600">
        <f t="shared" si="1"/>
        <v>0</v>
      </c>
      <c r="G34" s="1600">
        <f t="shared" si="1"/>
        <v>17116</v>
      </c>
      <c r="H34" s="1600">
        <f t="shared" si="1"/>
        <v>0</v>
      </c>
      <c r="I34" s="1600">
        <f t="shared" si="1"/>
        <v>0</v>
      </c>
      <c r="J34" s="1600">
        <f t="shared" si="1"/>
        <v>0</v>
      </c>
      <c r="K34" s="1600">
        <f t="shared" si="1"/>
        <v>0</v>
      </c>
      <c r="L34" s="1601">
        <f>SUM(L33)</f>
        <v>838320</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30150000</v>
      </c>
    </row>
    <row r="37" spans="1:14" ht="13.5" thickBot="1" x14ac:dyDescent="0.25">
      <c r="A37" s="1426" t="s">
        <v>648</v>
      </c>
      <c r="B37" s="1429"/>
      <c r="C37" s="1582"/>
      <c r="D37" s="1582"/>
      <c r="E37" s="1582"/>
      <c r="F37" s="1582"/>
      <c r="G37" s="1582"/>
      <c r="H37" s="1582"/>
      <c r="I37" s="1582"/>
      <c r="J37" s="1582"/>
      <c r="K37" s="1582"/>
      <c r="L37" s="1585"/>
      <c r="M37" s="1575"/>
      <c r="N37" s="1594">
        <f>SUM(N36:N36)</f>
        <v>30150000</v>
      </c>
    </row>
    <row r="38" spans="1:14" s="307" customFormat="1" ht="13.5" customHeight="1" thickTop="1" x14ac:dyDescent="0.2">
      <c r="A38" s="438" t="s">
        <v>417</v>
      </c>
      <c r="B38" s="432">
        <v>714</v>
      </c>
      <c r="C38" s="1573">
        <v>1399567</v>
      </c>
      <c r="D38" s="1573">
        <v>58000</v>
      </c>
      <c r="E38" s="1573">
        <v>36062</v>
      </c>
      <c r="F38" s="1573"/>
      <c r="G38" s="1573">
        <v>411567</v>
      </c>
      <c r="H38" s="1573">
        <v>597071</v>
      </c>
      <c r="I38" s="1573"/>
      <c r="J38" s="1574">
        <v>495750</v>
      </c>
      <c r="K38" s="1573">
        <v>398224</v>
      </c>
      <c r="L38" s="1586"/>
      <c r="M38" s="1604"/>
      <c r="N38" s="1604"/>
    </row>
    <row r="39" spans="1:14" s="307" customFormat="1" ht="13.5" customHeight="1" x14ac:dyDescent="0.2">
      <c r="A39" s="438" t="s">
        <v>339</v>
      </c>
      <c r="B39" s="432">
        <v>730</v>
      </c>
      <c r="C39" s="1573">
        <v>10444247</v>
      </c>
      <c r="D39" s="1573">
        <v>1644162</v>
      </c>
      <c r="E39" s="1573"/>
      <c r="F39" s="1573">
        <v>2604052</v>
      </c>
      <c r="G39" s="1573">
        <v>-126897</v>
      </c>
      <c r="H39" s="1573"/>
      <c r="I39" s="1573">
        <v>842256</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58121510</v>
      </c>
      <c r="N40" s="1604"/>
    </row>
    <row r="41" spans="1:14" ht="13.5" customHeight="1" thickBot="1" x14ac:dyDescent="0.25">
      <c r="A41" s="1426" t="s">
        <v>650</v>
      </c>
      <c r="B41" s="1405"/>
      <c r="C41" s="1594">
        <f>(SUM(C34,C37,C38,C39))</f>
        <v>12133122</v>
      </c>
      <c r="D41" s="1594">
        <f t="shared" ref="D41:L41" si="2">SUM(D34,D37,D38:D39)</f>
        <v>1968262</v>
      </c>
      <c r="E41" s="1594">
        <f t="shared" si="2"/>
        <v>152284</v>
      </c>
      <c r="F41" s="1594">
        <f t="shared" si="2"/>
        <v>2604052</v>
      </c>
      <c r="G41" s="1594">
        <f t="shared" si="2"/>
        <v>301786</v>
      </c>
      <c r="H41" s="1594">
        <f t="shared" si="2"/>
        <v>597071</v>
      </c>
      <c r="I41" s="1594">
        <f t="shared" si="2"/>
        <v>842256</v>
      </c>
      <c r="J41" s="1594">
        <f t="shared" si="2"/>
        <v>495750</v>
      </c>
      <c r="K41" s="1594">
        <f t="shared" si="2"/>
        <v>398224</v>
      </c>
      <c r="L41" s="1594">
        <f t="shared" si="2"/>
        <v>838320</v>
      </c>
      <c r="M41" s="1594">
        <f>SUM(M40)</f>
        <v>58121510</v>
      </c>
      <c r="N41" s="1594">
        <f>SUM(N37)</f>
        <v>30150000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7" sqref="C7:K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19394924</v>
      </c>
      <c r="D4" s="1606">
        <f>'Revenues 9-14'!D109</f>
        <v>3429251</v>
      </c>
      <c r="E4" s="1606">
        <f>'Revenues 9-14'!E109</f>
        <v>3445758</v>
      </c>
      <c r="F4" s="1606">
        <f>'Revenues 9-14'!F109</f>
        <v>1441959</v>
      </c>
      <c r="G4" s="1606">
        <f>'Revenues 9-14'!G109</f>
        <v>737042</v>
      </c>
      <c r="H4" s="1606">
        <f>'Revenues 9-14'!H109</f>
        <v>48236</v>
      </c>
      <c r="I4" s="1606">
        <f>'Revenues 9-14'!I109</f>
        <v>239286</v>
      </c>
      <c r="J4" s="1606">
        <f>'Revenues 9-14'!J109</f>
        <v>239292</v>
      </c>
      <c r="K4" s="1606">
        <f>'Revenues 9-14'!K109</f>
        <v>39870</v>
      </c>
      <c r="L4" s="325"/>
    </row>
    <row r="5" spans="1:13" ht="15.75" customHeight="1" x14ac:dyDescent="0.2">
      <c r="A5" s="1314" t="s">
        <v>1483</v>
      </c>
      <c r="B5" s="1315">
        <v>2000</v>
      </c>
      <c r="C5" s="1607">
        <f>'Revenues 9-14'!C114</f>
        <v>22901</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1671170</v>
      </c>
      <c r="D6" s="1607">
        <f>'Revenues 9-14'!D170</f>
        <v>50000</v>
      </c>
      <c r="E6" s="1607">
        <f>'Revenues 9-14'!E170</f>
        <v>0</v>
      </c>
      <c r="F6" s="1607">
        <f>'Revenues 9-14'!F170</f>
        <v>879680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903692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21992687</v>
      </c>
      <c r="D8" s="1594">
        <f t="shared" ref="D8:K8" si="0">SUM(D4:D7)</f>
        <v>3479251</v>
      </c>
      <c r="E8" s="1594">
        <f t="shared" si="0"/>
        <v>3445758</v>
      </c>
      <c r="F8" s="1594">
        <f t="shared" si="0"/>
        <v>2321639</v>
      </c>
      <c r="G8" s="1594">
        <f t="shared" si="0"/>
        <v>737042</v>
      </c>
      <c r="H8" s="1594">
        <f t="shared" si="0"/>
        <v>48236</v>
      </c>
      <c r="I8" s="1594">
        <f t="shared" si="0"/>
        <v>239286</v>
      </c>
      <c r="J8" s="1594">
        <f t="shared" si="0"/>
        <v>239292</v>
      </c>
      <c r="K8" s="1594">
        <f t="shared" si="0"/>
        <v>39870</v>
      </c>
      <c r="L8" s="325"/>
    </row>
    <row r="9" spans="1:13" ht="15.75" thickTop="1" x14ac:dyDescent="0.2">
      <c r="A9" s="449" t="s">
        <v>1634</v>
      </c>
      <c r="B9" s="450">
        <v>3998</v>
      </c>
      <c r="C9" s="1586">
        <v>1702504</v>
      </c>
      <c r="D9" s="1613"/>
      <c r="E9" s="1586"/>
      <c r="F9" s="1586"/>
      <c r="G9" s="1614"/>
      <c r="H9" s="1586"/>
      <c r="I9" s="1609" t="s">
        <v>1159</v>
      </c>
      <c r="J9" s="1583"/>
      <c r="K9" s="1586"/>
      <c r="L9" s="325"/>
    </row>
    <row r="10" spans="1:13" s="452" customFormat="1" ht="13.5" thickBot="1" x14ac:dyDescent="0.25">
      <c r="A10" s="1426" t="s">
        <v>1163</v>
      </c>
      <c r="B10" s="1407"/>
      <c r="C10" s="1594">
        <f>SUM(C8:C9)</f>
        <v>23695191</v>
      </c>
      <c r="D10" s="1594">
        <f t="shared" ref="D10:K10" si="1">SUM(D8:D9)</f>
        <v>3479251</v>
      </c>
      <c r="E10" s="1594">
        <f t="shared" si="1"/>
        <v>3445758</v>
      </c>
      <c r="F10" s="1594">
        <f t="shared" si="1"/>
        <v>2321639</v>
      </c>
      <c r="G10" s="1594">
        <f t="shared" si="1"/>
        <v>737042</v>
      </c>
      <c r="H10" s="1594">
        <f t="shared" si="1"/>
        <v>48236</v>
      </c>
      <c r="I10" s="1594">
        <f t="shared" si="1"/>
        <v>239286</v>
      </c>
      <c r="J10" s="1594">
        <f t="shared" si="1"/>
        <v>239292</v>
      </c>
      <c r="K10" s="1594">
        <f t="shared" si="1"/>
        <v>39870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15868720</v>
      </c>
      <c r="D12" s="1616" t="s">
        <v>1159</v>
      </c>
      <c r="E12" s="1575" t="s">
        <v>1159</v>
      </c>
      <c r="F12" s="1575" t="s">
        <v>1159</v>
      </c>
      <c r="G12" s="1606">
        <f>'Expenditures 15-22'!K229</f>
        <v>305060</v>
      </c>
      <c r="H12" s="1617"/>
      <c r="I12" s="1575" t="s">
        <v>1159</v>
      </c>
      <c r="J12" s="1575" t="s">
        <v>1159</v>
      </c>
      <c r="K12" s="1617" t="s">
        <v>1159</v>
      </c>
      <c r="L12" s="325"/>
    </row>
    <row r="13" spans="1:13" ht="15.75" customHeight="1" x14ac:dyDescent="0.2">
      <c r="A13" s="1314" t="s">
        <v>454</v>
      </c>
      <c r="B13" s="1316">
        <v>2000</v>
      </c>
      <c r="C13" s="1607">
        <f>'Expenditures 15-22'!K74</f>
        <v>6009034</v>
      </c>
      <c r="D13" s="1607">
        <f>'Expenditures 15-22'!K129</f>
        <v>3040152</v>
      </c>
      <c r="E13" s="1576" t="s">
        <v>1159</v>
      </c>
      <c r="F13" s="1607">
        <f>'Expenditures 15-22'!K184</f>
        <v>2096948</v>
      </c>
      <c r="G13" s="1607">
        <f>'Expenditures 15-22'!K279</f>
        <v>385673</v>
      </c>
      <c r="H13" s="1607">
        <f>'Expenditures 15-22'!K303</f>
        <v>587867</v>
      </c>
      <c r="I13" s="1575" t="s">
        <v>1159</v>
      </c>
      <c r="J13" s="1607">
        <f>'Expenditures 15-22'!K330</f>
        <v>147774</v>
      </c>
      <c r="K13" s="1618">
        <f>'Expenditures 15-22'!K352</f>
        <v>600</v>
      </c>
      <c r="L13" s="325"/>
    </row>
    <row r="14" spans="1:13" ht="15.75" customHeight="1" x14ac:dyDescent="0.2">
      <c r="A14" s="1314" t="s">
        <v>446</v>
      </c>
      <c r="B14" s="1316">
        <v>3000</v>
      </c>
      <c r="C14" s="1607">
        <f>'Expenditures 15-22'!K75</f>
        <v>20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493965</v>
      </c>
      <c r="D15" s="1607">
        <f>'Expenditures 15-22'!K139</f>
        <v>227028</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3498832</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22371739</v>
      </c>
      <c r="D17" s="1594">
        <f t="shared" si="2"/>
        <v>3267180</v>
      </c>
      <c r="E17" s="1594">
        <f t="shared" si="2"/>
        <v>3498832</v>
      </c>
      <c r="F17" s="1594">
        <f t="shared" si="2"/>
        <v>2096948</v>
      </c>
      <c r="G17" s="1594">
        <f t="shared" si="2"/>
        <v>690733</v>
      </c>
      <c r="H17" s="1594">
        <f t="shared" si="2"/>
        <v>587867</v>
      </c>
      <c r="I17" s="1575"/>
      <c r="J17" s="1594">
        <f>SUM(J12:J16)</f>
        <v>147774</v>
      </c>
      <c r="K17" s="1594">
        <f>SUM(K12:K16)</f>
        <v>600</v>
      </c>
      <c r="L17" s="325"/>
    </row>
    <row r="18" spans="1:12" ht="15" customHeight="1" thickTop="1" x14ac:dyDescent="0.2">
      <c r="A18" s="1430" t="s">
        <v>1635</v>
      </c>
      <c r="B18" s="1431">
        <v>4180</v>
      </c>
      <c r="C18" s="1606">
        <f t="shared" ref="C18:H18" si="3">C9</f>
        <v>1702504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24074243</v>
      </c>
      <c r="D19" s="1594">
        <f t="shared" si="4"/>
        <v>3267180</v>
      </c>
      <c r="E19" s="1594">
        <f t="shared" si="4"/>
        <v>3498832</v>
      </c>
      <c r="F19" s="1594">
        <f t="shared" si="4"/>
        <v>2096948</v>
      </c>
      <c r="G19" s="1594">
        <f t="shared" si="4"/>
        <v>690733</v>
      </c>
      <c r="H19" s="1594">
        <f t="shared" si="4"/>
        <v>587867</v>
      </c>
      <c r="I19" s="1575"/>
      <c r="J19" s="1594">
        <f>SUM(J17:J18)</f>
        <v>147774</v>
      </c>
      <c r="K19" s="1594">
        <f>SUM(K17:K18)</f>
        <v>600</v>
      </c>
      <c r="L19" s="325"/>
    </row>
    <row r="20" spans="1:12" ht="16.5" thickTop="1" thickBot="1" x14ac:dyDescent="0.25">
      <c r="A20" s="2232" t="s">
        <v>1636</v>
      </c>
      <c r="B20" s="2233"/>
      <c r="C20" s="1622">
        <f>C8-C17</f>
        <v>-379052</v>
      </c>
      <c r="D20" s="1622">
        <f t="shared" ref="D20:K20" si="5">D8-D17</f>
        <v>212071</v>
      </c>
      <c r="E20" s="1622">
        <f t="shared" si="5"/>
        <v>-53074</v>
      </c>
      <c r="F20" s="1622">
        <f t="shared" si="5"/>
        <v>224691</v>
      </c>
      <c r="G20" s="1622">
        <f t="shared" si="5"/>
        <v>46309</v>
      </c>
      <c r="H20" s="1622">
        <f t="shared" si="5"/>
        <v>-539631</v>
      </c>
      <c r="I20" s="1622">
        <f t="shared" si="5"/>
        <v>239286</v>
      </c>
      <c r="J20" s="1622">
        <f t="shared" si="5"/>
        <v>91518</v>
      </c>
      <c r="K20" s="1622">
        <f t="shared" si="5"/>
        <v>39270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v>500000</v>
      </c>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500000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500000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500000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500000</v>
      </c>
      <c r="I77" s="1624">
        <f t="shared" si="8"/>
        <v>-500000</v>
      </c>
      <c r="J77" s="1624">
        <f t="shared" si="8"/>
        <v>0</v>
      </c>
      <c r="K77" s="1624">
        <f t="shared" si="8"/>
        <v>0</v>
      </c>
      <c r="L77" s="325"/>
    </row>
    <row r="78" spans="1:12" ht="21.75" customHeight="1" thickTop="1" thickBot="1" x14ac:dyDescent="0.25">
      <c r="A78" s="2228" t="s">
        <v>593</v>
      </c>
      <c r="B78" s="2229"/>
      <c r="C78" s="1629">
        <f t="shared" ref="C78:K78" si="9">C20+C77</f>
        <v>-379052</v>
      </c>
      <c r="D78" s="1629">
        <f t="shared" si="9"/>
        <v>212071</v>
      </c>
      <c r="E78" s="1629">
        <f t="shared" si="9"/>
        <v>-53074</v>
      </c>
      <c r="F78" s="1629">
        <f t="shared" si="9"/>
        <v>224691</v>
      </c>
      <c r="G78" s="1629">
        <f t="shared" si="9"/>
        <v>46309</v>
      </c>
      <c r="H78" s="1629">
        <f t="shared" si="9"/>
        <v>-39631</v>
      </c>
      <c r="I78" s="1629">
        <f t="shared" si="9"/>
        <v>-260714</v>
      </c>
      <c r="J78" s="1629">
        <f t="shared" si="9"/>
        <v>91518</v>
      </c>
      <c r="K78" s="1629">
        <f t="shared" si="9"/>
        <v>39270</v>
      </c>
      <c r="L78" s="457"/>
    </row>
    <row r="79" spans="1:12" ht="13.5" thickTop="1" x14ac:dyDescent="0.2">
      <c r="A79" s="1844" t="str">
        <f>"Fund Balances - July 1, "&amp;'AFR20'!E2-1</f>
        <v>Fund Balances - July 1, 2019</v>
      </c>
      <c r="B79" s="458"/>
      <c r="C79" s="1583">
        <v>12222866</v>
      </c>
      <c r="D79" s="1630">
        <v>1490091</v>
      </c>
      <c r="E79" s="1630">
        <v>89136</v>
      </c>
      <c r="F79" s="1630">
        <v>2379361</v>
      </c>
      <c r="G79" s="1630">
        <v>238361</v>
      </c>
      <c r="H79" s="1630">
        <v>636702</v>
      </c>
      <c r="I79" s="1630">
        <v>1102970</v>
      </c>
      <c r="J79" s="1630">
        <v>404232</v>
      </c>
      <c r="K79" s="1630">
        <v>358954</v>
      </c>
      <c r="L79" s="325"/>
    </row>
    <row r="80" spans="1:12" x14ac:dyDescent="0.2">
      <c r="A80" s="2234" t="s">
        <v>1769</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11843814</v>
      </c>
      <c r="D81" s="1594">
        <f>SUM(D78:D80)</f>
        <v>1702162</v>
      </c>
      <c r="E81" s="1594">
        <f t="shared" ref="E81:K81" si="10">SUM(E78:E80)</f>
        <v>36062</v>
      </c>
      <c r="F81" s="1594">
        <f t="shared" si="10"/>
        <v>2604052</v>
      </c>
      <c r="G81" s="1594">
        <f t="shared" si="10"/>
        <v>284670</v>
      </c>
      <c r="H81" s="1594">
        <f t="shared" si="10"/>
        <v>597071</v>
      </c>
      <c r="I81" s="1594">
        <f t="shared" si="10"/>
        <v>842256</v>
      </c>
      <c r="J81" s="1594">
        <f t="shared" si="10"/>
        <v>495750</v>
      </c>
      <c r="K81" s="1594">
        <f t="shared" si="10"/>
        <v>398224</v>
      </c>
      <c r="L81" s="325"/>
    </row>
    <row r="82" spans="1:12" ht="0.75" customHeight="1" thickTop="1" thickBot="1" x14ac:dyDescent="0.25">
      <c r="A82" s="459" t="s">
        <v>340</v>
      </c>
      <c r="B82" s="460"/>
      <c r="C82" s="461">
        <f>(C81-C79)</f>
        <v>-379052</v>
      </c>
      <c r="D82" s="461">
        <f t="shared" ref="D82:K82" si="11">(D81-D79)</f>
        <v>212071</v>
      </c>
      <c r="E82" s="461">
        <f t="shared" si="11"/>
        <v>-53074</v>
      </c>
      <c r="F82" s="461">
        <f t="shared" si="11"/>
        <v>224691</v>
      </c>
      <c r="G82" s="461">
        <f t="shared" si="11"/>
        <v>46309</v>
      </c>
      <c r="H82" s="461">
        <f t="shared" si="11"/>
        <v>-39631</v>
      </c>
      <c r="I82" s="461">
        <f t="shared" si="11"/>
        <v>-260714</v>
      </c>
      <c r="J82" s="461">
        <f t="shared" si="11"/>
        <v>91518</v>
      </c>
      <c r="K82" s="461">
        <f t="shared" si="11"/>
        <v>39270</v>
      </c>
    </row>
    <row r="83" spans="1:12" ht="14.25" hidden="1" thickTop="1" thickBot="1" x14ac:dyDescent="0.25">
      <c r="A83" s="462" t="s">
        <v>341</v>
      </c>
      <c r="B83" s="428"/>
      <c r="C83" s="463">
        <f>C82/C81</f>
        <v>-3.2004217560323053E-2</v>
      </c>
      <c r="D83" s="463">
        <f t="shared" ref="D83:K83" si="12">D82/D81</f>
        <v>0.12458919891291194</v>
      </c>
      <c r="E83" s="463">
        <f t="shared" si="12"/>
        <v>-1.4717431090899007</v>
      </c>
      <c r="F83" s="463">
        <f t="shared" si="12"/>
        <v>8.6285143307430118E-2</v>
      </c>
      <c r="G83" s="463">
        <f t="shared" si="12"/>
        <v>0.16267608107633399</v>
      </c>
      <c r="H83" s="463">
        <f t="shared" si="12"/>
        <v>-6.6375690663254452E-2</v>
      </c>
      <c r="I83" s="463">
        <f t="shared" si="12"/>
        <v>-0.30954246689842518</v>
      </c>
      <c r="J83" s="463">
        <f t="shared" si="12"/>
        <v>0.18460514372163389</v>
      </c>
      <c r="K83" s="463">
        <f t="shared" si="12"/>
        <v>9.8612841014102615E-2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3" activePane="bottomLeft" state="frozen"/>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1776</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15532231</v>
      </c>
      <c r="D5" s="1586">
        <v>3349235</v>
      </c>
      <c r="E5" s="1573">
        <v>3445758</v>
      </c>
      <c r="F5" s="1631">
        <v>1435352</v>
      </c>
      <c r="G5" s="1573">
        <v>318943</v>
      </c>
      <c r="H5" s="1573">
        <v>0</v>
      </c>
      <c r="I5" s="1573">
        <v>239286</v>
      </c>
      <c r="J5" s="1574">
        <v>239292</v>
      </c>
      <c r="K5" s="1573">
        <v>39870</v>
      </c>
    </row>
    <row r="6" spans="1:12" ht="15" x14ac:dyDescent="0.2">
      <c r="A6" s="427" t="s">
        <v>1643</v>
      </c>
      <c r="B6" s="429">
        <v>1130</v>
      </c>
      <c r="C6" s="1573">
        <v>394242</v>
      </c>
      <c r="D6" s="1573"/>
      <c r="E6" s="1580"/>
      <c r="F6" s="1580"/>
      <c r="G6" s="1575"/>
      <c r="H6" s="1575"/>
      <c r="I6" s="1575"/>
      <c r="J6" s="1575"/>
      <c r="K6" s="1575"/>
    </row>
    <row r="7" spans="1:12" x14ac:dyDescent="0.2">
      <c r="A7" s="427" t="s">
        <v>110</v>
      </c>
      <c r="B7" s="471">
        <v>1140</v>
      </c>
      <c r="C7" s="1573">
        <v>315238</v>
      </c>
      <c r="D7" s="1573"/>
      <c r="E7" s="1575"/>
      <c r="F7" s="1574"/>
      <c r="G7" s="1574"/>
      <c r="H7" s="1574"/>
      <c r="I7" s="1575"/>
      <c r="J7" s="1575"/>
      <c r="K7" s="1575"/>
    </row>
    <row r="8" spans="1:12" x14ac:dyDescent="0.2">
      <c r="A8" s="427" t="s">
        <v>410</v>
      </c>
      <c r="B8" s="429">
        <v>1150</v>
      </c>
      <c r="C8" s="1580"/>
      <c r="D8" s="1580"/>
      <c r="E8" s="1582"/>
      <c r="F8" s="1582"/>
      <c r="G8" s="1586">
        <v>358820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16241711</v>
      </c>
      <c r="D12" s="1633">
        <f t="shared" si="0"/>
        <v>3349235</v>
      </c>
      <c r="E12" s="1633">
        <f t="shared" si="0"/>
        <v>3445758</v>
      </c>
      <c r="F12" s="1633">
        <f t="shared" si="0"/>
        <v>1435352</v>
      </c>
      <c r="G12" s="1633">
        <f t="shared" si="0"/>
        <v>677763</v>
      </c>
      <c r="H12" s="1633">
        <f t="shared" si="0"/>
        <v>0</v>
      </c>
      <c r="I12" s="1633">
        <f t="shared" si="0"/>
        <v>239286</v>
      </c>
      <c r="J12" s="1633">
        <f t="shared" si="0"/>
        <v>239292</v>
      </c>
      <c r="K12" s="1594">
        <f t="shared" si="0"/>
        <v>39870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1507615</v>
      </c>
      <c r="D16" s="1573"/>
      <c r="E16" s="1573"/>
      <c r="F16" s="1573"/>
      <c r="G16" s="1573">
        <v>59279</v>
      </c>
      <c r="H16" s="1573"/>
      <c r="I16" s="1573"/>
      <c r="J16" s="1574"/>
      <c r="K16" s="1573"/>
    </row>
    <row r="17" spans="1:11" ht="12.75" customHeight="1" x14ac:dyDescent="0.2">
      <c r="A17" s="427" t="s">
        <v>802</v>
      </c>
      <c r="B17" s="429">
        <v>1290</v>
      </c>
      <c r="C17" s="1632">
        <v>404730</v>
      </c>
      <c r="D17" s="1573"/>
      <c r="E17" s="1573"/>
      <c r="F17" s="1573"/>
      <c r="G17" s="1573"/>
      <c r="H17" s="1573"/>
      <c r="I17" s="1573"/>
      <c r="J17" s="1574"/>
      <c r="K17" s="1573"/>
    </row>
    <row r="18" spans="1:11" ht="12.75" customHeight="1" thickBot="1" x14ac:dyDescent="0.25">
      <c r="A18" s="1406" t="s">
        <v>534</v>
      </c>
      <c r="B18" s="1407"/>
      <c r="C18" s="1635">
        <f>SUM(C14:C17)</f>
        <v>1912345</v>
      </c>
      <c r="D18" s="1635">
        <f t="shared" ref="D18:K18" si="1">SUM(D14:D17)</f>
        <v>0</v>
      </c>
      <c r="E18" s="1635">
        <f t="shared" si="1"/>
        <v>0</v>
      </c>
      <c r="F18" s="1635">
        <f t="shared" si="1"/>
        <v>0</v>
      </c>
      <c r="G18" s="1635">
        <f t="shared" si="1"/>
        <v>59279</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16699</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v>1680</v>
      </c>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v>5615</v>
      </c>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23994</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v>6607</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6607</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529556</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529556</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396798</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6811</v>
      </c>
      <c r="D73" s="1575"/>
      <c r="E73" s="1575"/>
      <c r="F73" s="1575"/>
      <c r="G73" s="1575"/>
      <c r="H73" s="1575"/>
      <c r="I73" s="1575"/>
      <c r="J73" s="1575"/>
      <c r="K73" s="1575"/>
    </row>
    <row r="74" spans="1:11" ht="12.75" customHeight="1" x14ac:dyDescent="0.2">
      <c r="A74" s="427" t="s">
        <v>25</v>
      </c>
      <c r="B74" s="429">
        <v>1690</v>
      </c>
      <c r="C74" s="1632">
        <v>4772</v>
      </c>
      <c r="D74" s="1575"/>
      <c r="E74" s="1575"/>
      <c r="F74" s="1575"/>
      <c r="G74" s="1575"/>
      <c r="H74" s="1575"/>
      <c r="I74" s="1575"/>
      <c r="J74" s="1575"/>
      <c r="K74" s="1575"/>
    </row>
    <row r="75" spans="1:11" ht="12.75" customHeight="1" thickBot="1" x14ac:dyDescent="0.25">
      <c r="A75" s="1406" t="s">
        <v>544</v>
      </c>
      <c r="B75" s="1407"/>
      <c r="C75" s="1594">
        <f>SUM(C69:C74)</f>
        <v>408381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32600</v>
      </c>
      <c r="D77" s="1573"/>
      <c r="E77" s="1575"/>
      <c r="F77" s="1575"/>
      <c r="G77" s="1575"/>
      <c r="H77" s="1575"/>
      <c r="I77" s="1575"/>
      <c r="J77" s="1575"/>
      <c r="K77" s="1575"/>
    </row>
    <row r="78" spans="1:11" ht="12.75" customHeight="1" x14ac:dyDescent="0.2">
      <c r="A78" s="427" t="s">
        <v>76</v>
      </c>
      <c r="B78" s="429">
        <v>1719</v>
      </c>
      <c r="C78" s="1632">
        <v>33128</v>
      </c>
      <c r="D78" s="1573"/>
      <c r="E78" s="1575"/>
      <c r="F78" s="1575"/>
      <c r="G78" s="1575"/>
      <c r="H78" s="1575"/>
      <c r="I78" s="1575"/>
      <c r="J78" s="1575"/>
      <c r="K78" s="1575"/>
    </row>
    <row r="79" spans="1:11" ht="12.75" customHeight="1" x14ac:dyDescent="0.2">
      <c r="A79" s="427" t="s">
        <v>546</v>
      </c>
      <c r="B79" s="429">
        <v>1720</v>
      </c>
      <c r="C79" s="1632">
        <v>6180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390</v>
      </c>
      <c r="D81" s="1573"/>
      <c r="E81" s="1575"/>
      <c r="F81" s="1575"/>
      <c r="G81" s="1575"/>
      <c r="H81" s="1575"/>
      <c r="I81" s="1575"/>
      <c r="J81" s="1575"/>
      <c r="K81" s="1575"/>
    </row>
    <row r="82" spans="1:11" ht="12.75" customHeight="1" thickBot="1" x14ac:dyDescent="0.25">
      <c r="A82" s="1406" t="s">
        <v>239</v>
      </c>
      <c r="B82" s="1407"/>
      <c r="C82" s="1633">
        <f>SUM(C77:C81)</f>
        <v>72298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45810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v>30215</v>
      </c>
      <c r="D92" s="1575"/>
      <c r="E92" s="1575"/>
      <c r="F92" s="1575"/>
      <c r="G92" s="1575"/>
      <c r="H92" s="1575"/>
      <c r="I92" s="1575"/>
      <c r="J92" s="1575"/>
      <c r="K92" s="1575"/>
    </row>
    <row r="93" spans="1:11" ht="12.75" customHeight="1" thickBot="1" x14ac:dyDescent="0.25">
      <c r="A93" s="1406" t="s">
        <v>241</v>
      </c>
      <c r="B93" s="1407"/>
      <c r="C93" s="1594">
        <f>SUM(C84:C92)</f>
        <v>76025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20495</v>
      </c>
      <c r="E95" s="1617"/>
      <c r="F95" s="1617"/>
      <c r="G95" s="1617"/>
      <c r="H95" s="1617"/>
      <c r="I95" s="1617"/>
      <c r="J95" s="1617"/>
      <c r="K95" s="1617"/>
    </row>
    <row r="96" spans="1:11" ht="12.75" customHeight="1" x14ac:dyDescent="0.2">
      <c r="A96" s="427" t="s">
        <v>388</v>
      </c>
      <c r="B96" s="429">
        <v>1920</v>
      </c>
      <c r="C96" s="1632">
        <v>6522</v>
      </c>
      <c r="D96" s="1632">
        <v>59521</v>
      </c>
      <c r="E96" s="1584"/>
      <c r="F96" s="1583"/>
      <c r="G96" s="1583"/>
      <c r="H96" s="1583"/>
      <c r="I96" s="1583"/>
      <c r="J96" s="1583"/>
      <c r="K96" s="1583"/>
    </row>
    <row r="97" spans="1:12" ht="12.75" customHeight="1" x14ac:dyDescent="0.2">
      <c r="A97" s="1265" t="s">
        <v>242</v>
      </c>
      <c r="B97" s="477">
        <v>1930</v>
      </c>
      <c r="C97" s="1598"/>
      <c r="D97" s="1574"/>
      <c r="E97" s="1579"/>
      <c r="F97" s="1574"/>
      <c r="G97" s="1574"/>
      <c r="H97" s="1574">
        <v>48236</v>
      </c>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28452</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12203</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f>83437</f>
        <v>83437</v>
      </c>
      <c r="D107" s="1573"/>
      <c r="E107" s="1573"/>
      <c r="F107" s="1573"/>
      <c r="G107" s="1573"/>
      <c r="H107" s="1573"/>
      <c r="I107" s="1573"/>
      <c r="J107" s="1574"/>
      <c r="K107" s="1573"/>
    </row>
    <row r="108" spans="1:12" ht="12.75" customHeight="1" thickBot="1" x14ac:dyDescent="0.25">
      <c r="A108" s="1406" t="s">
        <v>484</v>
      </c>
      <c r="B108" s="1408"/>
      <c r="C108" s="1633">
        <f>SUM(C95:C107)</f>
        <v>130614</v>
      </c>
      <c r="D108" s="1633">
        <f t="shared" ref="D108:K108" si="3">SUM(D95:D107)</f>
        <v>80016</v>
      </c>
      <c r="E108" s="1633">
        <f t="shared" si="3"/>
        <v>0</v>
      </c>
      <c r="F108" s="1633">
        <f t="shared" si="3"/>
        <v>0</v>
      </c>
      <c r="G108" s="1633">
        <f t="shared" si="3"/>
        <v>0</v>
      </c>
      <c r="H108" s="1633">
        <f t="shared" si="3"/>
        <v>48236</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19394924</v>
      </c>
      <c r="D109" s="1641">
        <f t="shared" si="4"/>
        <v>3429251</v>
      </c>
      <c r="E109" s="1641">
        <f t="shared" si="4"/>
        <v>3445758</v>
      </c>
      <c r="F109" s="1641">
        <f t="shared" si="4"/>
        <v>1441959</v>
      </c>
      <c r="G109" s="1641">
        <f t="shared" si="4"/>
        <v>737042</v>
      </c>
      <c r="H109" s="1641">
        <f t="shared" si="4"/>
        <v>48236</v>
      </c>
      <c r="I109" s="1641">
        <f t="shared" si="4"/>
        <v>239286</v>
      </c>
      <c r="J109" s="1641">
        <f t="shared" si="4"/>
        <v>239292</v>
      </c>
      <c r="K109" s="1629">
        <f t="shared" si="4"/>
        <v>39870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22901</v>
      </c>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22901</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1347219</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1347219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110130</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12286</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122416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3120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22444</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409414</v>
      </c>
      <c r="G152" s="1574"/>
      <c r="H152" s="1575"/>
      <c r="I152" s="1575"/>
      <c r="J152" s="1575"/>
      <c r="K152" s="1575"/>
    </row>
    <row r="153" spans="1:11" ht="12.75" customHeight="1" x14ac:dyDescent="0.2">
      <c r="A153" s="427" t="s">
        <v>1048</v>
      </c>
      <c r="B153" s="478">
        <v>3510</v>
      </c>
      <c r="C153" s="1632"/>
      <c r="D153" s="1573"/>
      <c r="E153" s="1640"/>
      <c r="F153" s="1573">
        <v>470266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879680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175971</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323951</v>
      </c>
      <c r="D169" s="1658">
        <f t="shared" si="6"/>
        <v>50000</v>
      </c>
      <c r="E169" s="1658">
        <f t="shared" si="6"/>
        <v>0</v>
      </c>
      <c r="F169" s="1658">
        <f t="shared" si="6"/>
        <v>879680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1671170</v>
      </c>
      <c r="D170" s="1641">
        <f t="shared" si="7"/>
        <v>50000</v>
      </c>
      <c r="E170" s="1641">
        <f t="shared" si="7"/>
        <v>0</v>
      </c>
      <c r="F170" s="1641">
        <f t="shared" si="7"/>
        <v>879680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1777</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201411</v>
      </c>
      <c r="D191" s="1575"/>
      <c r="E191" s="1640"/>
      <c r="F191" s="1575"/>
      <c r="G191" s="1664"/>
      <c r="H191" s="1575"/>
      <c r="I191" s="1575"/>
      <c r="J191" s="1575"/>
      <c r="K191" s="1575"/>
    </row>
    <row r="192" spans="1:11" ht="12.75" customHeight="1" x14ac:dyDescent="0.2">
      <c r="A192" s="427" t="s">
        <v>1038</v>
      </c>
      <c r="B192" s="429">
        <v>4215</v>
      </c>
      <c r="C192" s="1632">
        <v>2386</v>
      </c>
      <c r="D192" s="1575"/>
      <c r="E192" s="1640"/>
      <c r="F192" s="1575"/>
      <c r="G192" s="1664"/>
      <c r="H192" s="1575"/>
      <c r="I192" s="1575"/>
      <c r="J192" s="1575"/>
      <c r="K192" s="1575"/>
    </row>
    <row r="193" spans="1:11" ht="12.75" customHeight="1" x14ac:dyDescent="0.2">
      <c r="A193" s="427" t="s">
        <v>1050</v>
      </c>
      <c r="B193" s="429">
        <v>4220</v>
      </c>
      <c r="C193" s="1632">
        <v>23353</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227150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183694</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183694</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8317</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342036</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350353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v>3</v>
      </c>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35293</v>
      </c>
      <c r="D263" s="1651"/>
      <c r="E263" s="1575"/>
      <c r="F263" s="1651"/>
      <c r="G263" s="1651"/>
      <c r="H263" s="1575"/>
      <c r="I263" s="1575"/>
      <c r="J263" s="1575"/>
      <c r="K263" s="1575"/>
    </row>
    <row r="264" spans="1:11" ht="12.75" customHeight="1" thickTop="1" thickBot="1" x14ac:dyDescent="0.25">
      <c r="A264" s="427" t="s">
        <v>374</v>
      </c>
      <c r="B264" s="429">
        <v>4992</v>
      </c>
      <c r="C264" s="1650">
        <v>107199</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903692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903692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21992687</v>
      </c>
      <c r="D268" s="1641">
        <f t="shared" si="12"/>
        <v>3479251</v>
      </c>
      <c r="E268" s="1641">
        <f t="shared" si="12"/>
        <v>3445758</v>
      </c>
      <c r="F268" s="1641">
        <f t="shared" si="12"/>
        <v>2321639</v>
      </c>
      <c r="G268" s="1641">
        <f t="shared" si="12"/>
        <v>737042</v>
      </c>
      <c r="H268" s="1641">
        <f t="shared" si="12"/>
        <v>48236</v>
      </c>
      <c r="I268" s="1641">
        <f t="shared" si="12"/>
        <v>239286</v>
      </c>
      <c r="J268" s="1641">
        <f t="shared" si="12"/>
        <v>239292</v>
      </c>
      <c r="K268" s="1629">
        <f t="shared" si="12"/>
        <v>39870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07" activePane="bottomLeft" state="frozen"/>
      <selection pane="bottomLeft" activeCell="L278" sqref="L27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8338476</v>
      </c>
      <c r="D5" s="1573">
        <v>2007411</v>
      </c>
      <c r="E5" s="1573">
        <v>70477</v>
      </c>
      <c r="F5" s="1573">
        <v>160114</v>
      </c>
      <c r="G5" s="1573">
        <v>27737</v>
      </c>
      <c r="H5" s="1573"/>
      <c r="I5" s="1574"/>
      <c r="J5" s="1574"/>
      <c r="K5" s="1672">
        <f>SUM(C5:J5)</f>
        <v>10604215</v>
      </c>
      <c r="L5" s="1573">
        <v>10636139</v>
      </c>
    </row>
    <row r="6" spans="1:14" x14ac:dyDescent="0.2">
      <c r="A6" s="1274" t="s">
        <v>1416</v>
      </c>
      <c r="B6" s="503" t="s">
        <v>1414</v>
      </c>
      <c r="C6" s="1582"/>
      <c r="D6" s="1582"/>
      <c r="E6" s="1573"/>
      <c r="F6" s="1582"/>
      <c r="G6" s="1582"/>
      <c r="H6" s="1582"/>
      <c r="I6" s="1582"/>
      <c r="J6" s="1582"/>
      <c r="K6" s="1672">
        <f>SUM(C6,E6)</f>
        <v>0</v>
      </c>
      <c r="L6" s="1573">
        <v>31500</v>
      </c>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2133790</v>
      </c>
      <c r="D8" s="1573">
        <v>451507</v>
      </c>
      <c r="E8" s="1573">
        <v>65218</v>
      </c>
      <c r="F8" s="1573">
        <v>54738</v>
      </c>
      <c r="G8" s="1573">
        <v>5889</v>
      </c>
      <c r="H8" s="1573">
        <v>383431</v>
      </c>
      <c r="I8" s="1574"/>
      <c r="J8" s="1574"/>
      <c r="K8" s="1672">
        <f t="shared" si="0"/>
        <v>3094573</v>
      </c>
      <c r="L8" s="1573">
        <v>3186286</v>
      </c>
    </row>
    <row r="9" spans="1:14" x14ac:dyDescent="0.2">
      <c r="A9" s="1274" t="s">
        <v>716</v>
      </c>
      <c r="B9" s="503" t="s">
        <v>962</v>
      </c>
      <c r="C9" s="1574">
        <v>232576</v>
      </c>
      <c r="D9" s="1574">
        <v>53379</v>
      </c>
      <c r="E9" s="1574"/>
      <c r="F9" s="1574">
        <v>4300</v>
      </c>
      <c r="G9" s="1574"/>
      <c r="H9" s="1574"/>
      <c r="I9" s="1574"/>
      <c r="J9" s="1574"/>
      <c r="K9" s="1672">
        <f t="shared" si="0"/>
        <v>290255</v>
      </c>
      <c r="L9" s="1573">
        <v>316290</v>
      </c>
    </row>
    <row r="10" spans="1:14" x14ac:dyDescent="0.2">
      <c r="A10" s="1274" t="s">
        <v>717</v>
      </c>
      <c r="B10" s="503">
        <v>1250</v>
      </c>
      <c r="C10" s="1573">
        <v>82762</v>
      </c>
      <c r="D10" s="1573">
        <v>5</v>
      </c>
      <c r="E10" s="1573">
        <v>2598</v>
      </c>
      <c r="F10" s="1573">
        <v>101661</v>
      </c>
      <c r="G10" s="1573">
        <v>4668</v>
      </c>
      <c r="H10" s="1573"/>
      <c r="I10" s="1574"/>
      <c r="J10" s="1574"/>
      <c r="K10" s="1672">
        <f t="shared" si="0"/>
        <v>191694</v>
      </c>
      <c r="L10" s="1573">
        <v>268500</v>
      </c>
    </row>
    <row r="11" spans="1:14" x14ac:dyDescent="0.2">
      <c r="A11" s="1274" t="s">
        <v>1120</v>
      </c>
      <c r="B11" s="503" t="s">
        <v>160</v>
      </c>
      <c r="C11" s="1574">
        <v>199112</v>
      </c>
      <c r="D11" s="1574">
        <v>69738</v>
      </c>
      <c r="E11" s="1574"/>
      <c r="F11" s="1574"/>
      <c r="G11" s="1574"/>
      <c r="H11" s="1574"/>
      <c r="I11" s="1574"/>
      <c r="J11" s="1574"/>
      <c r="K11" s="1672">
        <f t="shared" si="0"/>
        <v>268850</v>
      </c>
      <c r="L11" s="1573">
        <v>262700</v>
      </c>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351401</v>
      </c>
      <c r="D13" s="1573">
        <v>70873</v>
      </c>
      <c r="E13" s="1573">
        <v>488</v>
      </c>
      <c r="F13" s="1573">
        <v>18211</v>
      </c>
      <c r="G13" s="1573">
        <v>6711</v>
      </c>
      <c r="H13" s="1573"/>
      <c r="I13" s="1574"/>
      <c r="J13" s="1574"/>
      <c r="K13" s="1672">
        <f t="shared" si="0"/>
        <v>447684</v>
      </c>
      <c r="L13" s="1573">
        <v>456136</v>
      </c>
    </row>
    <row r="14" spans="1:14" x14ac:dyDescent="0.2">
      <c r="A14" s="1274" t="s">
        <v>957</v>
      </c>
      <c r="B14" s="503">
        <v>1500</v>
      </c>
      <c r="C14" s="1573">
        <v>601328</v>
      </c>
      <c r="D14" s="1573">
        <v>131380</v>
      </c>
      <c r="E14" s="1573">
        <v>79735</v>
      </c>
      <c r="F14" s="1573">
        <v>53126</v>
      </c>
      <c r="G14" s="1573">
        <v>31798</v>
      </c>
      <c r="H14" s="1573">
        <v>26843</v>
      </c>
      <c r="I14" s="1574"/>
      <c r="J14" s="1574"/>
      <c r="K14" s="1672">
        <f t="shared" si="0"/>
        <v>924210</v>
      </c>
      <c r="L14" s="1573">
        <v>948541</v>
      </c>
    </row>
    <row r="15" spans="1:14" x14ac:dyDescent="0.2">
      <c r="A15" s="1274" t="s">
        <v>958</v>
      </c>
      <c r="B15" s="503">
        <v>1600</v>
      </c>
      <c r="C15" s="1573">
        <v>33307</v>
      </c>
      <c r="D15" s="1573">
        <v>6668</v>
      </c>
      <c r="E15" s="1573">
        <v>418</v>
      </c>
      <c r="F15" s="1573">
        <v>6846</v>
      </c>
      <c r="G15" s="1573"/>
      <c r="H15" s="1573"/>
      <c r="I15" s="1574"/>
      <c r="J15" s="1574"/>
      <c r="K15" s="1672">
        <f t="shared" si="0"/>
        <v>47239</v>
      </c>
      <c r="L15" s="1573">
        <v>64000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11972752</v>
      </c>
      <c r="D33" s="1674">
        <f t="shared" ref="D33:L33" si="1">SUM(D5:D32)</f>
        <v>2790961</v>
      </c>
      <c r="E33" s="1674">
        <f t="shared" si="1"/>
        <v>218934</v>
      </c>
      <c r="F33" s="1674">
        <f t="shared" si="1"/>
        <v>398996</v>
      </c>
      <c r="G33" s="1674">
        <f t="shared" si="1"/>
        <v>76803</v>
      </c>
      <c r="H33" s="1674">
        <f t="shared" si="1"/>
        <v>410274</v>
      </c>
      <c r="I33" s="1674">
        <f t="shared" si="1"/>
        <v>0</v>
      </c>
      <c r="J33" s="1674">
        <f t="shared" si="1"/>
        <v>0</v>
      </c>
      <c r="K33" s="1674">
        <f t="shared" si="1"/>
        <v>15868720</v>
      </c>
      <c r="L33" s="1674">
        <f t="shared" si="1"/>
        <v>16170092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301043</v>
      </c>
      <c r="D36" s="1586">
        <v>75418</v>
      </c>
      <c r="E36" s="1586"/>
      <c r="F36" s="1586">
        <v>1424</v>
      </c>
      <c r="G36" s="1586"/>
      <c r="H36" s="1586"/>
      <c r="I36" s="1574"/>
      <c r="J36" s="1574"/>
      <c r="K36" s="1672">
        <f t="shared" ref="K36:K41" si="2">SUM(C36:J36)</f>
        <v>377885</v>
      </c>
      <c r="L36" s="1573">
        <v>382900</v>
      </c>
    </row>
    <row r="37" spans="1:14" x14ac:dyDescent="0.2">
      <c r="A37" s="1274" t="s">
        <v>1081</v>
      </c>
      <c r="B37" s="503">
        <v>2120</v>
      </c>
      <c r="C37" s="1573">
        <v>197571</v>
      </c>
      <c r="D37" s="1573">
        <v>53553</v>
      </c>
      <c r="E37" s="1573">
        <v>224</v>
      </c>
      <c r="F37" s="1573"/>
      <c r="G37" s="1573"/>
      <c r="H37" s="1573"/>
      <c r="I37" s="1574"/>
      <c r="J37" s="1574"/>
      <c r="K37" s="1672">
        <f t="shared" si="2"/>
        <v>251348</v>
      </c>
      <c r="L37" s="1573">
        <v>256690</v>
      </c>
    </row>
    <row r="38" spans="1:14" x14ac:dyDescent="0.2">
      <c r="A38" s="1274" t="s">
        <v>196</v>
      </c>
      <c r="B38" s="503">
        <v>2130</v>
      </c>
      <c r="C38" s="1573">
        <v>105373</v>
      </c>
      <c r="D38" s="1573">
        <v>23516</v>
      </c>
      <c r="E38" s="1573">
        <v>68</v>
      </c>
      <c r="F38" s="1573">
        <v>3310</v>
      </c>
      <c r="G38" s="1573">
        <v>949</v>
      </c>
      <c r="H38" s="1573"/>
      <c r="I38" s="1574"/>
      <c r="J38" s="1574"/>
      <c r="K38" s="1672">
        <f t="shared" si="2"/>
        <v>133216</v>
      </c>
      <c r="L38" s="1573">
        <v>130550</v>
      </c>
    </row>
    <row r="39" spans="1:14" x14ac:dyDescent="0.2">
      <c r="A39" s="1274" t="s">
        <v>197</v>
      </c>
      <c r="B39" s="503">
        <v>2140</v>
      </c>
      <c r="C39" s="1573">
        <v>130795</v>
      </c>
      <c r="D39" s="1573">
        <v>29128</v>
      </c>
      <c r="E39" s="1573">
        <v>14</v>
      </c>
      <c r="F39" s="1573"/>
      <c r="G39" s="1573"/>
      <c r="H39" s="1573"/>
      <c r="I39" s="1574"/>
      <c r="J39" s="1574"/>
      <c r="K39" s="1672">
        <f t="shared" si="2"/>
        <v>159937</v>
      </c>
      <c r="L39" s="1573">
        <v>182460</v>
      </c>
    </row>
    <row r="40" spans="1:14" x14ac:dyDescent="0.2">
      <c r="A40" s="1274" t="s">
        <v>198</v>
      </c>
      <c r="B40" s="503">
        <v>2150</v>
      </c>
      <c r="C40" s="1573">
        <v>253748</v>
      </c>
      <c r="D40" s="1573">
        <v>35570</v>
      </c>
      <c r="E40" s="1573"/>
      <c r="F40" s="1573"/>
      <c r="G40" s="1573"/>
      <c r="H40" s="1573"/>
      <c r="I40" s="1574"/>
      <c r="J40" s="1574"/>
      <c r="K40" s="1672">
        <f t="shared" si="2"/>
        <v>289318</v>
      </c>
      <c r="L40" s="1573">
        <v>281901</v>
      </c>
    </row>
    <row r="41" spans="1:14" x14ac:dyDescent="0.2">
      <c r="A41" s="1274" t="s">
        <v>1650</v>
      </c>
      <c r="B41" s="503">
        <v>2190</v>
      </c>
      <c r="C41" s="1573">
        <v>107144</v>
      </c>
      <c r="D41" s="1573">
        <v>30019</v>
      </c>
      <c r="E41" s="1573">
        <v>81122</v>
      </c>
      <c r="F41" s="1573">
        <v>6368</v>
      </c>
      <c r="G41" s="1573"/>
      <c r="H41" s="1573"/>
      <c r="I41" s="1574"/>
      <c r="J41" s="1574"/>
      <c r="K41" s="1672">
        <f t="shared" si="2"/>
        <v>224653</v>
      </c>
      <c r="L41" s="1573">
        <v>329636</v>
      </c>
    </row>
    <row r="42" spans="1:14" ht="12.75" customHeight="1" thickBot="1" x14ac:dyDescent="0.25">
      <c r="A42" s="1380" t="s">
        <v>556</v>
      </c>
      <c r="B42" s="1381" t="s">
        <v>711</v>
      </c>
      <c r="C42" s="1674">
        <f>SUM(C36:C41)</f>
        <v>1095674</v>
      </c>
      <c r="D42" s="1674">
        <f t="shared" ref="D42:L42" si="3">SUM(D36:D41)</f>
        <v>247204</v>
      </c>
      <c r="E42" s="1674">
        <f t="shared" si="3"/>
        <v>81428</v>
      </c>
      <c r="F42" s="1674">
        <f t="shared" si="3"/>
        <v>11102</v>
      </c>
      <c r="G42" s="1674">
        <f t="shared" si="3"/>
        <v>949</v>
      </c>
      <c r="H42" s="1674">
        <f t="shared" si="3"/>
        <v>0</v>
      </c>
      <c r="I42" s="1674">
        <f t="shared" si="3"/>
        <v>0</v>
      </c>
      <c r="J42" s="1674">
        <f t="shared" si="3"/>
        <v>0</v>
      </c>
      <c r="K42" s="1674">
        <f t="shared" si="3"/>
        <v>1436357</v>
      </c>
      <c r="L42" s="1674">
        <f t="shared" si="3"/>
        <v>1564137</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178922</v>
      </c>
      <c r="D44" s="1586">
        <v>56039</v>
      </c>
      <c r="E44" s="1586">
        <v>61535</v>
      </c>
      <c r="F44" s="1586">
        <v>1290</v>
      </c>
      <c r="G44" s="1586"/>
      <c r="H44" s="1586">
        <v>288</v>
      </c>
      <c r="I44" s="1574"/>
      <c r="J44" s="1574"/>
      <c r="K44" s="1678">
        <f>SUM(C44:J44)</f>
        <v>298074</v>
      </c>
      <c r="L44" s="1586">
        <v>453547</v>
      </c>
    </row>
    <row r="45" spans="1:14" x14ac:dyDescent="0.2">
      <c r="A45" s="1274" t="s">
        <v>810</v>
      </c>
      <c r="B45" s="503">
        <v>2220</v>
      </c>
      <c r="C45" s="1573">
        <v>358711</v>
      </c>
      <c r="D45" s="1573">
        <v>73248</v>
      </c>
      <c r="E45" s="1573">
        <v>454286</v>
      </c>
      <c r="F45" s="1573">
        <v>31034</v>
      </c>
      <c r="G45" s="1573">
        <v>140482</v>
      </c>
      <c r="H45" s="1573"/>
      <c r="I45" s="1574"/>
      <c r="J45" s="1574"/>
      <c r="K45" s="1678">
        <f>SUM(C45:J45)</f>
        <v>1057761</v>
      </c>
      <c r="L45" s="1573">
        <v>1059688</v>
      </c>
    </row>
    <row r="46" spans="1:14" x14ac:dyDescent="0.2">
      <c r="A46" s="1274" t="s">
        <v>811</v>
      </c>
      <c r="B46" s="503">
        <v>2230</v>
      </c>
      <c r="C46" s="1573">
        <v>3222</v>
      </c>
      <c r="D46" s="1573">
        <v>52954</v>
      </c>
      <c r="E46" s="1573"/>
      <c r="F46" s="1573"/>
      <c r="G46" s="1573"/>
      <c r="H46" s="1573"/>
      <c r="I46" s="1574"/>
      <c r="J46" s="1574"/>
      <c r="K46" s="1678">
        <f>SUM(C46:J46)</f>
        <v>56176</v>
      </c>
      <c r="L46" s="1573">
        <v>101000</v>
      </c>
    </row>
    <row r="47" spans="1:14" ht="12.75" customHeight="1" thickBot="1" x14ac:dyDescent="0.25">
      <c r="A47" s="1380" t="s">
        <v>557</v>
      </c>
      <c r="B47" s="1381" t="s">
        <v>32</v>
      </c>
      <c r="C47" s="1674">
        <f>SUM(C44:C46)</f>
        <v>540855</v>
      </c>
      <c r="D47" s="1674">
        <f t="shared" ref="D47:K47" si="4">SUM(D44:D46)</f>
        <v>182241</v>
      </c>
      <c r="E47" s="1674">
        <f t="shared" si="4"/>
        <v>515821</v>
      </c>
      <c r="F47" s="1674">
        <f t="shared" si="4"/>
        <v>32324</v>
      </c>
      <c r="G47" s="1674">
        <f t="shared" si="4"/>
        <v>140482</v>
      </c>
      <c r="H47" s="1674">
        <f t="shared" si="4"/>
        <v>288</v>
      </c>
      <c r="I47" s="1674">
        <f t="shared" si="4"/>
        <v>0</v>
      </c>
      <c r="J47" s="1674">
        <f t="shared" si="4"/>
        <v>0</v>
      </c>
      <c r="K47" s="1674">
        <f t="shared" si="4"/>
        <v>1412011</v>
      </c>
      <c r="L47" s="1674">
        <f>SUM(L44:L46)</f>
        <v>1614235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1100</v>
      </c>
      <c r="D49" s="1586"/>
      <c r="E49" s="1586">
        <v>307041</v>
      </c>
      <c r="F49" s="1586">
        <v>6019</v>
      </c>
      <c r="G49" s="1586"/>
      <c r="H49" s="1586">
        <v>32646</v>
      </c>
      <c r="I49" s="1574"/>
      <c r="J49" s="1574"/>
      <c r="K49" s="1678">
        <f>SUM(C49:J49)</f>
        <v>346806</v>
      </c>
      <c r="L49" s="1586">
        <v>443500</v>
      </c>
    </row>
    <row r="50" spans="1:14" x14ac:dyDescent="0.2">
      <c r="A50" s="1274" t="s">
        <v>813</v>
      </c>
      <c r="B50" s="503">
        <v>2320</v>
      </c>
      <c r="C50" s="1573">
        <v>236967</v>
      </c>
      <c r="D50" s="1573">
        <v>68917</v>
      </c>
      <c r="E50" s="1573">
        <v>2608</v>
      </c>
      <c r="F50" s="1573">
        <v>1146</v>
      </c>
      <c r="G50" s="1573"/>
      <c r="H50" s="1573">
        <v>5940</v>
      </c>
      <c r="I50" s="1574"/>
      <c r="J50" s="1574"/>
      <c r="K50" s="1678">
        <f>SUM(C50:J50)</f>
        <v>315578</v>
      </c>
      <c r="L50" s="1573">
        <v>323303</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238067</v>
      </c>
      <c r="D53" s="1674">
        <f t="shared" ref="D53:L53" si="5">SUM(D49:D52)</f>
        <v>68917</v>
      </c>
      <c r="E53" s="1674">
        <f t="shared" si="5"/>
        <v>309649</v>
      </c>
      <c r="F53" s="1674">
        <f t="shared" si="5"/>
        <v>7165</v>
      </c>
      <c r="G53" s="1674">
        <f t="shared" si="5"/>
        <v>0</v>
      </c>
      <c r="H53" s="1674">
        <f t="shared" si="5"/>
        <v>38586</v>
      </c>
      <c r="I53" s="1674">
        <f t="shared" si="5"/>
        <v>0</v>
      </c>
      <c r="J53" s="1674">
        <f t="shared" si="5"/>
        <v>0</v>
      </c>
      <c r="K53" s="1674">
        <f t="shared" si="5"/>
        <v>662384</v>
      </c>
      <c r="L53" s="1674">
        <f t="shared" si="5"/>
        <v>766803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899435</v>
      </c>
      <c r="D55" s="1586">
        <v>261856</v>
      </c>
      <c r="E55" s="1586">
        <v>4535</v>
      </c>
      <c r="F55" s="1586">
        <v>21532</v>
      </c>
      <c r="G55" s="1586">
        <v>2317</v>
      </c>
      <c r="H55" s="1586">
        <v>2586</v>
      </c>
      <c r="I55" s="1574"/>
      <c r="J55" s="1574"/>
      <c r="K55" s="1678">
        <f>SUM(C55:J55)</f>
        <v>1192261</v>
      </c>
      <c r="L55" s="1586">
        <v>1177940</v>
      </c>
    </row>
    <row r="56" spans="1:14" ht="12.75" customHeight="1" x14ac:dyDescent="0.2">
      <c r="A56" s="1278" t="s">
        <v>373</v>
      </c>
      <c r="B56" s="512">
        <v>2490</v>
      </c>
      <c r="C56" s="1573"/>
      <c r="D56" s="1573"/>
      <c r="E56" s="1573">
        <v>1600</v>
      </c>
      <c r="F56" s="1573"/>
      <c r="G56" s="1573"/>
      <c r="H56" s="1573"/>
      <c r="I56" s="1574"/>
      <c r="J56" s="1574"/>
      <c r="K56" s="1678">
        <f>SUM(C56:J56)</f>
        <v>1600</v>
      </c>
      <c r="L56" s="1573">
        <v>3000</v>
      </c>
    </row>
    <row r="57" spans="1:14" s="321" customFormat="1" ht="12.75" customHeight="1" thickBot="1" x14ac:dyDescent="0.25">
      <c r="A57" s="1380" t="s">
        <v>261</v>
      </c>
      <c r="B57" s="1382" t="s">
        <v>34</v>
      </c>
      <c r="C57" s="1679">
        <f>SUM(C55:C56)</f>
        <v>899435</v>
      </c>
      <c r="D57" s="1679">
        <f t="shared" ref="D57:K57" si="6">SUM(D55:D56)</f>
        <v>261856</v>
      </c>
      <c r="E57" s="1679">
        <f t="shared" si="6"/>
        <v>6135</v>
      </c>
      <c r="F57" s="1679">
        <f t="shared" si="6"/>
        <v>21532</v>
      </c>
      <c r="G57" s="1679">
        <f t="shared" si="6"/>
        <v>2317</v>
      </c>
      <c r="H57" s="1679">
        <f t="shared" si="6"/>
        <v>2586</v>
      </c>
      <c r="I57" s="1679">
        <f t="shared" si="6"/>
        <v>0</v>
      </c>
      <c r="J57" s="1679">
        <f t="shared" si="6"/>
        <v>0</v>
      </c>
      <c r="K57" s="1679">
        <f t="shared" si="6"/>
        <v>1193861</v>
      </c>
      <c r="L57" s="1674">
        <f>SUM(L55:L56)</f>
        <v>1180940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77000</v>
      </c>
      <c r="D59" s="1586">
        <v>23425</v>
      </c>
      <c r="E59" s="1586">
        <v>1842</v>
      </c>
      <c r="F59" s="1586">
        <v>1354</v>
      </c>
      <c r="G59" s="1586"/>
      <c r="H59" s="1586">
        <v>980</v>
      </c>
      <c r="I59" s="1574"/>
      <c r="J59" s="1574"/>
      <c r="K59" s="1678">
        <f t="shared" ref="K59:K64" si="7">SUM(C59:J59)</f>
        <v>104601</v>
      </c>
      <c r="L59" s="1586">
        <v>98100</v>
      </c>
      <c r="M59" s="501"/>
      <c r="N59" s="501"/>
    </row>
    <row r="60" spans="1:14" s="321" customFormat="1" x14ac:dyDescent="0.2">
      <c r="A60" s="1274" t="s">
        <v>460</v>
      </c>
      <c r="B60" s="503">
        <v>2520</v>
      </c>
      <c r="C60" s="1573">
        <v>121145</v>
      </c>
      <c r="D60" s="1573">
        <v>24807</v>
      </c>
      <c r="E60" s="1573">
        <v>11597</v>
      </c>
      <c r="F60" s="1573">
        <v>26374</v>
      </c>
      <c r="G60" s="1573">
        <v>1826</v>
      </c>
      <c r="H60" s="1573">
        <v>2434</v>
      </c>
      <c r="I60" s="1574"/>
      <c r="J60" s="1574"/>
      <c r="K60" s="1678">
        <f t="shared" si="7"/>
        <v>188183</v>
      </c>
      <c r="L60" s="1573">
        <v>207750</v>
      </c>
      <c r="M60" s="501"/>
      <c r="N60" s="501"/>
    </row>
    <row r="61" spans="1:14" s="321" customFormat="1" x14ac:dyDescent="0.2">
      <c r="A61" s="1274" t="s">
        <v>195</v>
      </c>
      <c r="B61" s="503">
        <v>2540</v>
      </c>
      <c r="C61" s="1573"/>
      <c r="D61" s="1573"/>
      <c r="E61" s="1573"/>
      <c r="F61" s="1573">
        <v>3216</v>
      </c>
      <c r="G61" s="1573"/>
      <c r="H61" s="1573"/>
      <c r="I61" s="1574"/>
      <c r="J61" s="1574"/>
      <c r="K61" s="1678">
        <f t="shared" si="7"/>
        <v>3216</v>
      </c>
      <c r="L61" s="1573">
        <v>5000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341302</v>
      </c>
      <c r="D63" s="1573">
        <v>61825</v>
      </c>
      <c r="E63" s="1573">
        <v>9246</v>
      </c>
      <c r="F63" s="1573">
        <f>366584-60981</f>
        <v>305603</v>
      </c>
      <c r="G63" s="1573">
        <v>17919</v>
      </c>
      <c r="H63" s="1573"/>
      <c r="I63" s="1574"/>
      <c r="J63" s="1574"/>
      <c r="K63" s="1678">
        <f t="shared" si="7"/>
        <v>735895</v>
      </c>
      <c r="L63" s="1573">
        <v>879650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539447</v>
      </c>
      <c r="D65" s="1674">
        <f t="shared" ref="D65:L65" si="8">SUM(D59:D64)</f>
        <v>110057</v>
      </c>
      <c r="E65" s="1674">
        <f t="shared" si="8"/>
        <v>22685</v>
      </c>
      <c r="F65" s="1674">
        <f t="shared" si="8"/>
        <v>336547</v>
      </c>
      <c r="G65" s="1674">
        <f t="shared" si="8"/>
        <v>19745</v>
      </c>
      <c r="H65" s="1674">
        <f t="shared" si="8"/>
        <v>3414</v>
      </c>
      <c r="I65" s="1674">
        <f t="shared" si="8"/>
        <v>0</v>
      </c>
      <c r="J65" s="1674">
        <f t="shared" si="8"/>
        <v>0</v>
      </c>
      <c r="K65" s="1674">
        <f t="shared" si="8"/>
        <v>1031895</v>
      </c>
      <c r="L65" s="1674">
        <f t="shared" si="8"/>
        <v>1190500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v>709</v>
      </c>
      <c r="F69" s="1573"/>
      <c r="G69" s="1573"/>
      <c r="H69" s="1573"/>
      <c r="I69" s="1574"/>
      <c r="J69" s="1574"/>
      <c r="K69" s="1678">
        <f>SUM(C69:J69)</f>
        <v>709</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709</v>
      </c>
      <c r="F72" s="1674">
        <f t="shared" si="9"/>
        <v>0</v>
      </c>
      <c r="G72" s="1674">
        <f t="shared" si="9"/>
        <v>0</v>
      </c>
      <c r="H72" s="1674">
        <f t="shared" si="9"/>
        <v>0</v>
      </c>
      <c r="I72" s="1674">
        <f t="shared" si="9"/>
        <v>0</v>
      </c>
      <c r="J72" s="1674">
        <f t="shared" si="9"/>
        <v>0</v>
      </c>
      <c r="K72" s="1674">
        <f t="shared" si="9"/>
        <v>709</v>
      </c>
      <c r="L72" s="1674">
        <f>SUM(L67:L71)</f>
        <v>0</v>
      </c>
      <c r="M72" s="501"/>
      <c r="N72" s="501"/>
    </row>
    <row r="73" spans="1:14" s="321" customFormat="1" ht="14.25" thickTop="1" thickBot="1" x14ac:dyDescent="0.25">
      <c r="A73" s="1280" t="s">
        <v>973</v>
      </c>
      <c r="B73" s="515" t="s">
        <v>570</v>
      </c>
      <c r="C73" s="1649"/>
      <c r="D73" s="1649"/>
      <c r="E73" s="1649"/>
      <c r="F73" s="1649">
        <v>617</v>
      </c>
      <c r="G73" s="1649">
        <v>271200</v>
      </c>
      <c r="H73" s="1649"/>
      <c r="I73" s="1627"/>
      <c r="J73" s="1627"/>
      <c r="K73" s="1674">
        <f>SUM(C73:J73)</f>
        <v>271817</v>
      </c>
      <c r="L73" s="1651"/>
      <c r="M73" s="501"/>
      <c r="N73" s="501"/>
    </row>
    <row r="74" spans="1:14" ht="12.75" customHeight="1" thickTop="1" thickBot="1" x14ac:dyDescent="0.25">
      <c r="A74" s="1380" t="s">
        <v>806</v>
      </c>
      <c r="B74" s="1384">
        <v>2000</v>
      </c>
      <c r="C74" s="1681">
        <f>SUM(C42,C47,C53,C57,C65,C72,C73)</f>
        <v>3313478</v>
      </c>
      <c r="D74" s="1681">
        <f t="shared" ref="D74:K74" si="10">SUM(D42,D47,D53,D57,D65,D72,D73)</f>
        <v>870275</v>
      </c>
      <c r="E74" s="1681">
        <f t="shared" si="10"/>
        <v>936427</v>
      </c>
      <c r="F74" s="1681">
        <f t="shared" si="10"/>
        <v>409287</v>
      </c>
      <c r="G74" s="1681">
        <f t="shared" si="10"/>
        <v>434693</v>
      </c>
      <c r="H74" s="1681">
        <f t="shared" si="10"/>
        <v>44874</v>
      </c>
      <c r="I74" s="1681">
        <f t="shared" si="10"/>
        <v>0</v>
      </c>
      <c r="J74" s="1681">
        <f t="shared" si="10"/>
        <v>0</v>
      </c>
      <c r="K74" s="1681">
        <f t="shared" si="10"/>
        <v>6009034</v>
      </c>
      <c r="L74" s="1681">
        <f>SUM(L42,L47,L53,L57,L65,L72,L73)</f>
        <v>6316615</v>
      </c>
    </row>
    <row r="75" spans="1:14" s="254" customFormat="1" ht="15.75" customHeight="1" thickTop="1" thickBot="1" x14ac:dyDescent="0.25">
      <c r="A75" s="1348" t="s">
        <v>47</v>
      </c>
      <c r="B75" s="1349" t="s">
        <v>571</v>
      </c>
      <c r="C75" s="1649"/>
      <c r="D75" s="1649"/>
      <c r="E75" s="1649"/>
      <c r="F75" s="1649">
        <v>20</v>
      </c>
      <c r="G75" s="1649"/>
      <c r="H75" s="1649"/>
      <c r="I75" s="1627"/>
      <c r="J75" s="1627"/>
      <c r="K75" s="1674">
        <f>SUM(C75:J75)</f>
        <v>20</v>
      </c>
      <c r="L75" s="1651">
        <v>3200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7094</v>
      </c>
      <c r="F78" s="1673"/>
      <c r="G78" s="1673"/>
      <c r="H78" s="1682"/>
      <c r="I78" s="1582"/>
      <c r="J78" s="1582"/>
      <c r="K78" s="1672">
        <f t="shared" ref="K78:K83" si="11">SUM(C78:J78)</f>
        <v>7094</v>
      </c>
      <c r="L78" s="1586">
        <v>25000</v>
      </c>
    </row>
    <row r="79" spans="1:14" x14ac:dyDescent="0.2">
      <c r="A79" s="1274" t="s">
        <v>301</v>
      </c>
      <c r="B79" s="503">
        <v>4120</v>
      </c>
      <c r="C79" s="1673"/>
      <c r="D79" s="1673"/>
      <c r="E79" s="1573">
        <v>33128</v>
      </c>
      <c r="F79" s="1673"/>
      <c r="G79" s="1673"/>
      <c r="H79" s="1573"/>
      <c r="I79" s="1582"/>
      <c r="J79" s="1582"/>
      <c r="K79" s="1672">
        <f t="shared" si="11"/>
        <v>33128</v>
      </c>
      <c r="L79" s="1573">
        <v>50000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40222</v>
      </c>
      <c r="F84" s="1673"/>
      <c r="G84" s="1673"/>
      <c r="H84" s="1674">
        <f>SUM(H78:H83)</f>
        <v>0</v>
      </c>
      <c r="I84" s="1582"/>
      <c r="J84" s="1582"/>
      <c r="K84" s="1674">
        <f>SUM(K78:K83)</f>
        <v>40222</v>
      </c>
      <c r="L84" s="1674">
        <f>SUM(L78:L83)</f>
        <v>75000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25000</v>
      </c>
    </row>
    <row r="87" spans="1:12" ht="14.25" thickTop="1" thickBot="1" x14ac:dyDescent="0.25">
      <c r="A87" s="1283" t="s">
        <v>695</v>
      </c>
      <c r="B87" s="519">
        <v>4230</v>
      </c>
      <c r="C87" s="1673"/>
      <c r="D87" s="1673"/>
      <c r="E87" s="1684"/>
      <c r="F87" s="1673"/>
      <c r="G87" s="1673"/>
      <c r="H87" s="1574">
        <v>453743</v>
      </c>
      <c r="I87" s="1582"/>
      <c r="J87" s="1582"/>
      <c r="K87" s="1681">
        <f t="shared" si="12"/>
        <v>453743</v>
      </c>
      <c r="L87" s="1626">
        <v>430000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453743</v>
      </c>
      <c r="I92" s="1582"/>
      <c r="J92" s="1582"/>
      <c r="K92" s="1681">
        <f t="shared" si="12"/>
        <v>453743</v>
      </c>
      <c r="L92" s="1674">
        <f>SUM(L85:L91)</f>
        <v>455000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40222</v>
      </c>
      <c r="F102" s="1673"/>
      <c r="G102" s="1673"/>
      <c r="H102" s="1681">
        <f>SUM(H84,H92,H100,H101)</f>
        <v>453743</v>
      </c>
      <c r="I102" s="1582"/>
      <c r="J102" s="1582"/>
      <c r="K102" s="1681">
        <f>SUM(K84,K92,K100,K101)</f>
        <v>493965</v>
      </c>
      <c r="L102" s="1681">
        <f>SUM(L84,L92,L100,L101)</f>
        <v>530000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750000</v>
      </c>
      <c r="M113" s="502"/>
      <c r="N113" s="502"/>
    </row>
    <row r="114" spans="1:14" ht="12.75" customHeight="1" thickTop="1" thickBot="1" x14ac:dyDescent="0.25">
      <c r="A114" s="1380" t="s">
        <v>48</v>
      </c>
      <c r="B114" s="1388"/>
      <c r="C114" s="1674">
        <f>SUM(C33,C74,C75,C102,C112,C113)</f>
        <v>15286230</v>
      </c>
      <c r="D114" s="1674">
        <f t="shared" ref="D114:K114" si="13">SUM(D33,D74,D75,D102,D112,D113)</f>
        <v>3661236</v>
      </c>
      <c r="E114" s="1674">
        <f t="shared" si="13"/>
        <v>1195583</v>
      </c>
      <c r="F114" s="1674">
        <f t="shared" si="13"/>
        <v>808303</v>
      </c>
      <c r="G114" s="1674">
        <f t="shared" si="13"/>
        <v>511496</v>
      </c>
      <c r="H114" s="1674">
        <f>SUM(H33,H74,H75,H102,H112,H113)</f>
        <v>908891</v>
      </c>
      <c r="I114" s="1674">
        <f t="shared" si="13"/>
        <v>0</v>
      </c>
      <c r="J114" s="1674">
        <f t="shared" si="13"/>
        <v>0</v>
      </c>
      <c r="K114" s="1674">
        <f t="shared" si="13"/>
        <v>22371739</v>
      </c>
      <c r="L114" s="1674">
        <f>SUM(L33,L74,L75,L102,L112,L113)</f>
        <v>23769907</v>
      </c>
    </row>
    <row r="115" spans="1:14" ht="13.5" thickTop="1" x14ac:dyDescent="0.2">
      <c r="A115" s="2262" t="s">
        <v>989</v>
      </c>
      <c r="B115" s="2263"/>
      <c r="C115" s="1675"/>
      <c r="D115" s="1675"/>
      <c r="E115" s="1675"/>
      <c r="F115" s="1675"/>
      <c r="G115" s="1675"/>
      <c r="H115" s="1675"/>
      <c r="I115" s="1675"/>
      <c r="J115" s="1675"/>
      <c r="K115" s="1689">
        <f>'Revenues 9-14'!C268-'Expenditures 15-22'!K114</f>
        <v>-379052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67386</v>
      </c>
      <c r="F123" s="1573"/>
      <c r="G123" s="1573"/>
      <c r="H123" s="1573"/>
      <c r="I123" s="1574"/>
      <c r="J123" s="1574"/>
      <c r="K123" s="1674">
        <f>SUM(C123:J123)</f>
        <v>67386</v>
      </c>
      <c r="L123" s="1573">
        <v>50000</v>
      </c>
    </row>
    <row r="124" spans="1:14" ht="14.25" thickTop="1" thickBot="1" x14ac:dyDescent="0.25">
      <c r="A124" s="1274" t="s">
        <v>195</v>
      </c>
      <c r="B124" s="503">
        <v>2540</v>
      </c>
      <c r="C124" s="1573">
        <v>1124067</v>
      </c>
      <c r="D124" s="1573">
        <v>245466</v>
      </c>
      <c r="E124" s="1573">
        <v>472244</v>
      </c>
      <c r="F124" s="1573">
        <v>874304</v>
      </c>
      <c r="G124" s="1573">
        <v>256645</v>
      </c>
      <c r="H124" s="1573">
        <v>40</v>
      </c>
      <c r="I124" s="1574"/>
      <c r="J124" s="1574"/>
      <c r="K124" s="1674">
        <f>SUM(C124:J124)</f>
        <v>2972766</v>
      </c>
      <c r="L124" s="1573">
        <v>3312850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1124067</v>
      </c>
      <c r="D127" s="1674">
        <f t="shared" ref="D127:L127" si="14">SUM(D122:D126)</f>
        <v>245466</v>
      </c>
      <c r="E127" s="1674">
        <f t="shared" si="14"/>
        <v>539630</v>
      </c>
      <c r="F127" s="1674">
        <f t="shared" si="14"/>
        <v>874304</v>
      </c>
      <c r="G127" s="1674">
        <f t="shared" si="14"/>
        <v>256645</v>
      </c>
      <c r="H127" s="1674">
        <f t="shared" si="14"/>
        <v>40</v>
      </c>
      <c r="I127" s="1674">
        <f t="shared" si="14"/>
        <v>0</v>
      </c>
      <c r="J127" s="1674">
        <f t="shared" si="14"/>
        <v>0</v>
      </c>
      <c r="K127" s="1674">
        <f t="shared" si="14"/>
        <v>3040152</v>
      </c>
      <c r="L127" s="1674">
        <f t="shared" si="14"/>
        <v>3362850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1124067</v>
      </c>
      <c r="D129" s="1681">
        <f t="shared" ref="D129:L129" si="15">SUM(D120,D127,D128)</f>
        <v>245466</v>
      </c>
      <c r="E129" s="1681">
        <f t="shared" si="15"/>
        <v>539630</v>
      </c>
      <c r="F129" s="1681">
        <f t="shared" si="15"/>
        <v>874304</v>
      </c>
      <c r="G129" s="1681">
        <f t="shared" si="15"/>
        <v>256645</v>
      </c>
      <c r="H129" s="1681">
        <f t="shared" si="15"/>
        <v>40</v>
      </c>
      <c r="I129" s="1681">
        <f t="shared" si="15"/>
        <v>0</v>
      </c>
      <c r="J129" s="1681">
        <f t="shared" si="15"/>
        <v>0</v>
      </c>
      <c r="K129" s="1681">
        <f t="shared" si="15"/>
        <v>3040152</v>
      </c>
      <c r="L129" s="1681">
        <f t="shared" si="15"/>
        <v>3362850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v>227028</v>
      </c>
      <c r="I135" s="1582"/>
      <c r="J135" s="1673"/>
      <c r="K135" s="1678">
        <f>SUM(E135,H135)</f>
        <v>227028</v>
      </c>
      <c r="L135" s="1573">
        <v>225000</v>
      </c>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227028</v>
      </c>
      <c r="I137" s="1582"/>
      <c r="J137" s="1673"/>
      <c r="K137" s="1674">
        <f>SUM(K133:K136)</f>
        <v>227028</v>
      </c>
      <c r="L137" s="1674">
        <f>SUM(L133:L136)</f>
        <v>225000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227028</v>
      </c>
      <c r="I139" s="1582"/>
      <c r="J139" s="1673"/>
      <c r="K139" s="1678">
        <f>SUM(K137,K138)</f>
        <v>227028</v>
      </c>
      <c r="L139" s="1687">
        <f>SUM(L137,L138)</f>
        <v>225000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50000</v>
      </c>
    </row>
    <row r="151" spans="1:14" ht="12.75" customHeight="1" thickTop="1" thickBot="1" x14ac:dyDescent="0.25">
      <c r="A151" s="2279" t="s">
        <v>616</v>
      </c>
      <c r="B151" s="2259"/>
      <c r="C151" s="1674">
        <f>SUM(C129,C130,C139,C149,C150)</f>
        <v>1124067</v>
      </c>
      <c r="D151" s="1674">
        <f t="shared" ref="D151:K151" si="16">SUM(D129,D130,D139,D149,D150)</f>
        <v>245466</v>
      </c>
      <c r="E151" s="1674">
        <f t="shared" si="16"/>
        <v>539630</v>
      </c>
      <c r="F151" s="1674">
        <f t="shared" si="16"/>
        <v>874304</v>
      </c>
      <c r="G151" s="1674">
        <f t="shared" si="16"/>
        <v>256645</v>
      </c>
      <c r="H151" s="1674">
        <f t="shared" si="16"/>
        <v>227068</v>
      </c>
      <c r="I151" s="1674">
        <f t="shared" si="16"/>
        <v>0</v>
      </c>
      <c r="J151" s="1674">
        <f t="shared" si="16"/>
        <v>0</v>
      </c>
      <c r="K151" s="1674">
        <f t="shared" si="16"/>
        <v>3267180</v>
      </c>
      <c r="L151" s="1674">
        <f>SUM(L129,L130,L139,L149,L150)</f>
        <v>3637850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212071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1341931</v>
      </c>
      <c r="I169" s="1673"/>
      <c r="J169" s="1673"/>
      <c r="K169" s="1672">
        <f>SUM(C169:H169)</f>
        <v>1341931</v>
      </c>
      <c r="L169" s="1695">
        <v>1391931</v>
      </c>
    </row>
    <row r="170" spans="1:14" ht="33.75" customHeight="1" x14ac:dyDescent="0.2">
      <c r="A170" s="543" t="s">
        <v>1651</v>
      </c>
      <c r="B170" s="545" t="s">
        <v>31</v>
      </c>
      <c r="C170" s="1673"/>
      <c r="D170" s="1673"/>
      <c r="E170" s="1673"/>
      <c r="F170" s="1673"/>
      <c r="G170" s="1673"/>
      <c r="H170" s="1646">
        <v>2155000</v>
      </c>
      <c r="I170" s="1673"/>
      <c r="J170" s="1673"/>
      <c r="K170" s="1672">
        <f>SUM(C170:J170)</f>
        <v>2155000</v>
      </c>
      <c r="L170" s="1646">
        <v>2155500</v>
      </c>
    </row>
    <row r="171" spans="1:14" ht="15.75" customHeight="1" x14ac:dyDescent="0.2">
      <c r="A171" s="507" t="s">
        <v>761</v>
      </c>
      <c r="B171" s="546" t="s">
        <v>84</v>
      </c>
      <c r="C171" s="1673"/>
      <c r="D171" s="1673"/>
      <c r="E171" s="1573"/>
      <c r="F171" s="1673"/>
      <c r="G171" s="1673"/>
      <c r="H171" s="1646">
        <v>1901</v>
      </c>
      <c r="I171" s="1582"/>
      <c r="J171" s="1673"/>
      <c r="K171" s="1672">
        <f>SUM(C171:J171)</f>
        <v>1901</v>
      </c>
      <c r="L171" s="1646">
        <v>2500</v>
      </c>
    </row>
    <row r="172" spans="1:14" ht="12.75" customHeight="1" thickBot="1" x14ac:dyDescent="0.25">
      <c r="A172" s="1380" t="s">
        <v>633</v>
      </c>
      <c r="B172" s="1381" t="s">
        <v>489</v>
      </c>
      <c r="C172" s="1673"/>
      <c r="D172" s="1673"/>
      <c r="E172" s="1681">
        <f>SUM(E168,E169,E170,E171)</f>
        <v>0</v>
      </c>
      <c r="F172" s="1673"/>
      <c r="G172" s="1673"/>
      <c r="H172" s="1681">
        <f>SUM(H168,H169,H170,H171)</f>
        <v>3498832</v>
      </c>
      <c r="I172" s="1684"/>
      <c r="J172" s="1673"/>
      <c r="K172" s="1681">
        <f>SUM(K168,K169,K170,K171)</f>
        <v>3498832</v>
      </c>
      <c r="L172" s="1681">
        <f>SUM(L168,L169,L170,L171)</f>
        <v>3549931</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3498832</v>
      </c>
      <c r="I174" s="1684"/>
      <c r="J174" s="1673"/>
      <c r="K174" s="1681">
        <f>SUM(K160,K172,K173)</f>
        <v>3498832</v>
      </c>
      <c r="L174" s="1681">
        <f>SUM(L160,L172,L173)</f>
        <v>3549931</v>
      </c>
    </row>
    <row r="175" spans="1:14" ht="13.5" thickTop="1" x14ac:dyDescent="0.2">
      <c r="A175" s="2262" t="s">
        <v>989</v>
      </c>
      <c r="B175" s="2263"/>
      <c r="C175" s="1673"/>
      <c r="D175" s="1673"/>
      <c r="E175" s="1673"/>
      <c r="F175" s="1673"/>
      <c r="G175" s="1673"/>
      <c r="H175" s="1675"/>
      <c r="I175" s="1673"/>
      <c r="J175" s="1673"/>
      <c r="K175" s="1689">
        <f>'Revenues 9-14'!E268-'Expenditures 15-22'!K174</f>
        <v>-53074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2096262</v>
      </c>
      <c r="F182" s="1573">
        <v>686</v>
      </c>
      <c r="G182" s="1573"/>
      <c r="H182" s="1573"/>
      <c r="I182" s="1574"/>
      <c r="J182" s="1574"/>
      <c r="K182" s="1672">
        <f>SUM(C182:J182)</f>
        <v>2096948</v>
      </c>
      <c r="L182" s="1573">
        <v>2201500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2096262</v>
      </c>
      <c r="F184" s="1681">
        <f t="shared" si="17"/>
        <v>686</v>
      </c>
      <c r="G184" s="1681">
        <f t="shared" si="17"/>
        <v>0</v>
      </c>
      <c r="H184" s="1681">
        <f t="shared" si="17"/>
        <v>0</v>
      </c>
      <c r="I184" s="1681">
        <f t="shared" si="17"/>
        <v>0</v>
      </c>
      <c r="J184" s="1681">
        <f t="shared" si="17"/>
        <v>0</v>
      </c>
      <c r="K184" s="1681">
        <f>SUM(K180,K182,K183)</f>
        <v>2096948</v>
      </c>
      <c r="L184" s="1681">
        <f>SUM(L180, L182:L183)</f>
        <v>2201500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50000</v>
      </c>
    </row>
    <row r="210" spans="1:14" ht="12.75" customHeight="1" thickTop="1" thickBot="1" x14ac:dyDescent="0.25">
      <c r="A210" s="1394" t="s">
        <v>275</v>
      </c>
      <c r="B210" s="1395"/>
      <c r="C210" s="1674">
        <f>SUM(C184,C185)</f>
        <v>0</v>
      </c>
      <c r="D210" s="1674">
        <f>SUM(D184,D185)</f>
        <v>0</v>
      </c>
      <c r="E210" s="1674">
        <f>SUM(E184,E185,E196)</f>
        <v>2096262</v>
      </c>
      <c r="F210" s="1674">
        <f>SUM(F184,F185)</f>
        <v>686</v>
      </c>
      <c r="G210" s="1674">
        <f>SUM(G184,G185)</f>
        <v>0</v>
      </c>
      <c r="H210" s="1674">
        <f>SUM(H184,H185,H196,H208,H209)</f>
        <v>0</v>
      </c>
      <c r="I210" s="1674">
        <f>SUM(I184,I185)</f>
        <v>0</v>
      </c>
      <c r="J210" s="1674">
        <f>SUM(J184,J185)</f>
        <v>0</v>
      </c>
      <c r="K210" s="1672">
        <f>SUM(K184,K185,K196,K208,K209)</f>
        <v>2096948</v>
      </c>
      <c r="L210" s="1674">
        <f>SUM(L184,L185,L196,L208,L209)</f>
        <v>2251500</v>
      </c>
    </row>
    <row r="211" spans="1:14" ht="13.5" thickTop="1" x14ac:dyDescent="0.2">
      <c r="A211" s="2262" t="s">
        <v>989</v>
      </c>
      <c r="B211" s="2263"/>
      <c r="C211" s="1675"/>
      <c r="D211" s="1675"/>
      <c r="E211" s="1675"/>
      <c r="F211" s="1675"/>
      <c r="G211" s="1675"/>
      <c r="H211" s="1675"/>
      <c r="I211" s="1673"/>
      <c r="J211" s="1673"/>
      <c r="K211" s="1689">
        <f>'Revenues 9-14'!F268-'Expenditures 15-22'!K210</f>
        <v>224691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5574+122328</f>
        <v>127902</v>
      </c>
      <c r="E215" s="1673"/>
      <c r="F215" s="1673"/>
      <c r="G215" s="1673"/>
      <c r="H215" s="1673"/>
      <c r="I215" s="1673"/>
      <c r="J215" s="1673"/>
      <c r="K215" s="1672">
        <f>D215</f>
        <v>127902</v>
      </c>
      <c r="L215" s="1573">
        <v>98100</v>
      </c>
    </row>
    <row r="216" spans="1:14" x14ac:dyDescent="0.2">
      <c r="A216" s="1274" t="s">
        <v>162</v>
      </c>
      <c r="B216" s="503" t="s">
        <v>961</v>
      </c>
      <c r="C216" s="1673"/>
      <c r="D216" s="1574"/>
      <c r="E216" s="1673"/>
      <c r="F216" s="1673"/>
      <c r="G216" s="1673"/>
      <c r="H216" s="1673"/>
      <c r="I216" s="1673"/>
      <c r="J216" s="1673"/>
      <c r="K216" s="1672">
        <f t="shared" ref="K216:K228" si="19">D216</f>
        <v>0</v>
      </c>
      <c r="L216" s="1573">
        <v>29800</v>
      </c>
    </row>
    <row r="217" spans="1:14" x14ac:dyDescent="0.2">
      <c r="A217" s="1274" t="s">
        <v>163</v>
      </c>
      <c r="B217" s="503">
        <v>1200</v>
      </c>
      <c r="C217" s="1673"/>
      <c r="D217" s="1573">
        <f>53322+66952+377</f>
        <v>120651</v>
      </c>
      <c r="E217" s="1673"/>
      <c r="F217" s="1673"/>
      <c r="G217" s="1673"/>
      <c r="H217" s="1673"/>
      <c r="I217" s="1673"/>
      <c r="J217" s="1673"/>
      <c r="K217" s="1672">
        <f t="shared" si="19"/>
        <v>120651</v>
      </c>
      <c r="L217" s="1573">
        <v>128000</v>
      </c>
    </row>
    <row r="218" spans="1:14" x14ac:dyDescent="0.2">
      <c r="A218" s="1274" t="s">
        <v>276</v>
      </c>
      <c r="B218" s="503" t="s">
        <v>962</v>
      </c>
      <c r="C218" s="1673"/>
      <c r="D218" s="1574">
        <f>5913+8467</f>
        <v>14380</v>
      </c>
      <c r="E218" s="1673"/>
      <c r="F218" s="1673"/>
      <c r="G218" s="1673"/>
      <c r="H218" s="1673"/>
      <c r="I218" s="1673"/>
      <c r="J218" s="1673"/>
      <c r="K218" s="1672">
        <f t="shared" si="19"/>
        <v>14380</v>
      </c>
      <c r="L218" s="1573">
        <v>15600</v>
      </c>
    </row>
    <row r="219" spans="1:14" x14ac:dyDescent="0.2">
      <c r="A219" s="1274" t="s">
        <v>277</v>
      </c>
      <c r="B219" s="503">
        <v>1250</v>
      </c>
      <c r="C219" s="1673"/>
      <c r="D219" s="1573">
        <f>233+6332</f>
        <v>6565</v>
      </c>
      <c r="E219" s="1673"/>
      <c r="F219" s="1673"/>
      <c r="G219" s="1673"/>
      <c r="H219" s="1673"/>
      <c r="I219" s="1673"/>
      <c r="J219" s="1673"/>
      <c r="K219" s="1672">
        <f t="shared" si="19"/>
        <v>6565</v>
      </c>
      <c r="L219" s="1573">
        <v>6100</v>
      </c>
    </row>
    <row r="220" spans="1:14" x14ac:dyDescent="0.2">
      <c r="A220" s="1274" t="s">
        <v>278</v>
      </c>
      <c r="B220" s="503" t="s">
        <v>160</v>
      </c>
      <c r="C220" s="1673"/>
      <c r="D220" s="1574">
        <f>7472+7547</f>
        <v>15019</v>
      </c>
      <c r="E220" s="1673"/>
      <c r="F220" s="1673"/>
      <c r="G220" s="1673"/>
      <c r="H220" s="1673"/>
      <c r="I220" s="1673"/>
      <c r="J220" s="1673"/>
      <c r="K220" s="1672">
        <f t="shared" si="19"/>
        <v>15019</v>
      </c>
      <c r="L220" s="1573">
        <v>14500</v>
      </c>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f>3102+870+978</f>
        <v>4950</v>
      </c>
      <c r="E222" s="1673"/>
      <c r="F222" s="1673"/>
      <c r="G222" s="1673"/>
      <c r="H222" s="1673"/>
      <c r="I222" s="1673"/>
      <c r="J222" s="1673"/>
      <c r="K222" s="1672">
        <f t="shared" si="19"/>
        <v>4950</v>
      </c>
      <c r="L222" s="1573">
        <v>4950</v>
      </c>
    </row>
    <row r="223" spans="1:14" x14ac:dyDescent="0.2">
      <c r="A223" s="1274" t="s">
        <v>957</v>
      </c>
      <c r="B223" s="503">
        <v>1500</v>
      </c>
      <c r="C223" s="1673"/>
      <c r="D223" s="1573">
        <f>1080+13622</f>
        <v>14702</v>
      </c>
      <c r="E223" s="1673"/>
      <c r="F223" s="1673"/>
      <c r="G223" s="1673"/>
      <c r="H223" s="1673"/>
      <c r="I223" s="1673"/>
      <c r="J223" s="1673"/>
      <c r="K223" s="1672">
        <f t="shared" si="19"/>
        <v>14702</v>
      </c>
      <c r="L223" s="1573">
        <v>15500</v>
      </c>
    </row>
    <row r="224" spans="1:14" x14ac:dyDescent="0.2">
      <c r="A224" s="1274" t="s">
        <v>958</v>
      </c>
      <c r="B224" s="503">
        <v>1600</v>
      </c>
      <c r="C224" s="1673"/>
      <c r="D224" s="1573">
        <f>137+754</f>
        <v>891</v>
      </c>
      <c r="E224" s="1673"/>
      <c r="F224" s="1673"/>
      <c r="G224" s="1673"/>
      <c r="H224" s="1673"/>
      <c r="I224" s="1673"/>
      <c r="J224" s="1673"/>
      <c r="K224" s="1672">
        <f t="shared" si="19"/>
        <v>891</v>
      </c>
      <c r="L224" s="1573">
        <v>900</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305060</v>
      </c>
      <c r="E229" s="1673"/>
      <c r="F229" s="1673"/>
      <c r="G229" s="1673"/>
      <c r="H229" s="1673"/>
      <c r="I229" s="1673"/>
      <c r="J229" s="1673"/>
      <c r="K229" s="1674">
        <f>SUM(K215:K228)</f>
        <v>305060</v>
      </c>
      <c r="L229" s="1674">
        <f>SUM(L215:L228)</f>
        <v>313450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f>1040+4940</f>
        <v>5980</v>
      </c>
      <c r="E232" s="1673"/>
      <c r="F232" s="1673"/>
      <c r="G232" s="1673"/>
      <c r="H232" s="1673"/>
      <c r="I232" s="1673"/>
      <c r="J232" s="1673"/>
      <c r="K232" s="1672">
        <f t="shared" ref="K232:K237" si="20">D232</f>
        <v>5980</v>
      </c>
      <c r="L232" s="1573">
        <v>6800</v>
      </c>
    </row>
    <row r="233" spans="1:12" x14ac:dyDescent="0.2">
      <c r="A233" s="1274" t="s">
        <v>1081</v>
      </c>
      <c r="B233" s="503">
        <v>2120</v>
      </c>
      <c r="C233" s="1673"/>
      <c r="D233" s="1573">
        <v>2737</v>
      </c>
      <c r="E233" s="1673"/>
      <c r="F233" s="1673"/>
      <c r="G233" s="1673"/>
      <c r="H233" s="1673"/>
      <c r="I233" s="1673"/>
      <c r="J233" s="1673"/>
      <c r="K233" s="1672">
        <f t="shared" si="20"/>
        <v>2737</v>
      </c>
      <c r="L233" s="1573">
        <v>3000</v>
      </c>
    </row>
    <row r="234" spans="1:12" x14ac:dyDescent="0.2">
      <c r="A234" s="1274" t="s">
        <v>196</v>
      </c>
      <c r="B234" s="503">
        <v>2130</v>
      </c>
      <c r="C234" s="1673"/>
      <c r="D234" s="1573">
        <f>7801+7639</f>
        <v>15440</v>
      </c>
      <c r="E234" s="1673"/>
      <c r="F234" s="1673"/>
      <c r="G234" s="1673"/>
      <c r="H234" s="1673"/>
      <c r="I234" s="1673"/>
      <c r="J234" s="1673"/>
      <c r="K234" s="1672">
        <f t="shared" si="20"/>
        <v>15440</v>
      </c>
      <c r="L234" s="1573">
        <v>16000</v>
      </c>
    </row>
    <row r="235" spans="1:12" x14ac:dyDescent="0.2">
      <c r="A235" s="1274" t="s">
        <v>197</v>
      </c>
      <c r="B235" s="503">
        <v>2140</v>
      </c>
      <c r="C235" s="1673"/>
      <c r="D235" s="1573">
        <v>1835</v>
      </c>
      <c r="E235" s="1673"/>
      <c r="F235" s="1673"/>
      <c r="G235" s="1673"/>
      <c r="H235" s="1673"/>
      <c r="I235" s="1673"/>
      <c r="J235" s="1673"/>
      <c r="K235" s="1672">
        <f t="shared" si="20"/>
        <v>1835</v>
      </c>
      <c r="L235" s="1573">
        <v>2000</v>
      </c>
    </row>
    <row r="236" spans="1:12" x14ac:dyDescent="0.2">
      <c r="A236" s="1274" t="s">
        <v>198</v>
      </c>
      <c r="B236" s="503">
        <v>2150</v>
      </c>
      <c r="C236" s="1673"/>
      <c r="D236" s="1573">
        <f>3661</f>
        <v>3661</v>
      </c>
      <c r="E236" s="1673"/>
      <c r="F236" s="1673"/>
      <c r="G236" s="1673"/>
      <c r="H236" s="1673"/>
      <c r="I236" s="1673"/>
      <c r="J236" s="1673"/>
      <c r="K236" s="1672">
        <f t="shared" si="20"/>
        <v>3661</v>
      </c>
      <c r="L236" s="1573">
        <v>3500</v>
      </c>
    </row>
    <row r="237" spans="1:12" x14ac:dyDescent="0.2">
      <c r="A237" s="1274" t="s">
        <v>164</v>
      </c>
      <c r="B237" s="503">
        <v>2190</v>
      </c>
      <c r="C237" s="1673"/>
      <c r="D237" s="1573">
        <f>1233+2279</f>
        <v>3512</v>
      </c>
      <c r="E237" s="1673"/>
      <c r="F237" s="1673"/>
      <c r="G237" s="1673"/>
      <c r="H237" s="1673"/>
      <c r="I237" s="1673"/>
      <c r="J237" s="1673"/>
      <c r="K237" s="1672">
        <f t="shared" si="20"/>
        <v>3512</v>
      </c>
      <c r="L237" s="1573">
        <v>2000</v>
      </c>
    </row>
    <row r="238" spans="1:12" ht="12.75" customHeight="1" thickBot="1" x14ac:dyDescent="0.25">
      <c r="A238" s="1380" t="s">
        <v>556</v>
      </c>
      <c r="B238" s="1383" t="s">
        <v>711</v>
      </c>
      <c r="C238" s="1673"/>
      <c r="D238" s="1674">
        <f>SUM(D232:D237)</f>
        <v>33165</v>
      </c>
      <c r="E238" s="1673"/>
      <c r="F238" s="1673"/>
      <c r="G238" s="1673"/>
      <c r="H238" s="1673"/>
      <c r="I238" s="1673"/>
      <c r="J238" s="1673"/>
      <c r="K238" s="1674">
        <f>SUM(K232:K237)</f>
        <v>33165</v>
      </c>
      <c r="L238" s="1674">
        <f>SUM(L232:L237)</f>
        <v>33300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f>3946+5023</f>
        <v>8969</v>
      </c>
      <c r="E240" s="1673"/>
      <c r="F240" s="1673"/>
      <c r="G240" s="1673"/>
      <c r="H240" s="1673"/>
      <c r="I240" s="1673"/>
      <c r="J240" s="1673"/>
      <c r="K240" s="1678">
        <f>D240</f>
        <v>8969</v>
      </c>
      <c r="L240" s="1586">
        <v>10100</v>
      </c>
    </row>
    <row r="241" spans="1:12" x14ac:dyDescent="0.2">
      <c r="A241" s="1274" t="s">
        <v>810</v>
      </c>
      <c r="B241" s="503">
        <v>2220</v>
      </c>
      <c r="C241" s="1673"/>
      <c r="D241" s="1573">
        <f>21165+19123</f>
        <v>40288</v>
      </c>
      <c r="E241" s="1673"/>
      <c r="F241" s="1673"/>
      <c r="G241" s="1673"/>
      <c r="H241" s="1673"/>
      <c r="I241" s="1673"/>
      <c r="J241" s="1673"/>
      <c r="K241" s="1678">
        <f>D241</f>
        <v>40288</v>
      </c>
      <c r="L241" s="1573">
        <v>51300</v>
      </c>
    </row>
    <row r="242" spans="1:12" x14ac:dyDescent="0.2">
      <c r="A242" s="1274" t="s">
        <v>811</v>
      </c>
      <c r="B242" s="503">
        <v>2230</v>
      </c>
      <c r="C242" s="1673"/>
      <c r="D242" s="1573">
        <v>4855</v>
      </c>
      <c r="E242" s="1673"/>
      <c r="F242" s="1673"/>
      <c r="G242" s="1673"/>
      <c r="H242" s="1673"/>
      <c r="I242" s="1673"/>
      <c r="J242" s="1673"/>
      <c r="K242" s="1678">
        <f>D242</f>
        <v>4855</v>
      </c>
      <c r="L242" s="1573"/>
    </row>
    <row r="243" spans="1:12" ht="12.75" customHeight="1" thickBot="1" x14ac:dyDescent="0.25">
      <c r="A243" s="1396" t="s">
        <v>557</v>
      </c>
      <c r="B243" s="1397">
        <v>2200</v>
      </c>
      <c r="C243" s="1673"/>
      <c r="D243" s="1674">
        <f>SUM(D240:D242)</f>
        <v>54112</v>
      </c>
      <c r="E243" s="1673"/>
      <c r="F243" s="1673"/>
      <c r="G243" s="1673"/>
      <c r="H243" s="1673"/>
      <c r="I243" s="1673"/>
      <c r="J243" s="1673"/>
      <c r="K243" s="1674">
        <f>SUM(K240:K242)</f>
        <v>54112</v>
      </c>
      <c r="L243" s="1674">
        <f>SUM(L240:L242)</f>
        <v>61400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f>6635</f>
        <v>6635</v>
      </c>
      <c r="E246" s="1673"/>
      <c r="F246" s="1673"/>
      <c r="G246" s="1673"/>
      <c r="H246" s="1673"/>
      <c r="I246" s="1673"/>
      <c r="J246" s="1673"/>
      <c r="K246" s="1678">
        <f t="shared" ref="K246:K256" si="21">D246</f>
        <v>6635</v>
      </c>
      <c r="L246" s="1573">
        <v>14700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6635</v>
      </c>
      <c r="E257" s="1673"/>
      <c r="F257" s="1673"/>
      <c r="G257" s="1673"/>
      <c r="H257" s="1673"/>
      <c r="I257" s="1673"/>
      <c r="J257" s="1673"/>
      <c r="K257" s="1674">
        <f>SUM(K245:K256)</f>
        <v>6635</v>
      </c>
      <c r="L257" s="1674">
        <f>SUM(L245:L256)</f>
        <v>14700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f>20682+26256+1204</f>
        <v>48142</v>
      </c>
      <c r="E259" s="1673"/>
      <c r="F259" s="1673"/>
      <c r="G259" s="1673"/>
      <c r="H259" s="1673"/>
      <c r="I259" s="1673"/>
      <c r="J259" s="1673"/>
      <c r="K259" s="1678">
        <f>D259</f>
        <v>48142</v>
      </c>
      <c r="L259" s="1586">
        <v>48000</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48142</v>
      </c>
      <c r="E261" s="1673"/>
      <c r="F261" s="1673"/>
      <c r="G261" s="1673"/>
      <c r="H261" s="1673"/>
      <c r="I261" s="1673"/>
      <c r="J261" s="1673"/>
      <c r="K261" s="1674">
        <f>SUM(K259:K260)</f>
        <v>48142</v>
      </c>
      <c r="L261" s="1674">
        <f>SUM(L259:L260)</f>
        <v>48000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1116</v>
      </c>
      <c r="E263" s="1673"/>
      <c r="F263" s="1673"/>
      <c r="G263" s="1673"/>
      <c r="H263" s="1673"/>
      <c r="I263" s="1673"/>
      <c r="J263" s="1673"/>
      <c r="K263" s="1678">
        <f>D263</f>
        <v>1116</v>
      </c>
      <c r="L263" s="1586">
        <v>1100</v>
      </c>
    </row>
    <row r="264" spans="1:14" x14ac:dyDescent="0.2">
      <c r="A264" s="1274" t="s">
        <v>460</v>
      </c>
      <c r="B264" s="559">
        <v>2520</v>
      </c>
      <c r="C264" s="1673"/>
      <c r="D264" s="1573">
        <f>10770+9072</f>
        <v>19842</v>
      </c>
      <c r="E264" s="1673"/>
      <c r="F264" s="1673"/>
      <c r="G264" s="1673"/>
      <c r="H264" s="1673"/>
      <c r="I264" s="1673"/>
      <c r="J264" s="1673"/>
      <c r="K264" s="1678">
        <f t="shared" ref="K264:K269" si="22">D264</f>
        <v>19842</v>
      </c>
      <c r="L264" s="1573">
        <v>28000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96158+81672</f>
        <v>177830</v>
      </c>
      <c r="E266" s="1673"/>
      <c r="F266" s="1673"/>
      <c r="G266" s="1673"/>
      <c r="H266" s="1673"/>
      <c r="I266" s="1673"/>
      <c r="J266" s="1673"/>
      <c r="K266" s="1678">
        <f t="shared" si="22"/>
        <v>177830</v>
      </c>
      <c r="L266" s="1573">
        <v>212000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f>19934+24897</f>
        <v>44831</v>
      </c>
      <c r="E268" s="1673"/>
      <c r="F268" s="1673"/>
      <c r="G268" s="1673"/>
      <c r="H268" s="1673"/>
      <c r="I268" s="1673"/>
      <c r="J268" s="1673"/>
      <c r="K268" s="1678">
        <f t="shared" si="22"/>
        <v>44831</v>
      </c>
      <c r="L268" s="1573">
        <v>49900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243619</v>
      </c>
      <c r="E270" s="1673"/>
      <c r="F270" s="1673"/>
      <c r="G270" s="1673"/>
      <c r="H270" s="1673"/>
      <c r="I270" s="1673"/>
      <c r="J270" s="1673"/>
      <c r="K270" s="1674">
        <f>SUM(K263:K269)</f>
        <v>243619</v>
      </c>
      <c r="L270" s="1674">
        <f>SUM(L263:L269)</f>
        <v>291000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89800</v>
      </c>
    </row>
    <row r="279" spans="1:12" ht="12.75" customHeight="1" thickBot="1" x14ac:dyDescent="0.25">
      <c r="A279" s="1400" t="s">
        <v>806</v>
      </c>
      <c r="B279" s="1387">
        <v>2000</v>
      </c>
      <c r="C279" s="1673"/>
      <c r="D279" s="1681">
        <f>SUM(D238,D243,D257,D261,D270,D277,D278)</f>
        <v>385673</v>
      </c>
      <c r="E279" s="1673"/>
      <c r="F279" s="1673"/>
      <c r="G279" s="1673"/>
      <c r="H279" s="1673"/>
      <c r="I279" s="1673"/>
      <c r="J279" s="1673"/>
      <c r="K279" s="1681">
        <f>SUM(K238,K243,K257,K261,K270,K277,K278)</f>
        <v>385673</v>
      </c>
      <c r="L279" s="1681">
        <f>SUM(L238,L243,L257,L261,L270,L277,L278)</f>
        <v>538200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690733</v>
      </c>
      <c r="E295" s="1673"/>
      <c r="F295" s="1673"/>
      <c r="G295" s="1673"/>
      <c r="H295" s="1674">
        <f>H293</f>
        <v>0</v>
      </c>
      <c r="I295" s="1673"/>
      <c r="J295" s="1673"/>
      <c r="K295" s="1674">
        <f>SUM(K229,K279,K280,K285,K293,K294)</f>
        <v>690733</v>
      </c>
      <c r="L295" s="1674">
        <f>SUM(L229,L279,L280,L285,L293,L294)</f>
        <v>851650</v>
      </c>
    </row>
    <row r="296" spans="1:14" ht="13.5" thickTop="1" x14ac:dyDescent="0.2">
      <c r="A296" s="2262" t="s">
        <v>989</v>
      </c>
      <c r="B296" s="2263"/>
      <c r="C296" s="1673"/>
      <c r="D296" s="1675"/>
      <c r="E296" s="1673"/>
      <c r="F296" s="1673"/>
      <c r="G296" s="1673"/>
      <c r="H296" s="1707"/>
      <c r="I296" s="1673"/>
      <c r="J296" s="1673"/>
      <c r="K296" s="1689">
        <f>'Revenues 9-14'!G268-'Expenditures 15-22'!K295</f>
        <v>46309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69889</v>
      </c>
      <c r="F301" s="1573"/>
      <c r="G301" s="1573">
        <v>517978</v>
      </c>
      <c r="H301" s="1573"/>
      <c r="I301" s="1574"/>
      <c r="J301" s="1574"/>
      <c r="K301" s="1672">
        <f>SUM(C301:J301)</f>
        <v>587867</v>
      </c>
      <c r="L301" s="1574">
        <v>680000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69889</v>
      </c>
      <c r="F303" s="1681">
        <f t="shared" si="23"/>
        <v>0</v>
      </c>
      <c r="G303" s="1681">
        <f t="shared" si="23"/>
        <v>517978</v>
      </c>
      <c r="H303" s="1681">
        <f t="shared" si="23"/>
        <v>0</v>
      </c>
      <c r="I303" s="1681">
        <f t="shared" si="23"/>
        <v>0</v>
      </c>
      <c r="J303" s="1681">
        <f t="shared" si="23"/>
        <v>0</v>
      </c>
      <c r="K303" s="1681">
        <f t="shared" si="23"/>
        <v>587867</v>
      </c>
      <c r="L303" s="1681">
        <f t="shared" si="23"/>
        <v>680000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69889</v>
      </c>
      <c r="F312" s="1674">
        <f>SUM(F303)</f>
        <v>0</v>
      </c>
      <c r="G312" s="1674">
        <f>SUM(G303)</f>
        <v>517978</v>
      </c>
      <c r="H312" s="1674">
        <f>SUM(H303,H310)</f>
        <v>0</v>
      </c>
      <c r="I312" s="1674">
        <f>SUM(I303)</f>
        <v>0</v>
      </c>
      <c r="J312" s="1674">
        <f>SUM(J303)</f>
        <v>0</v>
      </c>
      <c r="K312" s="1674">
        <f>SUM(K303,K310,K311)</f>
        <v>587867</v>
      </c>
      <c r="L312" s="1674">
        <f>SUM(L303,L310,L311)</f>
        <v>680000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-539631</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81047</v>
      </c>
      <c r="F322" s="1574"/>
      <c r="G322" s="1574"/>
      <c r="H322" s="1574"/>
      <c r="I322" s="1574"/>
      <c r="J322" s="1574"/>
      <c r="K322" s="1672">
        <f t="shared" si="24"/>
        <v>81047</v>
      </c>
      <c r="L322" s="1574">
        <v>110000</v>
      </c>
      <c r="M322" s="539"/>
      <c r="N322" s="539"/>
    </row>
    <row r="323" spans="1:14" s="548" customFormat="1" x14ac:dyDescent="0.2">
      <c r="A323" s="1289" t="s">
        <v>697</v>
      </c>
      <c r="B323" s="567" t="s">
        <v>283</v>
      </c>
      <c r="C323" s="1574"/>
      <c r="D323" s="1574"/>
      <c r="E323" s="1574">
        <v>60000</v>
      </c>
      <c r="F323" s="1574"/>
      <c r="G323" s="1574"/>
      <c r="H323" s="1574"/>
      <c r="I323" s="1574"/>
      <c r="J323" s="1574"/>
      <c r="K323" s="1672">
        <f t="shared" si="24"/>
        <v>60000</v>
      </c>
      <c r="L323" s="1574">
        <v>60000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6727</v>
      </c>
      <c r="F325" s="1574"/>
      <c r="G325" s="1574"/>
      <c r="H325" s="1574"/>
      <c r="I325" s="1574"/>
      <c r="J325" s="1574"/>
      <c r="K325" s="1672">
        <f t="shared" si="24"/>
        <v>6727</v>
      </c>
      <c r="L325" s="1574">
        <v>56000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147774</v>
      </c>
      <c r="F330" s="1674">
        <f t="shared" si="25"/>
        <v>0</v>
      </c>
      <c r="G330" s="1674">
        <f t="shared" si="25"/>
        <v>0</v>
      </c>
      <c r="H330" s="1674">
        <f t="shared" si="25"/>
        <v>0</v>
      </c>
      <c r="I330" s="1674">
        <f t="shared" si="25"/>
        <v>0</v>
      </c>
      <c r="J330" s="1674">
        <f t="shared" si="25"/>
        <v>0</v>
      </c>
      <c r="K330" s="1674">
        <f>SUM(K319:K329)</f>
        <v>147774</v>
      </c>
      <c r="L330" s="1674">
        <f>SUM(L319:L329)</f>
        <v>226000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147774</v>
      </c>
      <c r="F342" s="1674">
        <f>SUM(F330)</f>
        <v>0</v>
      </c>
      <c r="G342" s="1674">
        <f>SUM(G330)</f>
        <v>0</v>
      </c>
      <c r="H342" s="1674">
        <f>SUM(H330,H334,H340)</f>
        <v>0</v>
      </c>
      <c r="I342" s="1674">
        <f>SUM(I330)</f>
        <v>0</v>
      </c>
      <c r="J342" s="1674">
        <f>SUM(J330)</f>
        <v>0</v>
      </c>
      <c r="K342" s="1674">
        <f>SUM(K330,K334,K340)</f>
        <v>147774</v>
      </c>
      <c r="L342" s="1681">
        <f>SUM(L330,L334,L340,L341)</f>
        <v>226000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91518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600</v>
      </c>
      <c r="F348" s="1573"/>
      <c r="G348" s="1573"/>
      <c r="H348" s="1573"/>
      <c r="I348" s="1574"/>
      <c r="J348" s="1574"/>
      <c r="K348" s="1672">
        <f>SUM(C348:J348)</f>
        <v>600</v>
      </c>
      <c r="L348" s="1573">
        <v>45000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600</v>
      </c>
      <c r="F350" s="1674">
        <f t="shared" si="26"/>
        <v>0</v>
      </c>
      <c r="G350" s="1674">
        <f t="shared" si="26"/>
        <v>0</v>
      </c>
      <c r="H350" s="1674">
        <f t="shared" si="26"/>
        <v>0</v>
      </c>
      <c r="I350" s="1674">
        <f t="shared" si="26"/>
        <v>0</v>
      </c>
      <c r="J350" s="1674">
        <f t="shared" si="26"/>
        <v>0</v>
      </c>
      <c r="K350" s="1674">
        <f t="shared" si="26"/>
        <v>600</v>
      </c>
      <c r="L350" s="1674">
        <f t="shared" si="26"/>
        <v>45000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600</v>
      </c>
      <c r="F352" s="1674">
        <f t="shared" si="27"/>
        <v>0</v>
      </c>
      <c r="G352" s="1674">
        <f t="shared" si="27"/>
        <v>0</v>
      </c>
      <c r="H352" s="1674">
        <f t="shared" si="27"/>
        <v>0</v>
      </c>
      <c r="I352" s="1674">
        <f t="shared" si="27"/>
        <v>0</v>
      </c>
      <c r="J352" s="1674">
        <f t="shared" si="27"/>
        <v>0</v>
      </c>
      <c r="K352" s="1674">
        <f t="shared" si="27"/>
        <v>600</v>
      </c>
      <c r="L352" s="1674">
        <f t="shared" si="27"/>
        <v>45000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600</v>
      </c>
      <c r="F367" s="1674">
        <f t="shared" si="28"/>
        <v>0</v>
      </c>
      <c r="G367" s="1674">
        <f t="shared" si="28"/>
        <v>0</v>
      </c>
      <c r="H367" s="1674">
        <f t="shared" si="28"/>
        <v>0</v>
      </c>
      <c r="I367" s="1674">
        <f t="shared" si="28"/>
        <v>0</v>
      </c>
      <c r="J367" s="1674">
        <f t="shared" si="28"/>
        <v>0</v>
      </c>
      <c r="K367" s="1674">
        <f t="shared" si="28"/>
        <v>600</v>
      </c>
      <c r="L367" s="1674">
        <f t="shared" si="28"/>
        <v>45000</v>
      </c>
    </row>
    <row r="368" spans="1:14" ht="13.5" thickTop="1" x14ac:dyDescent="0.2">
      <c r="A368" s="2262" t="s">
        <v>989</v>
      </c>
      <c r="B368" s="2263"/>
      <c r="C368" s="1694"/>
      <c r="D368" s="1694"/>
      <c r="E368" s="1677"/>
      <c r="F368" s="1677"/>
      <c r="G368" s="1677"/>
      <c r="H368" s="1677"/>
      <c r="I368" s="1677"/>
      <c r="J368" s="1676"/>
      <c r="K368" s="1672">
        <f>'Revenues 9-14'!K268-'Expenditures 15-22'!K367</f>
        <v>39270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schemas.openxmlformats.org/package/2006/metadata/core-properties"/>
    <ds:schemaRef ds:uri="http://schemas.microsoft.com/office/2006/metadata/properties"/>
    <ds:schemaRef ds:uri="http://schemas.microsoft.com/sharepoint/v3"/>
    <ds:schemaRef ds:uri="d21dc803-237d-4c68-8692-8d731fd29118"/>
    <ds:schemaRef ds:uri="6ce3111e-7420-4802-b50a-75d4e9a0b980"/>
    <ds:schemaRef ds:uri="http://schemas.microsoft.com/office/infopath/2007/PartnerControls"/>
    <ds:schemaRef ds:uri="http://schemas.microsoft.com/office/2006/documentManagement/types"/>
    <ds:schemaRef ds:uri="http://purl.org/dc/elements/1.1/"/>
    <ds:schemaRef ds:uri="http://www.w3.org/XML/1998/namespace"/>
    <ds:schemaRef ds:uri="http://purl.org/dc/dcmitype/"/>
    <ds:schemaRef ds:uri="4d435f69-8686-490b-bd6d-b153bf22ab50"/>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AUDITCHECK</vt:lpstr>
      <vt:lpstr>AFR20</vt:lpstr>
      <vt:lpstr>Single Audit Cover</vt:lpstr>
      <vt:lpstr>Single Audit Checklist</vt:lpstr>
      <vt:lpstr>DeficitAFRSum Calc 37</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2020-08-27T16:58:43Z</cp:lastPrinted>
  <dcterms:created xsi:type="dcterms:W3CDTF">2003-10-29T19:06:34Z</dcterms:created>
  <dcterms:modified xsi:type="dcterms:W3CDTF">2020-09-16T16:51:45Z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