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88DA81C-8F3D-49EB-94B8-26EA8A96FE4C}" xr6:coauthVersionLast="36" xr6:coauthVersionMax="36" xr10:uidLastSave="{00000000-0000-0000-0000-000000000000}"/>
  <bookViews>
    <workbookView xWindow="-120" yWindow="-120" windowWidth="29040" windowHeight="15840" tabRatio="84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SEFA'!$B$1:$M$59</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5" i="179" l="1"/>
  <c r="G23" i="179"/>
  <c r="E34" i="179"/>
  <c r="E25" i="179"/>
  <c r="E23" i="179"/>
  <c r="E40" i="179" l="1"/>
  <c r="J18" i="12"/>
  <c r="E10" i="108" l="1"/>
  <c r="G38" i="174" l="1"/>
  <c r="L15" i="179"/>
  <c r="C34" i="173"/>
  <c r="C33" i="173"/>
  <c r="F34" i="179"/>
  <c r="F25" i="179"/>
  <c r="I25" i="179"/>
  <c r="I23" i="179"/>
  <c r="F23" i="179"/>
  <c r="I34" i="179" l="1"/>
  <c r="G34" i="179"/>
  <c r="G40" i="179" s="1"/>
  <c r="L38" i="179"/>
  <c r="L31" i="179"/>
  <c r="L32" i="179"/>
  <c r="L30" i="179"/>
  <c r="L29" i="179"/>
  <c r="L28" i="179"/>
  <c r="I40" i="179" l="1"/>
  <c r="D45" i="174" s="1"/>
  <c r="F40" i="179"/>
  <c r="D35" i="171" s="1"/>
  <c r="L34" i="179"/>
  <c r="L22" i="179"/>
  <c r="D65" i="5" l="1"/>
  <c r="H55" i="29"/>
  <c r="I12" i="11" l="1"/>
  <c r="J8" i="12"/>
  <c r="M19" i="3"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40" i="179" l="1"/>
  <c r="L27" i="179"/>
  <c r="L25" i="179"/>
  <c r="L21" i="179"/>
  <c r="L20" i="179"/>
  <c r="L19" i="179"/>
  <c r="L18" i="179"/>
  <c r="L17" i="179"/>
  <c r="L16"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D7800"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J34" i="8" s="1"/>
  <c r="I35" i="8"/>
  <c r="J35" i="8" s="1"/>
  <c r="I36" i="8"/>
  <c r="J36" i="8" s="1"/>
  <c r="I37" i="8"/>
  <c r="J37" i="8" s="1"/>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F31" i="108"/>
  <c r="F36"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F67" i="34"/>
  <c r="C68" i="34"/>
  <c r="D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l="1"/>
  <c r="G35" i="108"/>
  <c r="J129" i="29"/>
  <c r="B7038" i="106" s="1"/>
  <c r="D7038" i="106" s="1"/>
  <c r="I129" i="29"/>
  <c r="B7037" i="106" s="1"/>
  <c r="D7037" i="106" s="1"/>
  <c r="H33" i="118"/>
  <c r="F50" i="34"/>
  <c r="B7076" i="106"/>
  <c r="D7076" i="106" s="1"/>
  <c r="C129" i="29"/>
  <c r="B1225" i="106" s="1"/>
  <c r="D1225" i="106" s="1"/>
  <c r="B7047" i="106"/>
  <c r="D7047" i="106" s="1"/>
  <c r="B2724" i="106"/>
  <c r="D2724" i="106" s="1"/>
  <c r="F36" i="34"/>
  <c r="B7828" i="106" s="1"/>
  <c r="D7828" i="106" s="1"/>
  <c r="E34" i="108"/>
  <c r="F34" i="34"/>
  <c r="B7826" i="106" s="1"/>
  <c r="D7826" i="106" s="1"/>
  <c r="G26" i="108"/>
  <c r="B6995" i="106"/>
  <c r="D6995" i="106" s="1"/>
  <c r="L22" i="37"/>
  <c r="H342" i="29"/>
  <c r="B7221" i="106" s="1"/>
  <c r="D7221" i="106" s="1"/>
  <c r="H365" i="29"/>
  <c r="B7242" i="106" s="1"/>
  <c r="D7242" i="106" s="1"/>
  <c r="J6" i="12"/>
  <c r="B5090" i="106"/>
  <c r="D5090" i="106" s="1"/>
  <c r="D22" i="37"/>
  <c r="D69" i="36"/>
  <c r="D68" i="36"/>
  <c r="B4211" i="106"/>
  <c r="D4211" i="106" s="1"/>
  <c r="F52" i="34"/>
  <c r="B7831" i="106" s="1"/>
  <c r="D7831" i="106" s="1"/>
  <c r="G39" i="108"/>
  <c r="G30" i="108"/>
  <c r="I210" i="29"/>
  <c r="B7071" i="106" s="1"/>
  <c r="D7071" i="106" s="1"/>
  <c r="F42" i="34"/>
  <c r="D24" i="37"/>
  <c r="B4270" i="106" s="1"/>
  <c r="D4270" i="106" s="1"/>
  <c r="B7171" i="106"/>
  <c r="D7171" i="106" s="1"/>
  <c r="E62" i="184"/>
  <c r="N62" i="184" s="1"/>
  <c r="B7198" i="106"/>
  <c r="D7198" i="106" s="1"/>
  <c r="E65" i="184"/>
  <c r="N65" i="184" s="1"/>
  <c r="B7162" i="106"/>
  <c r="D7162" i="106" s="1"/>
  <c r="E61" i="184"/>
  <c r="N61" i="184" s="1"/>
  <c r="B7126" i="106"/>
  <c r="D7126" i="106" s="1"/>
  <c r="E57" i="184"/>
  <c r="H15" i="184"/>
  <c r="B7135" i="106"/>
  <c r="D7135" i="106" s="1"/>
  <c r="E58" i="184"/>
  <c r="N58" i="184" s="1"/>
  <c r="F70" i="34"/>
  <c r="F37" i="34"/>
  <c r="B7829" i="106" s="1"/>
  <c r="D7829" i="106" s="1"/>
  <c r="B7189" i="106"/>
  <c r="D7189" i="106" s="1"/>
  <c r="E64" i="184"/>
  <c r="N64" i="184" s="1"/>
  <c r="B7153" i="106"/>
  <c r="D7153" i="106" s="1"/>
  <c r="E60" i="184"/>
  <c r="N60" i="184" s="1"/>
  <c r="B6289" i="106"/>
  <c r="D6289" i="106" s="1"/>
  <c r="C352" i="29"/>
  <c r="C367" i="29" s="1"/>
  <c r="B3622" i="106" s="1"/>
  <c r="D3622" i="106" s="1"/>
  <c r="H76" i="4"/>
  <c r="B3298" i="106" s="1"/>
  <c r="D3298" i="106" s="1"/>
  <c r="B1274" i="106"/>
  <c r="D1274" i="106" s="1"/>
  <c r="D31" i="108"/>
  <c r="E16" i="184"/>
  <c r="H16" i="184" s="1"/>
  <c r="B7696" i="106"/>
  <c r="D7696" i="106" s="1"/>
  <c r="E66" i="184"/>
  <c r="N66" i="184" s="1"/>
  <c r="H12" i="184"/>
  <c r="C342" i="29"/>
  <c r="B7216" i="106" s="1"/>
  <c r="D7216" i="106" s="1"/>
  <c r="B7705" i="106"/>
  <c r="D7705" i="106" s="1"/>
  <c r="E67" i="184"/>
  <c r="N67" i="184" s="1"/>
  <c r="B7180" i="106"/>
  <c r="D7180" i="106" s="1"/>
  <c r="E63" i="184"/>
  <c r="N63"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B7730" i="106"/>
  <c r="D7730" i="106" s="1"/>
  <c r="B3621" i="106" l="1"/>
  <c r="D3621" i="106" s="1"/>
  <c r="B7215" i="106"/>
  <c r="D7215" i="106" s="1"/>
  <c r="C151" i="29"/>
  <c r="B1226" i="106" s="1"/>
  <c r="D1226" i="106" s="1"/>
  <c r="J39" i="8"/>
  <c r="J49" i="8" s="1"/>
  <c r="B4172" i="106" s="1"/>
  <c r="D4172" i="106" s="1"/>
  <c r="N21" i="3"/>
  <c r="B282" i="106" s="1"/>
  <c r="D282" i="106" s="1"/>
  <c r="B1328" i="106"/>
  <c r="D1328" i="106" s="1"/>
  <c r="B1381" i="106"/>
  <c r="D1381" i="106" s="1"/>
  <c r="B7235" i="106"/>
  <c r="D7235" i="106" s="1"/>
  <c r="F66" i="34"/>
  <c r="K365" i="29"/>
  <c r="K16" i="4" s="1"/>
  <c r="B1266" i="106"/>
  <c r="D1266" i="106" s="1"/>
  <c r="K77" i="4"/>
  <c r="B3587" i="106" s="1"/>
  <c r="D3587" i="106" s="1"/>
  <c r="B7710" i="106"/>
  <c r="D7710" i="106" s="1"/>
  <c r="J12" i="12"/>
  <c r="B5527" i="106"/>
  <c r="D5527" i="106" s="1"/>
  <c r="H77" i="4"/>
  <c r="B3299" i="106" s="1"/>
  <c r="D3299" i="106" s="1"/>
  <c r="B4435" i="106"/>
  <c r="D4435" i="106" s="1"/>
  <c r="F41" i="108"/>
  <c r="G43" i="108" s="1"/>
  <c r="B5770" i="106"/>
  <c r="D5770" i="106" s="1"/>
  <c r="E19" i="184"/>
  <c r="H19" i="184"/>
  <c r="L20" i="184" s="1"/>
  <c r="D44" i="36"/>
  <c r="B6216" i="106"/>
  <c r="D6216" i="106" s="1"/>
  <c r="B7222" i="106"/>
  <c r="D7222" i="106" s="1"/>
  <c r="F76" i="34"/>
  <c r="B7887" i="106" s="1"/>
  <c r="D7887" i="106" s="1"/>
  <c r="B7220" i="106"/>
  <c r="D7220" i="106" s="1"/>
  <c r="F75" i="34"/>
  <c r="B7886" i="106" s="1"/>
  <c r="D7886" i="106" s="1"/>
  <c r="L16" i="11"/>
  <c r="B2061" i="106" s="1"/>
  <c r="D2061" i="106" s="1"/>
  <c r="L114" i="29"/>
  <c r="K342" i="29"/>
  <c r="F13" i="34" s="1"/>
  <c r="E367" i="29"/>
  <c r="B3636" i="106" s="1"/>
  <c r="D3636" i="106" s="1"/>
  <c r="B3635" i="106"/>
  <c r="D3635"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K367" i="29"/>
  <c r="B3678" i="106" s="1"/>
  <c r="D3678" i="106" s="1"/>
  <c r="N22" i="3"/>
  <c r="B283" i="106" s="1"/>
  <c r="D283" i="106" s="1"/>
  <c r="B7243" i="106"/>
  <c r="D7243" i="106" s="1"/>
  <c r="B7718" i="106"/>
  <c r="D7718" i="106" s="1"/>
  <c r="J24" i="12"/>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N23" i="3"/>
  <c r="B284" i="106" s="1"/>
  <c r="D284" i="106" s="1"/>
  <c r="K17" i="4"/>
  <c r="K20" i="4" s="1"/>
  <c r="J26" i="12"/>
  <c r="B7742" i="106" s="1"/>
  <c r="D7742" i="106" s="1"/>
  <c r="B7732" i="106"/>
  <c r="D7732" i="106" s="1"/>
  <c r="F77" i="34"/>
  <c r="B7834" i="106" s="1"/>
  <c r="D7834" i="106" s="1"/>
  <c r="J20" i="4"/>
  <c r="J78" i="4" s="1"/>
  <c r="F8" i="4"/>
  <c r="F10" i="4" s="1"/>
  <c r="B4125" i="106" s="1"/>
  <c r="D4125" i="106" s="1"/>
  <c r="B6223" i="106"/>
  <c r="D6223" i="106" s="1"/>
  <c r="J10" i="4"/>
  <c r="B6225" i="106" s="1"/>
  <c r="D6225"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2595" i="106"/>
  <c r="D2595" i="106"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D81" i="4"/>
  <c r="F10" i="146" l="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<sst xmlns="http://schemas.openxmlformats.org/spreadsheetml/2006/main" count="5286" uniqueCount="2131">
  <si>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</si>
  <si>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</si>
  <si>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</si>
  <si>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</si>
  <si>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</si>
  <si>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</si>
  <si>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</si>
  <si>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</si>
  <si>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</si>
  <si>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</si>
  <si>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</si>
  <si>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</si>
  <si>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</si>
  <si>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</si>
  <si>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</si>
  <si>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</si>
  <si>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</si>
  <si>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</si>
  <si>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</si>
  <si>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</si>
  <si>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</si>
  <si>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</si>
  <si>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</si>
  <si>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</si>
  <si>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</si>
  <si>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</si>
  <si>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</si>
  <si>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</si>
  <si>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</si>
  <si>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</si>
  <si>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</si>
  <si>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</si>
  <si>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</si>
  <si>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</si>
  <si>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</si>
  <si>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</si>
  <si>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</si>
  <si>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</si>
  <si>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</si>
  <si>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</si>
  <si>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</si>
  <si>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</si>
  <si>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</si>
  <si>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</si>
  <si>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</si>
  <si>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</si>
  <si>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</si>
  <si>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</si>
  <si>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</si>
  <si>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</si>
  <si>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</si>
  <si>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</si>
  <si>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</si>
  <si>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</si>
  <si>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</si>
  <si>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</si>
  <si>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</si>
  <si>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</si>
  <si>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</si>
  <si>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</si>
  <si>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</si>
  <si>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</si>
  <si>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</si>
  <si>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</si>
  <si>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</si>
  <si>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</si>
  <si>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</si>
  <si>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</si>
  <si>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</si>
  <si>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</si>
  <si>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</si>
  <si>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</si>
  <si>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</si>
  <si>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</si>
  <si>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</si>
  <si>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</si>
  <si>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</si>
  <si>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</si>
  <si>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</si>
  <si>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</si>
  <si>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</si>
  <si>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</si>
  <si>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</si>
  <si>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</si>
  <si>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</si>
  <si>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</si>
  <si>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</si>
  <si>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</si>
  <si>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</si>
  <si>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</si>
  <si>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</si>
  <si>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</si>
  <si>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</si>
  <si>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</si>
  <si>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</si>
  <si>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</si>
  <si>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</si>
  <si>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</si>
  <si>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</si>
  <si>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</si>
  <si>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</si>
  <si>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</si>
  <si>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</si>
  <si>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</si>
  <si>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</si>
  <si>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</si>
  <si>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</si>
  <si>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</si>
  <si>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</si>
  <si>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</si>
  <si>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</si>
  <si>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</si>
  <si>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</si>
  <si>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</si>
  <si>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</si>
  <si>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</si>
  <si>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</si>
  <si>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</si>
  <si>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</si>
  <si>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</si>
  <si>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</si>
  <si>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</si>
  <si>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</si>
  <si>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</si>
  <si>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</si>
  <si>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</si>
  <si>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</si>
  <si>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</si>
  <si>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</si>
  <si>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</si>
  <si>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</si>
  <si>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</si>
  <si>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</si>
  <si>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</si>
  <si>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</si>
  <si>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</si>
  <si>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</si>
  <si>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</si>
  <si>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</si>
  <si>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</si>
  <si>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</si>
  <si>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</si>
  <si>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</si>
  <si>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</si>
  <si>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</si>
  <si>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</si>
  <si>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</si>
  <si>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</si>
  <si>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</si>
  <si>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</si>
  <si>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</si>
  <si>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</si>
  <si>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</si>
  <si>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</si>
  <si>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</si>
  <si>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</si>
  <si>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</si>
  <si>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</si>
  <si>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</si>
  <si>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</si>
  <si>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</si>
  <si>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</si>
  <si>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</si>
  <si>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</si>
  <si>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</si>
  <si>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</si>
  <si>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</si>
  <si>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</si>
  <si>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</si>
  <si>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</si>
  <si>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</si>
  <si>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</si>
  <si>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</si>
  <si>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</si>
  <si>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</si>
  <si>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</si>
  <si>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</si>
  <si>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</si>
  <si>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</si>
  <si>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</si>
  <si>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</si>
  <si>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</si>
  <si>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</si>
  <si>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</si>
  <si>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</si>
  <si>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</si>
  <si>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</si>
  <si>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</si>
  <si>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</si>
  <si>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</si>
  <si>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</si>
  <si>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</si>
  <si>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</si>
  <si>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</si>
  <si>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</si>
  <si>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</si>
  <si>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</si>
  <si>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</si>
  <si>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</si>
  <si>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</si>
  <si>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</si>
  <si>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</si>
  <si>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</si>
  <si>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</si>
  <si>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</si>
  <si>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</si>
  <si>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</si>
  <si>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</si>
  <si>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</si>
  <si>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</si>
  <si>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</si>
  <si>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</si>
  <si>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</si>
  <si>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</si>
  <si>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</si>
  <si>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</si>
  <si>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</si>
  <si>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</si>
  <si>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</si>
  <si>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</si>
  <si>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</si>
  <si>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</si>
  <si>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</si>
  <si>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</si>
  <si>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</si>
  <si>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</si>
  <si>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</si>
  <si>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</si>
  <si>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</si>
  <si>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</si>
  <si>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</si>
  <si>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</si>
  <si>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</si>
  <si>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</si>
  <si>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</si>
  <si>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</si>
  <si>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</si>
  <si>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</si>
  <si>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</si>
  <si>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</si>
  <si>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</si>
  <si>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</si>
  <si>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</si>
  <si>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</si>
  <si>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</si>
  <si>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</si>
  <si>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</si>
  <si>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</si>
  <si>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</si>
  <si>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</si>
  <si>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</si>
  <si>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</si>
  <si>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</si>
  <si>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</si>
  <si>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</si>
  <si>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</si>
  <si>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</si>
  <si>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</si>
  <si>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</si>
  <si>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</si>
  <si>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</si>
  <si>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</si>
  <si>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</si>
  <si>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</si>
  <si>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</si>
  <si>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</si>
  <si>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</si>
  <si>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</si>
  <si>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</si>
  <si>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</si>
  <si>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</si>
  <si>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</si>
  <si>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</si>
  <si>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</si>
  <si>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</si>
  <si>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</si>
  <si>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</si>
  <si>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</si>
  <si>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</si>
  <si>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</si>
  <si>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</si>
  <si>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</si>
  <si>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</si>
  <si>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</si>
  <si>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</si>
  <si>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</si>
  <si>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</si>
  <si>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</si>
  <si>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</si>
  <si>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</si>
  <si>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</si>
  <si>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</si>
  <si>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</si>
  <si>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</si>
  <si>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</si>
  <si>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</si>
  <si>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</si>
  <si>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</si>
  <si>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</si>
  <si>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</si>
  <si>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</si>
  <si>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</si>
  <si>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</si>
  <si>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</si>
  <si>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</si>
  <si>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</si>
  <si>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</si>
  <si>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</si>
  <si>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</si>
  <si>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</si>
  <si>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</si>
  <si>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</si>
  <si>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</si>
  <si>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</si>
  <si>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</si>
  <si>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</si>
  <si>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</si>
  <si>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</si>
  <si>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</si>
  <si>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</si>
  <si>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</si>
  <si>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</si>
  <si>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</si>
  <si>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</si>
  <si>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</si>
  <si>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</si>
  <si>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</si>
  <si>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</si>
  <si>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</si>
  <si>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</si>
  <si>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</si>
  <si>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</si>
  <si>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</si>
  <si>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</si>
  <si>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</si>
  <si>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</si>
  <si>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</si>
  <si>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</si>
  <si>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</si>
  <si>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</si>
  <si>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</si>
  <si>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</si>
  <si>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</si>
  <si>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</si>
  <si>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</si>
  <si>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</si>
  <si>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</si>
  <si>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</si>
  <si>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</si>
  <si>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</si>
  <si>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</si>
  <si>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</si>
  <si>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</si>
  <si>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</si>
  <si>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</si>
  <si>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</si>
  <si>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</si>
  <si>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</si>
  <si>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</si>
  <si>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</si>
  <si>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</si>
  <si>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</si>
  <si>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</si>
  <si>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</si>
  <si>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</si>
  <si>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</si>
  <si>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</si>
  <si>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</si>
  <si>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</si>
  <si>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</si>
  <si>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</si>
  <si>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</si>
  <si>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</si>
  <si>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</si>
  <si>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</si>
  <si>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</si>
  <si>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</si>
  <si>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</si>
  <si>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</si>
  <si>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</si>
  <si>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</si>
  <si>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</si>
  <si>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</si>
  <si>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</si>
  <si>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</si>
  <si>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</si>
  <si>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</si>
  <si>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</si>
  <si>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</si>
  <si>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</si>
  <si>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</si>
  <si>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</si>
  <si>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</si>
  <si>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</si>
  <si>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</si>
  <si>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</si>
  <si>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</si>
  <si>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</si>
  <si>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</si>
  <si>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</si>
  <si>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</si>
  <si>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</si>
  <si>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</si>
  <si>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</si>
  <si>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</si>
  <si>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</si>
  <si>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</si>
  <si>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</si>
  <si>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</si>
  <si>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</si>
  <si>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</si>
  <si>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</si>
  <si>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</si>
  <si>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</si>
  <si>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</si>
  <si>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</si>
  <si>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</si>
  <si>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</si>
  <si>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</si>
  <si>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</si>
  <si>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</si>
  <si>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</si>
  <si>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</si>
  <si>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</si>
  <si>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</si>
  <si>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</si>
  <si>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</si>
  <si>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</si>
  <si>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</si>
  <si>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</si>
  <si>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</si>
  <si>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</si>
  <si>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</si>
  <si>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</si>
  <si>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</si>
  <si>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</si>
  <si>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</si>
  <si>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</si>
  <si>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</si>
  <si>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</si>
  <si>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</si>
  <si>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</si>
  <si>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</si>
  <si>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</si>
  <si>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</si>
  <si>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</si>
  <si>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</si>
  <si>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</si>
  <si>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</si>
  <si>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</si>
  <si>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</si>
  <si>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</si>
  <si>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</si>
  <si>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</si>
  <si>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</si>
  <si>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</si>
  <si>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</si>
  <si>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</si>
  <si>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</si>
  <si>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</si>
  <si>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</si>
  <si>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</si>
  <si>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</si>
  <si>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</si>
  <si>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</si>
  <si>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</si>
  <si>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</si>
  <si>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</si>
  <si>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</si>
  <si>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</si>
  <si>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</si>
  <si>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</si>
  <si>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</si>
  <si>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</si>
  <si>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</si>
  <si>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</si>
  <si>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</si>
  <si>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</si>
  <si>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</si>
  <si>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</si>
  <si>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</si>
  <si>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</si>
  <si>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</si>
  <si>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</si>
  <si>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</si>
  <si>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</si>
  <si>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</si>
  <si>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</si>
  <si>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</si>
  <si>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</si>
  <si>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</si>
  <si>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</si>
  <si>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</si>
  <si>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</si>
  <si>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</si>
  <si>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</si>
  <si>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</si>
  <si>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</si>
  <si>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</si>
  <si>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</si>
  <si>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</si>
  <si>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</si>
  <si>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</si>
  <si>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</si>
  <si>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</si>
  <si>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</si>
  <si>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</si>
  <si>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</si>
  <si>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</si>
  <si>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</si>
  <si>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</si>
  <si>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</si>
  <si>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</si>
  <si>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</si>
  <si>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</si>
  <si>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</si>
  <si>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</si>
  <si>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</si>
  <si>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</si>
  <si>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</si>
  <si>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</si>
  <si>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</si>
  <si>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</si>
  <si>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</si>
  <si>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</si>
  <si>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</si>
  <si>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</si>
  <si>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</si>
  <si>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</si>
  <si>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</si>
  <si>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</si>
  <si>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</si>
  <si>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</si>
  <si>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</si>
  <si>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</si>
  <si>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</si>
  <si>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</si>
  <si>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</si>
  <si>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</si>
  <si>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</si>
  <si>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</si>
  <si>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</si>
  <si>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</si>
  <si>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</si>
  <si>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</si>
  <si>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</si>
  <si>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</si>
  <si>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</si>
  <si>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</si>
  <si>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</si>
  <si>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</si>
  <si>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</si>
  <si>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</si>
  <si>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</si>
  <si>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</si>
  <si>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</si>
  <si>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</si>
  <si>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</si>
  <si>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</si>
  <si>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</si>
  <si>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</si>
  <si>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</si>
  <si>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</si>
  <si>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</si>
  <si>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</si>
  <si>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</si>
  <si>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</si>
  <si>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</si>
  <si>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</si>
  <si>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</si>
  <si>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</si>
  <si>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</si>
  <si>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</si>
  <si>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</si>
  <si>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</si>
  <si>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</si>
  <si>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</si>
  <si>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</si>
  <si>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</si>
  <si>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</si>
  <si>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</si>
  <si>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</si>
  <si>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</si>
  <si>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</si>
  <si>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</si>
  <si>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</si>
  <si>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</si>
  <si>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</si>
  <si>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</si>
  <si>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</si>
  <si>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</si>
  <si>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</si>
  <si>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</si>
  <si>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</si>
  <si>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</si>
  <si>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</si>
  <si>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</si>
  <si>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</si>
  <si>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</si>
  <si>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</si>
  <si>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</si>
  <si>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</si>
  <si>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</si>
  <si>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</si>
  <si>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</si>
  <si>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</si>
  <si>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</si>
  <si>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</si>
  <si>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</si>
  <si>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</si>
  <si>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</si>
  <si>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</si>
  <si>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</si>
  <si>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</si>
  <si>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</si>
  <si>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</si>
  <si>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</si>
  <si>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</si>
  <si>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</si>
  <si>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</si>
  <si>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</si>
  <si>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</si>
  <si>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</si>
  <si>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</si>
  <si>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</si>
  <si>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</si>
  <si>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</si>
  <si>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</si>
  <si>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</si>
  <si>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</si>
  <si>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</si>
  <si>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</si>
  <si>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</si>
  <si>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</si>
  <si>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</si>
  <si>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</si>
  <si>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</si>
  <si>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</si>
  <si>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</si>
  <si>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</si>
  <si>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</si>
  <si>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</si>
  <si>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</si>
  <si>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</si>
  <si>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</si>
  <si>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</si>
  <si>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</si>
  <si>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</si>
  <si>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</si>
  <si>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</si>
  <si>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</si>
  <si>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</si>
  <si>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</si>
  <si>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</si>
  <si>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</si>
  <si>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</si>
  <si>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</si>
  <si>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</si>
  <si>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</si>
  <si>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</si>
  <si>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</si>
  <si>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</si>
  <si>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</si>
  <si>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</si>
  <si>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</si>
  <si>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</si>
  <si>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</si>
  <si>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</si>
  <si>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</si>
  <si>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</si>
  <si>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</si>
  <si>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</si>
  <si>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</si>
  <si>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</si>
  <si>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</si>
  <si>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</si>
  <si>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</si>
  <si>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</si>
  <si>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</si>
  <si>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</si>
  <si>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</si>
  <si>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</si>
  <si>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</si>
  <si>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</si>
  <si>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</si>
  <si>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</si>
  <si>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</si>
  <si>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</si>
  <si>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</si>
  <si>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</si>
  <si>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</si>
  <si>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</si>
  <si>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</si>
  <si>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</si>
  <si>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</si>
  <si>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</si>
  <si>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</si>
  <si>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</si>
  <si>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</si>
  <si>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</si>
  <si>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</si>
  <si>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</si>
  <si>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</si>
  <si>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</si>
  <si>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</si>
  <si>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</si>
  <si>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</si>
  <si>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</si>
  <si>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</si>
  <si>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</si>
  <si>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</si>
  <si>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</si>
  <si>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</si>
  <si>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</si>
  <si>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</si>
  <si>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</si>
  <si>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</si>
  <si>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</si>
  <si>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</si>
  <si>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</si>
  <si>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</si>
  <si>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</si>
  <si>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</si>
  <si>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</si>
  <si>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</si>
  <si>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</si>
  <si>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</si>
  <si>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</si>
  <si>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</si>
  <si>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</si>
  <si>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</si>
  <si>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</si>
  <si>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</si>
  <si>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</si>
  <si>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</si>
  <si>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</si>
  <si>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</si>
  <si>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</si>
  <si>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</si>
  <si>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</si>
  <si>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</si>
  <si>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</si>
  <si>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</si>
  <si>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</si>
  <si>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</si>
  <si>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</si>
  <si>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</si>
  <si>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</si>
  <si>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</si>
  <si>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</si>
  <si>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</si>
  <si>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</si>
  <si>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</si>
  <si>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</si>
  <si>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</si>
  <si>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</si>
  <si>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</si>
  <si>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</si>
  <si>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</si>
  <si>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</si>
  <si>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</si>
  <si>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</si>
  <si>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</si>
  <si>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</si>
  <si>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</si>
  <si>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</si>
  <si>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</si>
  <si>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</si>
  <si>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</si>
  <si>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</si>
  <si>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</si>
  <si>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</si>
  <si>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</si>
  <si>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</si>
  <si>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</si>
  <si>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</si>
  <si>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</si>
  <si>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</si>
  <si>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</si>
  <si>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</si>
  <si>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</si>
  <si>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</si>
  <si>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</si>
  <si>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</si>
  <si>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</si>
  <si>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</si>
  <si>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</si>
  <si>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</si>
  <si>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</si>
  <si>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</si>
  <si>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</si>
  <si>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</si>
  <si>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</si>
  <si>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</si>
  <si>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</si>
  <si>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</si>
  <si>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</si>
  <si>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</si>
  <si>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</si>
  <si>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</si>
  <si>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</si>
  <si>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</si>
  <si>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</si>
  <si>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</si>
  <si>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</si>
  <si>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</si>
  <si>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</si>
  <si>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</si>
  <si>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</si>
  <si>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</si>
  <si>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</si>
  <si>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</si>
  <si>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</si>
  <si>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</si>
  <si>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</si>
  <si>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</si>
  <si>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</si>
  <si>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</si>
  <si>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</si>
  <si>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</si>
  <si>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</si>
  <si>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</si>
  <si>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</si>
  <si>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</si>
  <si>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</si>
  <si>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</si>
  <si>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</si>
  <si>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</si>
  <si>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</si>
  <si>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</si>
  <si>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</si>
  <si>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</si>
  <si>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</si>
  <si>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</si>
  <si>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</si>
  <si>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</si>
  <si>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</si>
  <si>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</si>
  <si>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</si>
  <si>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</si>
  <si>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</si>
  <si>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</si>
  <si>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</si>
  <si>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</si>
  <si>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</si>
  <si>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</si>
  <si>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</si>
  <si>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</si>
  <si>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</si>
  <si>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</si>
  <si>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</si>
  <si>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</si>
  <si>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</si>
  <si>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</si>
  <si>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</si>
  <si>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</si>
  <si>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</si>
  <si>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</si>
  <si>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</si>
  <si>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</si>
  <si>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</si>
  <si>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</si>
  <si>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</si>
  <si>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</si>
  <si>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</si>
  <si>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</si>
  <si>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</si>
  <si>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</si>
  <si>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</si>
  <si>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</si>
  <si>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</si>
  <si>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</si>
  <si>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</si>
  <si>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</si>
  <si>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</si>
  <si>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</si>
  <si>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</si>
  <si>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</si>
  <si>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</si>
  <si>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</si>
  <si>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</si>
  <si>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</si>
  <si>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</si>
  <si>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</si>
  <si>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</si>
  <si>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</si>
  <si>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</si>
  <si>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</si>
  <si>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</si>
  <si>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</si>
  <si>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</si>
  <si>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</si>
  <si>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</si>
  <si>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</si>
  <si>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</si>
  <si>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</si>
  <si>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</si>
  <si>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</si>
  <si>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</si>
  <si>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</si>
  <si>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</si>
  <si>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</si>
  <si>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</si>
  <si>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</si>
  <si>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</si>
  <si>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</si>
  <si>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</si>
  <si>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</si>
  <si>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</si>
  <si>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</si>
  <si>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</si>
  <si>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</si>
  <si>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</si>
  <si>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</si>
  <si>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</si>
  <si>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</si>
  <si>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</si>
  <si>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</si>
  <si>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</si>
  <si>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</si>
  <si>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</si>
  <si>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</si>
  <si>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</si>
  <si>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</si>
  <si>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</si>
  <si>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</si>
  <si>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</si>
  <si>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</si>
  <si>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</si>
  <si>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</si>
  <si>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</si>
  <si>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</si>
  <si>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</si>
  <si>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</si>
  <si>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</si>
  <si>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</si>
  <si>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</si>
  <si>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</si>
  <si>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</si>
  <si>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</si>
  <si>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</si>
  <si>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</si>
  <si>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</si>
  <si>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</si>
  <si>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</si>
  <si>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</si>
  <si>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</si>
  <si>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</si>
  <si>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</si>
  <si>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</si>
  <si>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</si>
  <si>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</si>
  <si>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</si>
  <si>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</si>
  <si>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</si>
  <si>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</si>
  <si>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</si>
  <si>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</si>
  <si>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</si>
  <si>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</si>
  <si>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</si>
  <si>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</si>
  <si>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</si>
  <si>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</si>
  <si>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</si>
  <si>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</si>
  <si>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</si>
  <si>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</si>
  <si>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</si>
  <si>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</si>
  <si>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</si>
  <si>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</si>
  <si>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</si>
  <si>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</si>
  <si>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</si>
  <si>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</si>
  <si>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</si>
  <si>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</si>
  <si>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</si>
  <si>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</si>
  <si>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</si>
  <si>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</si>
  <si>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</si>
  <si>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</si>
  <si>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</si>
  <si>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</si>
  <si>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</si>
  <si>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</si>
  <si>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</si>
  <si>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</si>
  <si>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</si>
  <si>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</si>
  <si>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</si>
  <si>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</si>
  <si>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</si>
  <si>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</si>
  <si>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</si>
  <si>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</si>
  <si>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</si>
  <si>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</si>
  <si>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</si>
  <si>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</si>
  <si>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</si>
  <si>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</si>
  <si>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</si>
  <si>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</si>
  <si>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</si>
  <si>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</si>
  <si>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</si>
  <si>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</si>
  <si>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</si>
  <si>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</si>
  <si>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</si>
  <si>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</si>
  <si>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</si>
  <si>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</si>
  <si>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</si>
  <si>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</si>
  <si>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</si>
  <si>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</si>
  <si>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</si>
  <si>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</si>
  <si>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</si>
  <si>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</si>
  <si>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</si>
  <si>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</si>
  <si>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</si>
  <si>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</si>
  <si>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</si>
  <si>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</si>
  <si>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</si>
  <si>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</si>
  <si>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</si>
  <si>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</si>
  <si>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</si>
  <si>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</si>
  <si>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</si>
  <si>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</si>
  <si>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</si>
  <si>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</si>
  <si>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</si>
  <si>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</si>
  <si>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</si>
  <si>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</si>
  <si>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</si>
  <si>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</si>
  <si>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</si>
  <si>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</si>
  <si>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</si>
  <si>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</si>
  <si>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</si>
  <si>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</si>
  <si>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</si>
  <si>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</si>
  <si>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</si>
  <si>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</si>
  <si>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</si>
  <si>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</si>
  <si>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</si>
  <si>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</si>
  <si>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</si>
  <si>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</si>
  <si>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</si>
  <si>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</si>
  <si>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</si>
  <si>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</si>
  <si>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</si>
  <si>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</si>
  <si>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</si>
  <si>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</si>
  <si>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</si>
  <si>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</si>
  <si>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</si>
  <si>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</si>
  <si>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</si>
  <si>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</si>
  <si>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</si>
  <si>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</si>
  <si>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</si>
  <si>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</si>
  <si>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</si>
  <si>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</si>
  <si>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</si>
  <si>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</si>
  <si>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</si>
  <si>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</si>
  <si>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</si>
  <si>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</si>
  <si>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</si>
  <si>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</si>
  <si>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</si>
  <si>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</si>
  <si>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</si>
  <si>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</si>
  <si>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</si>
  <si>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</si>
  <si>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</si>
  <si>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</si>
  <si>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</si>
  <si>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</si>
  <si>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</si>
  <si>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</si>
  <si>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</si>
  <si>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</si>
  <si>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</si>
  <si>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</si>
  <si>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</si>
  <si>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</si>
  <si>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</si>
  <si>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</si>
  <si>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</si>
  <si>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</si>
  <si>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</si>
  <si>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</si>
  <si>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</si>
  <si>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</si>
  <si>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</si>
  <si>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</si>
  <si>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</si>
  <si>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</si>
  <si>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</si>
  <si>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</si>
  <si>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</si>
  <si>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</si>
  <si>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</si>
  <si>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</si>
  <si>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</si>
  <si>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</si>
  <si>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</si>
  <si>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</si>
  <si>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</si>
  <si>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</si>
  <si>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</si>
  <si>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</si>
  <si>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</si>
  <si>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</si>
  <si>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</si>
  <si>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</si>
  <si>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</si>
  <si>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</si>
  <si>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</si>
  <si>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</si>
  <si>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</si>
  <si>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</si>
  <si>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</si>
  <si>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</si>
  <si>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</si>
  <si>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</si>
  <si>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</si>
  <si>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</si>
  <si>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</si>
  <si>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</si>
  <si>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</si>
  <si>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</si>
  <si>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</si>
  <si>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</si>
  <si>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</si>
  <si>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</si>
  <si>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</si>
  <si>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</si>
  <si>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</si>
  <si>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</si>
  <si>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</si>
  <si>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</si>
  <si>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</si>
  <si>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</si>
  <si>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</si>
  <si>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</si>
  <si>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</si>
  <si>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</si>
  <si>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</si>
  <si>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</si>
  <si>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</si>
  <si>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</si>
  <si>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</si>
  <si>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</si>
  <si>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</si>
  <si>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</si>
  <si>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</si>
  <si>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</si>
  <si>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</si>
  <si>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</si>
  <si>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</si>
  <si>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</si>
  <si>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</si>
  <si>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</si>
  <si>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</si>
  <si>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</si>
  <si>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</si>
  <si>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</si>
  <si>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</si>
  <si>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</si>
  <si>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</si>
  <si>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</si>
  <si>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</si>
  <si>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</si>
  <si>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</si>
  <si>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</si>
  <si>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</si>
  <si>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</si>
  <si>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</si>
  <si>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</si>
  <si>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</si>
  <si>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</si>
  <si>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</si>
  <si>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</si>
  <si>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</si>
  <si>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</si>
  <si>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</si>
  <si>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</si>
  <si>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</si>
  <si>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</si>
  <si>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</si>
  <si>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</si>
  <si>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</si>
  <si>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</si>
  <si>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</si>
  <si>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</si>
  <si>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</si>
  <si>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</si>
  <si>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</si>
  <si>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</si>
  <si>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</si>
  <si>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</si>
  <si>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</si>
  <si>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</si>
  <si>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</si>
  <si>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</si>
  <si>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</si>
  <si>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</si>
  <si>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</si>
  <si>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</si>
  <si>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</si>
  <si>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</si>
  <si>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</si>
  <si>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</si>
  <si>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</si>
  <si>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</si>
  <si>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</si>
  <si>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</si>
  <si>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</si>
  <si>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</si>
  <si>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</si>
  <si>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</si>
  <si>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</si>
  <si>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</si>
  <si>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</si>
  <si>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</si>
  <si>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</si>
  <si>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</si>
  <si>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</si>
  <si>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</si>
  <si>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</si>
  <si>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</si>
  <si>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</si>
  <si>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</si>
  <si>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</si>
  <si>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</si>
  <si>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</si>
  <si>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</si>
  <si>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</si>
  <si>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</si>
  <si>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</si>
  <si>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</si>
  <si>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</si>
  <si>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</si>
  <si>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</si>
  <si>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</si>
  <si>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</si>
  <si>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</si>
  <si>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</si>
  <si>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</si>
  <si>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</si>
  <si>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</si>
  <si>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</si>
  <si>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</si>
  <si>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</si>
  <si>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</si>
  <si>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</si>
  <si>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</si>
  <si>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</si>
  <si>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</si>
  <si>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</si>
  <si>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</si>
  <si>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</si>
  <si>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</si>
  <si>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</si>
  <si>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</si>
  <si>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</si>
  <si>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</si>
  <si>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</si>
  <si>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</si>
  <si>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</si>
  <si>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</si>
  <si>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</si>
  <si>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</si>
  <si>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</si>
  <si>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</si>
  <si>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</si>
  <si>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</si>
  <si>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</si>
  <si>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</si>
  <si>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</si>
  <si>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</si>
  <si>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</si>
  <si>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</si>
  <si>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</si>
  <si>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</si>
  <si>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</si>
  <si>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</si>
  <si>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</si>
  <si>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</si>
  <si>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</si>
  <si>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</si>
  <si>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</si>
  <si>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</si>
  <si>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</si>
  <si>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</si>
  <si>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</si>
  <si>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</si>
  <si>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</si>
  <si>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</si>
  <si>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</si>
  <si>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</si>
  <si>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</si>
  <si>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</si>
  <si>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</si>
  <si>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</si>
  <si>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</si>
  <si>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</si>
  <si>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</si>
  <si>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</si>
  <si>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</si>
  <si>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</si>
  <si>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</si>
  <si>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</si>
  <si>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</si>
  <si>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</si>
  <si>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</si>
  <si>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</si>
  <si>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</si>
  <si>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</si>
  <si>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</si>
  <si>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</si>
  <si>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</si>
  <si>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</si>
  <si>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</si>
  <si>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</si>
  <si>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</si>
  <si>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</si>
  <si>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</si>
  <si>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</si>
  <si>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</si>
  <si>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</si>
  <si>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</si>
  <si>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</si>
  <si>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</si>
  <si>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</si>
  <si>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</si>
  <si>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</si>
  <si>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</si>
  <si>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</si>
  <si>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</si>
  <si>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</si>
  <si>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</si>
  <si>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</si>
  <si>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</si>
  <si>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</si>
  <si>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</si>
  <si>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</si>
  <si>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</si>
  <si>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</si>
  <si>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</si>
  <si>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</si>
  <si>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</si>
  <si>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</si>
  <si>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</si>
  <si>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</si>
  <si>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</si>
  <si>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</si>
  <si>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</si>
  <si>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</si>
  <si>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</si>
  <si>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</si>
  <si>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</si>
  <si>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</si>
  <si>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</si>
  <si>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</si>
  <si>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</si>
  <si>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</si>
  <si>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</si>
  <si>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</si>
  <si>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</si>
  <si>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</si>
  <si>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</si>
  <si>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</si>
  <si>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</si>
  <si>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</si>
  <si>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</si>
  <si>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</si>
  <si>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</si>
  <si>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</si>
  <si>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</si>
  <si>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</si>
  <si>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</si>
  <si>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</si>
  <si>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</si>
  <si>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</si>
  <si>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</si>
  <si>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</si>
  <si>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</si>
  <si>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</si>
  <si>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</si>
  <si>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</si>
  <si>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</si>
  <si>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</si>
  <si>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</si>
  <si>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</si>
  <si>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</si>
  <si>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</si>
  <si>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</si>
  <si>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</si>
  <si>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</si>
  <si>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</si>
  <si>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</si>
  <si>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</si>
  <si>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</si>
  <si>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</si>
  <si>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</si>
  <si>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</si>
  <si>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</si>
  <si>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</si>
  <si>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</si>
  <si>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</si>
  <si>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</si>
  <si>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</si>
  <si>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</si>
  <si>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</si>
  <si>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</si>
  <si>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</si>
  <si>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</si>
  <si>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</si>
  <si>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</si>
  <si>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</si>
  <si>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</si>
  <si>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</si>
  <si>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</si>
  <si>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</si>
  <si>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</si>
  <si>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</si>
  <si>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</si>
  <si>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</si>
  <si>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</si>
  <si>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</si>
  <si>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</si>
  <si>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</si>
  <si>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</si>
  <si>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</si>
  <si>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</si>
  <si>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</si>
  <si>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</si>
  <si>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</si>
  <si>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</si>
  <si>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</si>
  <si>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</si>
  <si>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</si>
  <si>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</si>
  <si>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</si>
  <si>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</si>
  <si>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</si>
  <si>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</si>
  <si>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</si>
  <si>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</si>
  <si>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</si>
  <si>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</si>
  <si>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</si>
  <si>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</si>
  <si>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</si>
  <si>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</si>
  <si>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</si>
  <si>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</si>
  <si>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</si>
  <si>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</si>
  <si>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</si>
  <si>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</si>
  <si>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</si>
  <si>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</si>
  <si>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</si>
  <si>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</si>
  <si>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</si>
  <si>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</si>
  <si>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</si>
  <si>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</si>
  <si>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</si>
  <si>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</si>
  <si>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</si>
  <si>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</si>
  <si>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</si>
  <si>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</si>
  <si>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</si>
  <si>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</si>
  <si>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</si>
  <si>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</si>
  <si>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</si>
  <si>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</si>
  <si>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</si>
  <si>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</si>
  <si>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</si>
  <si>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</si>
  <si>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</si>
  <si>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</si>
  <si>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</si>
  <si>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</si>
  <si>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</si>
  <si>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</si>
  <si>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</si>
  <si>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</si>
  <si>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</si>
  <si>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</si>
  <si>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</si>
  <si>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</si>
  <si>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</si>
  <si>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</si>
  <si>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</si>
  <si>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</si>
  <si>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</si>
  <si>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</si>
  <si>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</si>
  <si>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</si>
  <si>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</si>
  <si>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</si>
  <si>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</si>
  <si>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</si>
  <si>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</si>
  <si>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</si>
  <si>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</si>
  <si>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</si>
  <si>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</si>
  <si>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</si>
  <si>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</si>
  <si>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</si>
  <si>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</si>
  <si>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</si>
  <si>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</si>
  <si>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</si>
  <si>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</si>
  <si>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</si>
  <si>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</si>
  <si>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</si>
  <si>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</si>
  <si>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</si>
  <si>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</si>
  <si>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</si>
  <si>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</si>
  <si>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</si>
  <si>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</si>
  <si>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</si>
  <si>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</si>
  <si>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</si>
  <si>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</si>
  <si>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</si>
  <si>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</si>
  <si>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</si>
  <si>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</si>
  <si>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</si>
  <si>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</si>
  <si>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</si>
  <si>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</si>
  <si>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</si>
  <si>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</si>
  <si>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</si>
  <si>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</si>
  <si>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</si>
  <si>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</si>
  <si>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</si>
  <si>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</si>
  <si>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</si>
  <si>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</si>
  <si>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</si>
  <si>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</si>
  <si>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</si>
  <si>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</si>
  <si>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</si>
  <si>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</si>
  <si>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</si>
  <si>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</si>
  <si>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</si>
  <si>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</si>
  <si>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</si>
  <si>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</si>
  <si>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</si>
  <si>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</si>
  <si>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</si>
  <si>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</si>
  <si>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</si>
  <si>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</si>
  <si>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</si>
  <si>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</si>
  <si>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</si>
  <si>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</si>
  <si>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</si>
  <si>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</si>
  <si>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</si>
  <si>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</si>
  <si>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</si>
  <si>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</si>
  <si>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</si>
  <si>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</si>
  <si>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</si>
  <si>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</si>
  <si>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</si>
  <si>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</si>
  <si>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</si>
  <si>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</si>
  <si>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</si>
  <si>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</si>
  <si>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</si>
  <si>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</si>
  <si>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</si>
  <si>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</si>
  <si>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</si>
  <si>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</si>
  <si>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</si>
  <si>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</si>
  <si>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</si>
  <si>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</si>
  <si>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</si>
  <si>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</si>
  <si>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</si>
  <si>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</si>
  <si>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</si>
  <si>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</si>
  <si>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</si>
  <si>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</si>
  <si>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</si>
  <si>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</si>
  <si>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</si>
  <si>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</si>
  <si>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</si>
  <si>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</si>
  <si>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</si>
  <si>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</si>
  <si>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</si>
  <si>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</si>
  <si>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</si>
  <si>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</si>
  <si>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</si>
  <si>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</si>
  <si>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</si>
  <si>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</si>
  <si>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</si>
  <si>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</si>
  <si>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</si>
  <si>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</si>
  <si>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</si>
  <si>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</si>
  <si>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</si>
  <si>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</si>
  <si>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</si>
  <si>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</si>
  <si>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</si>
  <si>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</si>
  <si>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</si>
  <si>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</si>
  <si>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</si>
  <si>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</si>
  <si>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</si>
  <si>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</si>
  <si>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</si>
  <si>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</si>
  <si>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</si>
  <si>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</si>
  <si>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</si>
  <si>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</si>
  <si>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</si>
  <si>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</si>
  <si>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</si>
  <si>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</si>
  <si>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</si>
  <si>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</si>
  <si>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</si>
  <si>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</si>
  <si>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</si>
  <si>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</si>
  <si>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</si>
  <si>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</si>
  <si>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</si>
  <si>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</si>
  <si>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</si>
  <si>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</si>
  <si>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</si>
  <si>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</si>
  <si>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</si>
  <si>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</si>
  <si>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</si>
  <si>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</si>
  <si>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</si>
  <si>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</si>
  <si>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</si>
  <si>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</si>
  <si>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</si>
  <si>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</si>
  <si>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</si>
  <si>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</si>
  <si>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</si>
  <si>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</si>
  <si>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</si>
  <si>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</si>
  <si>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</si>
  <si>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</si>
  <si>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</si>
  <si>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</si>
  <si>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</si>
  <si>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</si>
  <si>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</si>
  <si>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</si>
  <si>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</si>
  <si>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</si>
  <si>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</si>
  <si>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</si>
  <si>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</si>
  <si>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</si>
  <si>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</si>
  <si>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</si>
  <si>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</si>
  <si>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</si>
  <si>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</si>
  <si>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</si>
  <si>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</si>
  <si>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</si>
  <si>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</si>
  <si>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</si>
  <si>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</si>
  <si>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</si>
  <si>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</si>
  <si>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</si>
  <si>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</si>
  <si>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</si>
  <si>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</si>
  <si>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</si>
  <si>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</si>
  <si>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</si>
  <si>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</si>
  <si>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</si>
  <si>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</si>
  <si>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</si>
  <si>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</si>
  <si>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</si>
  <si>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</si>
  <si>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</si>
  <si>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</si>
  <si>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</si>
  <si>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</si>
  <si>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</si>
  <si>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</si>
  <si>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</si>
  <si>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</si>
  <si>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</si>
  <si>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</si>
  <si>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</si>
  <si>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</si>
  <si>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</si>
  <si>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</si>
  <si>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</si>
  <si>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</si>
  <si>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</si>
  <si>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</si>
  <si>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</si>
  <si>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</si>
  <si>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</si>
  <si>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</si>
  <si>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</si>
  <si>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</si>
  <si>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</si>
  <si>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</si>
  <si>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</si>
  <si>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</si>
  <si>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</si>
  <si>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</si>
  <si>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</si>
  <si>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</si>
  <si>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</si>
  <si>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</si>
  <si>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</si>
  <si>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</si>
  <si>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</si>
  <si>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</si>
  <si>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</si>
  <si>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</si>
  <si>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</si>
  <si>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</si>
  <si>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</si>
  <si>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</si>
  <si>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</si>
  <si>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</si>
  <si>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</si>
  <si>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</si>
  <si>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</si>
  <si>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</si>
  <si>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</si>
  <si>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</si>
  <si>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</si>
  <si>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</si>
  <si>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</si>
  <si>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</si>
  <si>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</si>
  <si>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</si>
  <si>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</si>
  <si>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</si>
  <si>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</si>
  <si>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</si>
  <si>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</si>
  <si>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</si>
  <si>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</si>
  <si>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</si>
  <si>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</si>
  <si>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</si>
  <si>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</si>
  <si>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</si>
  <si>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</si>
  <si>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</si>
  <si>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</si>
  <si>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</si>
  <si>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</si>
  <si>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</si>
  <si>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</si>
  <si>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</si>
  <si>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</si>
  <si>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</si>
  <si>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</si>
  <si>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</si>
  <si>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</si>
  <si>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</si>
  <si>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</si>
  <si>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</si>
  <si>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</si>
  <si>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</si>
  <si>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</si>
  <si>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</si>
  <si>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</si>
  <si>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</si>
  <si>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</si>
  <si>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</si>
  <si>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</si>
  <si>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</si>
  <si>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</si>
  <si>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</si>
  <si>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</si>
  <si>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</si>
  <si>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</si>
  <si>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</si>
  <si>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</si>
  <si>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</si>
  <si>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</si>
  <si>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</si>
  <si>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</si>
  <si>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</si>
  <si>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</si>
  <si>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</si>
  <si>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</si>
  <si>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</si>
  <si>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</si>
  <si>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</si>
  <si>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</si>
  <si>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</si>
  <si>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</si>
  <si>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</si>
  <si>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</si>
  <si>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</si>
  <si>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</si>
  <si>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</si>
  <si>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</si>
  <si>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</si>
  <si>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</si>
  <si>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</si>
  <si>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</si>
  <si>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</si>
  <si>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</si>
  <si>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</si>
  <si>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</si>
  <si>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</si>
  <si>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</si>
  <si>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</si>
  <si>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</si>
  <si>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</si>
  <si>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</si>
  <si>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</si>
  <si>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</si>
  <si>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</si>
  <si>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</si>
  <si>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</si>
  <si>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</si>
  <si>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</si>
  <si>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</si>
  <si>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</si>
  <si>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</si>
  <si>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</si>
  <si>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</si>
  <si>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</si>
  <si>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</si>
  <si>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</si>
  <si>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</si>
  <si>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</si>
  <si>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</si>
  <si>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</si>
  <si>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</si>
  <si>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</si>
  <si>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</si>
  <si>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</si>
  <si>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</si>
  <si>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</si>
  <si>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</si>
  <si>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</si>
  <si>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</si>
  <si>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</si>
  <si>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</si>
  <si>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</si>
  <si>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</si>
  <si>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</si>
  <si>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</si>
  <si>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</si>
  <si>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</si>
  <si>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</si>
  <si>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</si>
  <si>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</si>
  <si>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</si>
  <si>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</si>
  <si>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</si>
  <si>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</si>
  <si>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</si>
  <si>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</si>
  <si>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</si>
  <si>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</si>
  <si>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</si>
  <si>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</si>
  <si>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</si>
  <si>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</si>
  <si>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</si>
  <si>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</si>
  <si>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</si>
  <si>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</si>
  <si>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</si>
  <si>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</si>
  <si>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</si>
  <si>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</si>
  <si>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</si>
  <si>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</si>
  <si>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</si>
  <si>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</si>
  <si>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</si>
  <si>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</si>
  <si>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</si>
  <si>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</si>
  <si>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</si>
  <si>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</si>
  <si>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</si>
  <si>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</si>
  <si>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</si>
  <si>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</si>
  <si>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</si>
  <si>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</si>
  <si>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</si>
  <si>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</si>
  <si>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</si>
  <si>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</si>
  <si>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</si>
  <si>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</si>
  <si>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</si>
  <si>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</si>
  <si>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</si>
  <si>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</si>
  <si>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</si>
  <si>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</si>
  <si>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</si>
  <si>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</si>
  <si>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</si>
  <si>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</si>
  <si>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</si>
  <si>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</si>
  <si>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</si>
  <si>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</si>
  <si>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</si>
  <si>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</si>
  <si>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</si>
  <si>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</si>
  <si>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</si>
  <si>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</si>
  <si>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</si>
  <si>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</si>
  <si>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</si>
  <si>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</si>
  <si>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</si>
  <si>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</si>
  <si>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</si>
  <si>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</si>
  <si>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</si>
  <si>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</si>
  <si>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</si>
  <si>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</si>
  <si>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</si>
  <si>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</si>
  <si>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</si>
  <si>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</si>
  <si>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</si>
  <si>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</si>
  <si>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</si>
  <si>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</si>
  <si>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</si>
  <si>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</si>
  <si>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</si>
  <si>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</si>
  <si>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</si>
  <si>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</si>
  <si>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</si>
  <si>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</si>
  <si>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</si>
  <si>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</si>
  <si>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</si>
  <si>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</si>
  <si>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</si>
  <si>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</si>
  <si>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</si>
  <si>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</si>
  <si>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</si>
  <si>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</si>
  <si>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</si>
  <si>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</si>
  <si>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</si>
  <si>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</si>
  <si>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</si>
  <si>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</si>
  <si>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</si>
  <si>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</si>
  <si>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</si>
  <si>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</si>
  <si>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</si>
  <si>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</si>
  <si>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</si>
  <si>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</si>
  <si>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</si>
  <si>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</si>
  <si>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</si>
  <si>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</si>
  <si>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</si>
  <si>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</si>
  <si>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</si>
  <si>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</si>
  <si>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</si>
  <si>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</si>
  <si>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</si>
  <si>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Williamson</t>
  </si>
  <si>
    <t>306 Virgina Avenue</t>
  </si>
  <si>
    <t>Carterville</t>
  </si>
  <si>
    <t>X</t>
  </si>
  <si>
    <t>Kerber, Eck &amp; Braeckel LLP</t>
  </si>
  <si>
    <t>Brian J. Wuertz, CPA</t>
  </si>
  <si>
    <t>1 S. Memorial Drive, Suite 900</t>
  </si>
  <si>
    <t>St. Louis</t>
  </si>
  <si>
    <t>MO</t>
  </si>
  <si>
    <t>(314) 231-6232</t>
  </si>
  <si>
    <t>(314) 880-9305</t>
  </si>
  <si>
    <t>065-020211</t>
  </si>
  <si>
    <t>brianw@kebcpa.com</t>
  </si>
  <si>
    <t>Keith A. Liddell</t>
  </si>
  <si>
    <t>kliddell@cartervilleschools.org</t>
  </si>
  <si>
    <t>(618) 985-4826</t>
  </si>
  <si>
    <t>(618) 985-2041</t>
  </si>
  <si>
    <t>School Bond Series 2013A</t>
  </si>
  <si>
    <t>School Bond Series 2013B</t>
  </si>
  <si>
    <t>School Bond Series 2016A</t>
  </si>
  <si>
    <t>School Bond Series 2016B</t>
  </si>
  <si>
    <t>School Bond Series 2017</t>
  </si>
  <si>
    <t>School Bond Series 2018A</t>
  </si>
  <si>
    <t>School Bond Series 2018B</t>
  </si>
  <si>
    <t>3 and 6</t>
  </si>
  <si>
    <t>Available in Debt Service Fund</t>
  </si>
  <si>
    <t>n/a</t>
  </si>
  <si>
    <t>Page 7, Line 43, Education Fund - $750,000 - Loan from Banterra Bank for building acquisition for Pre-K</t>
  </si>
  <si>
    <t>Page 7, Line 43, Debt Service Fund - $1,303,062 - Transfer from Capital Projects Fund for Bond Principal and Interest</t>
  </si>
  <si>
    <t>Page 8, Line 75, Capital Projects Fund - $1,303,062 - Transfer to Debt Service Fund for Bond Principal and Interest</t>
  </si>
  <si>
    <t>Page 10, Line 72, Vending Machine Revenue</t>
  </si>
  <si>
    <t>Page 10, Line 74, Other food revenue</t>
  </si>
  <si>
    <t>Page 10, Line 78, Musical and Theatre Admissions</t>
  </si>
  <si>
    <t>Page 10, Line 81, Latchkey and Childcare Tuition</t>
  </si>
  <si>
    <t>Page 11, Line 107, Miscellaneous Revenue</t>
  </si>
  <si>
    <t>Page 12, Line 168, Other State Revenue</t>
  </si>
  <si>
    <t>Page 15, Line 41, Anne West Lindsey Scholarship</t>
  </si>
  <si>
    <t>Page 18, Line 171, Service Charges and Bond Issuance Costs</t>
  </si>
  <si>
    <t>Page 9, Line 11, and Page 23, Line 18, TIF revenue</t>
  </si>
  <si>
    <t>x</t>
  </si>
  <si>
    <t>U.S. Department of Agriculture</t>
  </si>
  <si>
    <t>Passed through Illinois State Board of Education</t>
  </si>
  <si>
    <t>Child Nutrition Program</t>
  </si>
  <si>
    <t>National School Breakfast Program</t>
  </si>
  <si>
    <t>Non-Cash Commodity Assistance</t>
  </si>
  <si>
    <t>Total U.S. Department of Agriculture</t>
  </si>
  <si>
    <t>U.S. Department of Education</t>
  </si>
  <si>
    <t>Title I - Low Income (M)</t>
  </si>
  <si>
    <t>Total U.S. Department of Education</t>
  </si>
  <si>
    <t>U.S. Department of Health and Human Services</t>
  </si>
  <si>
    <t>Passed through Williamson County Special Education</t>
  </si>
  <si>
    <t>Passed through Illinois Department of Health and Family Services</t>
  </si>
  <si>
    <t>Medicaid Matching - Administrative Outreach</t>
  </si>
  <si>
    <t>Total Federal Awards</t>
  </si>
  <si>
    <t>Non-Cash Fruits and Vegetables</t>
  </si>
  <si>
    <t>18-4220</t>
  </si>
  <si>
    <t>19-4220</t>
  </si>
  <si>
    <t>20-4220</t>
  </si>
  <si>
    <t>18-4210</t>
  </si>
  <si>
    <t>19-4210</t>
  </si>
  <si>
    <t>20-4210</t>
  </si>
  <si>
    <t>18-4300</t>
  </si>
  <si>
    <t>19-4300</t>
  </si>
  <si>
    <t>20-4300</t>
  </si>
  <si>
    <t>18-4932</t>
  </si>
  <si>
    <t>19-4932</t>
  </si>
  <si>
    <t>20-4932</t>
  </si>
  <si>
    <t>84.367A</t>
  </si>
  <si>
    <t>Summer Food Program</t>
  </si>
  <si>
    <t>Total Child Nutrition Program</t>
  </si>
  <si>
    <t>Special Education-Grants to States (IDEA, Part B)</t>
  </si>
  <si>
    <t>20-4630</t>
  </si>
  <si>
    <t>None</t>
  </si>
  <si>
    <t>No contracts</t>
  </si>
  <si>
    <t>Page 9, Line 17, PILOT Refuge</t>
  </si>
  <si>
    <t>Southern Il Health and Wellness Insurance Trust</t>
  </si>
  <si>
    <t>Willamson County Early Childhood Development</t>
  </si>
  <si>
    <t>Page 8, Line 75, Education Fund - $32,507 - payment on Banterra Bank Pre-K loan</t>
  </si>
  <si>
    <r>
      <t xml:space="preserve">The accompanying Schedule of Expenditures of Federal Awards includes the federal grant activity of </t>
    </r>
    <r>
      <rPr>
        <b/>
        <sz val="9"/>
        <rFont val="Calibri"/>
        <family val="2"/>
        <scheme val="minor"/>
      </rPr>
      <t xml:space="preserve">Carterville Community Unit School District #5 </t>
    </r>
    <r>
      <rPr>
        <sz val="9"/>
        <rFont val="Calibri"/>
        <family val="2"/>
        <scheme val="minor"/>
      </rPr>
      <t>and is presented on the C</t>
    </r>
    <r>
      <rPr>
        <b/>
        <sz val="9"/>
        <rFont val="Calibri"/>
        <family val="2"/>
        <scheme val="minor"/>
      </rPr>
      <t>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t>
    </r>
    <r>
      <rPr>
        <sz val="9"/>
        <rFont val="Calibri"/>
        <family val="2"/>
        <scheme val="minor"/>
      </rPr>
      <t xml:space="preserve"> financial statements.</t>
    </r>
  </si>
  <si>
    <t>Adverse - GAAP Basis; Unmodified Regulatory Basis</t>
  </si>
  <si>
    <t>Carterville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</si>
</sst>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2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vertical="top"/>
      <protection locked="0"/>
    </xf>
    <xf numFmtId="38" fontId="3" fillId="0" borderId="155" xfId="19" applyNumberFormat="1" applyFont="1" applyBorder="1" applyAlignment="1" applyProtection="1">
      <alignment horizontal="right" vertical="top"/>
      <protection locked="0"/>
    </xf>
    <xf numFmtId="3" fontId="65" fillId="0" borderId="22" xfId="3" applyNumberFormat="1" applyFont="1" applyBorder="1" applyAlignment="1" applyProtection="1">
      <alignment horizontal="left" vertical="center" wrapText="1"/>
      <protection locked="0"/>
    </xf>
    <xf numFmtId="3" fontId="63" fillId="0" borderId="22" xfId="3" applyNumberFormat="1" applyFont="1" applyBorder="1" applyAlignment="1" applyProtection="1">
      <alignment horizontal="left" vertical="center" wrapText="1" indent="1"/>
      <protection locked="0"/>
    </xf>
    <xf numFmtId="3" fontId="65" fillId="0" borderId="22" xfId="3" applyNumberFormat="1" applyFont="1" applyBorder="1" applyAlignment="1" applyProtection="1">
      <alignment horizontal="left" vertical="center" wrapText="1" indent="1"/>
      <protection locked="0"/>
    </xf>
    <xf numFmtId="3" fontId="65" fillId="0" borderId="22" xfId="3" applyNumberFormat="1" applyFont="1" applyBorder="1" applyAlignment="1" applyProtection="1">
      <alignment horizontal="center" shrinkToFit="1"/>
      <protection locked="0"/>
    </xf>
    <xf numFmtId="3" fontId="65" fillId="0" borderId="8"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left" vertical="center" wrapText="1" indent="3"/>
      <protection locked="0"/>
    </xf>
    <xf numFmtId="3" fontId="63" fillId="0" borderId="22" xfId="3" applyNumberFormat="1" applyFont="1" applyBorder="1" applyAlignment="1" applyProtection="1">
      <alignment horizontal="left" vertical="center" wrapText="1" indent="3"/>
      <protection locked="0"/>
    </xf>
    <xf numFmtId="0" fontId="2" fillId="0" borderId="155" xfId="19" applyFont="1" applyBorder="1" applyAlignment="1" applyProtection="1">
      <alignment horizontal="left" vertical="top" wrapText="1"/>
      <protection locked="0"/>
    </xf>
    <xf numFmtId="0" fontId="58" fillId="0" borderId="9" xfId="3" applyFont="1" applyBorder="1" applyAlignment="1" applyProtection="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123825</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34290</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30480</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83820</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30480</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pageSetUpPr fitToPage="1"/>
  </sheetPr>
  <dimension ref="A1:AF48"/>
  <sheetViews>
    <sheetView showGridLines="0" tabSelected="1" view="pageBreakPreview" zoomScale="90" zoomScaleNormal="100" zoomScaleSheetLayoutView="9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9">
        <f>+'AFR20'!E4</f>
        <v>44119</v>
      </c>
      <c r="C1" s="2129"/>
      <c r="D1" s="2130"/>
      <c r="I1" s="2088" t="s">
        <v>402</v>
      </c>
      <c r="J1" s="2089"/>
      <c r="K1" s="2089"/>
      <c r="L1" s="2089"/>
      <c r="M1" s="2089"/>
      <c r="N1" s="2089"/>
      <c r="O1" s="2089"/>
      <c r="P1" s="2089"/>
      <c r="Q1" s="2089"/>
      <c r="R1" s="2089"/>
      <c r="S1" s="2089"/>
    </row>
    <row r="2" spans="1:32" ht="12" customHeight="1" x14ac:dyDescent="0.2">
      <c r="A2" s="1831" t="str">
        <f>"Due to ISBE on "</f>
        <v xml:space="preserve">Due to ISBE on </v>
      </c>
      <c r="B2" s="2131">
        <f>+'AFR20'!F4</f>
        <v>44151</v>
      </c>
      <c r="C2" s="2131"/>
      <c r="D2" s="2132"/>
      <c r="I2" s="2090" t="s">
        <v>2002</v>
      </c>
      <c r="J2" s="2089"/>
      <c r="K2" s="2089"/>
      <c r="L2" s="2089"/>
      <c r="M2" s="2089"/>
      <c r="N2" s="2089"/>
      <c r="O2" s="2089"/>
      <c r="P2" s="2089"/>
      <c r="Q2" s="2089"/>
      <c r="R2" s="2089"/>
      <c r="S2" s="2089"/>
    </row>
    <row r="3" spans="1:32" ht="12" customHeight="1" x14ac:dyDescent="0.2">
      <c r="A3" s="1834" t="str">
        <f>"SD/JA"&amp;MID('AFR20'!E2,3,2)</f>
        <v>SD/JA20</v>
      </c>
      <c r="B3" s="151"/>
      <c r="C3" s="151"/>
      <c r="D3" s="152"/>
      <c r="I3" s="2090" t="s">
        <v>52</v>
      </c>
      <c r="J3" s="2089"/>
      <c r="K3" s="2089"/>
      <c r="L3" s="2089"/>
      <c r="M3" s="2089"/>
      <c r="N3" s="2089"/>
      <c r="O3" s="2089"/>
      <c r="P3" s="2089"/>
      <c r="Q3" s="2089"/>
      <c r="R3" s="2089"/>
      <c r="S3" s="2089"/>
    </row>
    <row r="4" spans="1:32" ht="12" customHeight="1" x14ac:dyDescent="0.2">
      <c r="A4" s="37"/>
      <c r="I4" s="2090" t="s">
        <v>521</v>
      </c>
      <c r="J4" s="2089"/>
      <c r="K4" s="2089"/>
      <c r="L4" s="2089"/>
      <c r="M4" s="2089"/>
      <c r="N4" s="2089"/>
      <c r="O4" s="2089"/>
      <c r="P4" s="2089"/>
      <c r="Q4" s="2089"/>
      <c r="R4" s="2089"/>
      <c r="S4" s="2089"/>
    </row>
    <row r="5" spans="1:32" ht="14.1" customHeight="1" x14ac:dyDescent="0.2">
      <c r="B5" s="101" t="s">
        <v>2053</v>
      </c>
      <c r="C5" s="26" t="s">
        <v>904</v>
      </c>
      <c r="D5" s="81"/>
      <c r="E5" s="81"/>
      <c r="H5" s="38"/>
      <c r="I5" s="2098" t="s">
        <v>675</v>
      </c>
      <c r="J5" s="2097"/>
      <c r="K5" s="2097"/>
      <c r="L5" s="2097"/>
      <c r="M5" s="2097"/>
      <c r="N5" s="2097"/>
      <c r="O5" s="2097"/>
      <c r="P5" s="2097"/>
      <c r="Q5" s="2097"/>
      <c r="R5" s="2097"/>
      <c r="S5" s="2097"/>
      <c r="AF5" s="1827"/>
    </row>
    <row r="6" spans="1:32" ht="14.1" customHeight="1" x14ac:dyDescent="0.2">
      <c r="B6" s="101"/>
      <c r="C6" s="26" t="s">
        <v>905</v>
      </c>
      <c r="D6" s="81"/>
      <c r="E6" s="81"/>
      <c r="I6" s="2096" t="s">
        <v>877</v>
      </c>
      <c r="J6" s="2097"/>
      <c r="K6" s="2097"/>
      <c r="L6" s="2097"/>
      <c r="M6" s="2097"/>
      <c r="N6" s="2097"/>
      <c r="O6" s="2097"/>
      <c r="P6" s="2097"/>
      <c r="Q6" s="2097"/>
      <c r="R6" s="2097"/>
      <c r="S6" s="2097"/>
    </row>
    <row r="7" spans="1:32" ht="12.2" customHeight="1" x14ac:dyDescent="0.2">
      <c r="I7" s="2091" t="str">
        <f>"June 30, "&amp;'AFR20'!E2</f>
        <v>June 30, 2020</v>
      </c>
      <c r="J7" s="2092"/>
      <c r="K7" s="2092"/>
      <c r="L7" s="2092"/>
      <c r="M7" s="2092"/>
      <c r="N7" s="2092"/>
      <c r="O7" s="2092"/>
      <c r="P7" s="2092"/>
      <c r="Q7" s="2092"/>
      <c r="R7" s="2092"/>
      <c r="S7" s="209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3" t="s">
        <v>669</v>
      </c>
      <c r="J9" s="2094"/>
      <c r="K9" s="2094"/>
      <c r="L9" s="2094"/>
      <c r="M9" s="2094"/>
      <c r="N9" s="2094"/>
      <c r="O9" s="2094"/>
      <c r="P9" s="2094"/>
      <c r="Q9" s="2094"/>
      <c r="R9" s="2094"/>
      <c r="S9" s="2095"/>
      <c r="T9" s="2146" t="s">
        <v>530</v>
      </c>
      <c r="U9" s="2147"/>
      <c r="V9" s="2147"/>
      <c r="W9" s="2147"/>
      <c r="X9" s="2147"/>
      <c r="Y9" s="2147"/>
      <c r="Z9" s="2147"/>
      <c r="AA9" s="2148"/>
    </row>
    <row r="10" spans="1:32" ht="13.5" customHeight="1" x14ac:dyDescent="0.2">
      <c r="A10" s="2153" t="s">
        <v>670</v>
      </c>
      <c r="B10" s="2154"/>
      <c r="C10" s="2154"/>
      <c r="D10" s="2154"/>
      <c r="E10" s="2154"/>
      <c r="F10" s="2154"/>
      <c r="G10" s="2154"/>
      <c r="H10" s="2155"/>
      <c r="I10" s="29"/>
      <c r="J10" s="30"/>
      <c r="K10" s="28"/>
      <c r="R10" s="30"/>
      <c r="S10" s="30"/>
      <c r="T10" s="2149"/>
      <c r="U10" s="2097"/>
      <c r="V10" s="2097"/>
      <c r="W10" s="2097"/>
      <c r="X10" s="2097"/>
      <c r="Y10" s="2097"/>
      <c r="Z10" s="2097"/>
      <c r="AA10" s="2103"/>
    </row>
    <row r="11" spans="1:32" ht="14.25" customHeight="1" x14ac:dyDescent="0.2">
      <c r="A11" s="2156" t="s">
        <v>949</v>
      </c>
      <c r="B11" s="2157"/>
      <c r="C11" s="2157"/>
      <c r="D11" s="2157"/>
      <c r="E11" s="2157"/>
      <c r="F11" s="2157"/>
      <c r="G11" s="2157"/>
      <c r="H11" s="2158"/>
      <c r="I11" s="27"/>
      <c r="J11" s="71"/>
      <c r="K11" s="27"/>
      <c r="O11" s="144" t="s">
        <v>2053</v>
      </c>
      <c r="P11" s="97" t="s">
        <v>199</v>
      </c>
      <c r="Q11" s="30"/>
      <c r="R11" s="28"/>
      <c r="S11" s="27"/>
      <c r="T11" s="2150"/>
      <c r="U11" s="2151"/>
      <c r="V11" s="2151"/>
      <c r="W11" s="2151"/>
      <c r="X11" s="2151"/>
      <c r="Y11" s="2151"/>
      <c r="Z11" s="2151"/>
      <c r="AA11" s="215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9">
        <v>21100005026</v>
      </c>
      <c r="B13" s="2110"/>
      <c r="C13" s="2110"/>
      <c r="D13" s="2110"/>
      <c r="E13" s="2110"/>
      <c r="F13" s="2110"/>
      <c r="G13" s="2110"/>
      <c r="H13" s="2111"/>
      <c r="I13" s="31"/>
      <c r="J13" s="30"/>
      <c r="K13" s="28"/>
      <c r="L13" s="30"/>
      <c r="M13" s="30"/>
      <c r="N13" s="30"/>
      <c r="O13" s="30"/>
      <c r="P13" s="30"/>
      <c r="Q13" s="30"/>
      <c r="R13" s="30"/>
      <c r="S13" s="30"/>
      <c r="T13" s="2115" t="s">
        <v>2054</v>
      </c>
      <c r="U13" s="2116"/>
      <c r="V13" s="2116"/>
      <c r="W13" s="2116"/>
      <c r="X13" s="2116"/>
      <c r="Y13" s="2117"/>
      <c r="Z13" s="2117"/>
      <c r="AA13" s="211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2" t="s">
        <v>2050</v>
      </c>
      <c r="B15" s="2113"/>
      <c r="C15" s="2113"/>
      <c r="D15" s="2113"/>
      <c r="E15" s="2113"/>
      <c r="F15" s="2113"/>
      <c r="G15" s="2113"/>
      <c r="H15" s="2114"/>
      <c r="T15" s="2119" t="s">
        <v>2055</v>
      </c>
      <c r="U15" s="2076"/>
      <c r="V15" s="2076"/>
      <c r="W15" s="2076"/>
      <c r="X15" s="2076"/>
      <c r="Y15" s="2120"/>
      <c r="Z15" s="2120"/>
      <c r="AA15" s="212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2" t="s">
        <v>2130</v>
      </c>
      <c r="B17" s="2083"/>
      <c r="C17" s="2083"/>
      <c r="D17" s="2083"/>
      <c r="E17" s="2083"/>
      <c r="F17" s="2083"/>
      <c r="G17" s="2083"/>
      <c r="H17" s="2108"/>
      <c r="T17" s="2126" t="s">
        <v>2056</v>
      </c>
      <c r="U17" s="2127"/>
      <c r="V17" s="2127"/>
      <c r="W17" s="2127"/>
      <c r="X17" s="2127"/>
      <c r="Y17" s="2127"/>
      <c r="Z17" s="2127"/>
      <c r="AA17" s="2128"/>
    </row>
    <row r="18" spans="1:27" ht="13.5" customHeight="1" x14ac:dyDescent="0.2">
      <c r="A18" s="82" t="s">
        <v>527</v>
      </c>
      <c r="B18" s="73"/>
      <c r="C18" s="69"/>
      <c r="D18" s="73"/>
      <c r="E18" s="73"/>
      <c r="F18" s="73"/>
      <c r="G18" s="73"/>
      <c r="H18" s="53"/>
      <c r="I18" s="2107" t="s">
        <v>671</v>
      </c>
      <c r="J18" s="2058"/>
      <c r="K18" s="2058"/>
      <c r="L18" s="2058"/>
      <c r="M18" s="2058"/>
      <c r="N18" s="2058"/>
      <c r="O18" s="2058"/>
      <c r="P18" s="2058"/>
      <c r="Q18" s="2058"/>
      <c r="R18" s="2058"/>
      <c r="S18" s="2059"/>
      <c r="T18" s="82" t="s">
        <v>706</v>
      </c>
      <c r="U18" s="48"/>
      <c r="V18" s="69"/>
      <c r="W18" s="47"/>
      <c r="X18" s="82" t="s">
        <v>264</v>
      </c>
      <c r="Y18" s="78"/>
      <c r="Z18" s="154" t="s">
        <v>672</v>
      </c>
      <c r="AA18" s="44"/>
    </row>
    <row r="19" spans="1:27" ht="13.5" customHeight="1" x14ac:dyDescent="0.2">
      <c r="A19" s="2112" t="s">
        <v>2051</v>
      </c>
      <c r="B19" s="2068"/>
      <c r="C19" s="2068"/>
      <c r="D19" s="2068"/>
      <c r="E19" s="2068"/>
      <c r="F19" s="2068"/>
      <c r="G19" s="2068"/>
      <c r="H19" s="2048"/>
      <c r="I19" s="30"/>
      <c r="J19" s="96"/>
      <c r="K19" s="40"/>
      <c r="L19" s="38"/>
      <c r="M19" s="109" t="s">
        <v>312</v>
      </c>
      <c r="P19" s="27"/>
      <c r="Q19" s="27"/>
      <c r="R19" s="27"/>
      <c r="S19" s="31"/>
      <c r="T19" s="2112" t="s">
        <v>2057</v>
      </c>
      <c r="U19" s="2047"/>
      <c r="V19" s="2047"/>
      <c r="W19" s="2048"/>
      <c r="X19" s="2124" t="s">
        <v>2058</v>
      </c>
      <c r="Y19" s="2125"/>
      <c r="Z19" s="2122">
        <v>63102</v>
      </c>
      <c r="AA19" s="212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6" t="s">
        <v>2052</v>
      </c>
      <c r="B21" s="2047"/>
      <c r="C21" s="2047"/>
      <c r="D21" s="2047"/>
      <c r="E21" s="2047"/>
      <c r="F21" s="2047"/>
      <c r="G21" s="2047"/>
      <c r="H21" s="2048"/>
      <c r="I21" s="2102" t="s">
        <v>673</v>
      </c>
      <c r="J21" s="2097"/>
      <c r="K21" s="2097"/>
      <c r="L21" s="2097"/>
      <c r="M21" s="2097"/>
      <c r="N21" s="2097"/>
      <c r="O21" s="2097"/>
      <c r="P21" s="2097"/>
      <c r="Q21" s="2097"/>
      <c r="R21" s="2097"/>
      <c r="S21" s="2103"/>
      <c r="T21" s="2137" t="s">
        <v>2059</v>
      </c>
      <c r="U21" s="2138"/>
      <c r="V21" s="2138"/>
      <c r="W21" s="2138"/>
      <c r="X21" s="2143" t="s">
        <v>2060</v>
      </c>
      <c r="Y21" s="2144"/>
      <c r="Z21" s="2144"/>
      <c r="AA21" s="2145"/>
    </row>
    <row r="22" spans="1:27" ht="13.5" customHeight="1" x14ac:dyDescent="0.2">
      <c r="A22" s="84" t="s">
        <v>528</v>
      </c>
      <c r="B22" s="56"/>
      <c r="C22" s="56"/>
      <c r="D22" s="56"/>
      <c r="E22" s="56"/>
      <c r="F22" s="56"/>
      <c r="G22" s="56"/>
      <c r="H22" s="57"/>
      <c r="I22" s="2104" t="s">
        <v>1412</v>
      </c>
      <c r="J22" s="2105"/>
      <c r="K22" s="2105"/>
      <c r="L22" s="2105"/>
      <c r="M22" s="2105"/>
      <c r="N22" s="2105"/>
      <c r="O22" s="2105"/>
      <c r="P22" s="2105"/>
      <c r="Q22" s="2105"/>
      <c r="R22" s="2105"/>
      <c r="S22" s="2106"/>
      <c r="T22" s="82" t="s">
        <v>1499</v>
      </c>
      <c r="U22" s="48"/>
      <c r="V22" s="69"/>
      <c r="W22" s="48"/>
      <c r="X22" s="155" t="s">
        <v>1307</v>
      </c>
      <c r="Z22" s="43"/>
      <c r="AA22" s="44"/>
    </row>
    <row r="23" spans="1:27" ht="13.5" customHeight="1" x14ac:dyDescent="0.2">
      <c r="A23" s="2099" t="s">
        <v>2064</v>
      </c>
      <c r="B23" s="2100"/>
      <c r="C23" s="2100"/>
      <c r="D23" s="2100"/>
      <c r="E23" s="2100"/>
      <c r="F23" s="2100"/>
      <c r="G23" s="2100"/>
      <c r="H23" s="2101"/>
      <c r="T23" s="2082" t="s">
        <v>2061</v>
      </c>
      <c r="U23" s="2136"/>
      <c r="V23" s="2136"/>
      <c r="W23" s="2136"/>
      <c r="X23" s="2140">
        <v>44469</v>
      </c>
      <c r="Y23" s="2141"/>
      <c r="Z23" s="2141"/>
      <c r="AA23" s="2142"/>
    </row>
    <row r="24" spans="1:27" ht="14.1" customHeight="1" x14ac:dyDescent="0.2">
      <c r="A24" s="85" t="s">
        <v>672</v>
      </c>
      <c r="B24" s="46"/>
      <c r="C24" s="46"/>
      <c r="D24" s="46"/>
      <c r="E24" s="46"/>
      <c r="F24" s="46"/>
      <c r="G24" s="46"/>
      <c r="H24" s="58"/>
      <c r="J24" s="2069">
        <f>IF(B5="x",IF(AUDITCHECK!D29="AFR form Incomplete.","",IF(AUDITCHECK!D29="Deficit reduction plan is required.","School District must complete a deficit reduction plan in the 2020-2021 Budget",)),"")</f>
        <v>0</v>
      </c>
      <c r="K24" s="2069"/>
      <c r="L24" s="2069"/>
      <c r="M24" s="2069"/>
      <c r="N24" s="2069"/>
      <c r="O24" s="2069"/>
      <c r="P24" s="2069"/>
      <c r="Q24" s="2069"/>
      <c r="R24" s="2069"/>
      <c r="S24" s="2070"/>
      <c r="T24" s="102" t="s">
        <v>528</v>
      </c>
      <c r="U24" s="103"/>
      <c r="V24" s="103"/>
      <c r="W24" s="103"/>
      <c r="X24" s="104"/>
      <c r="Y24" s="104"/>
      <c r="Z24" s="104"/>
      <c r="AA24" s="105"/>
    </row>
    <row r="25" spans="1:27" ht="14.1" customHeight="1" x14ac:dyDescent="0.2">
      <c r="A25" s="2046">
        <v>62918</v>
      </c>
      <c r="B25" s="2047"/>
      <c r="C25" s="2047"/>
      <c r="D25" s="2047"/>
      <c r="E25" s="2047"/>
      <c r="F25" s="2047"/>
      <c r="G25" s="2047"/>
      <c r="H25" s="2048"/>
      <c r="I25" s="110"/>
      <c r="J25" s="2071"/>
      <c r="K25" s="2071"/>
      <c r="L25" s="2071"/>
      <c r="M25" s="2071"/>
      <c r="N25" s="2071"/>
      <c r="O25" s="2071"/>
      <c r="P25" s="2071"/>
      <c r="Q25" s="2071"/>
      <c r="R25" s="2071"/>
      <c r="S25" s="2072"/>
      <c r="T25" s="2133" t="s">
        <v>2062</v>
      </c>
      <c r="U25" s="2134"/>
      <c r="V25" s="2134"/>
      <c r="W25" s="2134"/>
      <c r="X25" s="2134"/>
      <c r="Y25" s="2134"/>
      <c r="Z25" s="2134"/>
      <c r="AA25" s="213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7" t="s">
        <v>1494</v>
      </c>
      <c r="J27" s="2058"/>
      <c r="K27" s="2058"/>
      <c r="L27" s="2058"/>
      <c r="M27" s="2058"/>
      <c r="N27" s="2058"/>
      <c r="O27" s="2058"/>
      <c r="P27" s="2058"/>
      <c r="Q27" s="2058"/>
      <c r="R27" s="2058"/>
      <c r="S27" s="205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2053</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2053</v>
      </c>
      <c r="C30" s="121" t="s">
        <v>1154</v>
      </c>
      <c r="D30" s="28"/>
      <c r="E30" s="28"/>
      <c r="F30" s="136"/>
      <c r="G30" s="111"/>
      <c r="H30" s="111"/>
      <c r="I30" s="51"/>
      <c r="J30" s="144" t="s">
        <v>2053</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2053</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2089</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8"/>
      <c r="Q35" s="2047"/>
      <c r="R35" s="204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2" t="s">
        <v>2063</v>
      </c>
      <c r="B38" s="2083"/>
      <c r="C38" s="2083"/>
      <c r="D38" s="2083"/>
      <c r="E38" s="2083"/>
      <c r="F38" s="2047"/>
      <c r="G38" s="2047"/>
      <c r="H38" s="2048"/>
      <c r="I38" s="2075"/>
      <c r="J38" s="2076"/>
      <c r="K38" s="2076"/>
      <c r="L38" s="2076"/>
      <c r="M38" s="2076"/>
      <c r="N38" s="2076"/>
      <c r="O38" s="2076"/>
      <c r="P38" s="2077"/>
      <c r="Q38" s="2077"/>
      <c r="R38" s="2077"/>
      <c r="S38" s="2078"/>
      <c r="T38" s="2119"/>
      <c r="U38" s="2076"/>
      <c r="V38" s="2076"/>
      <c r="W38" s="2076"/>
      <c r="X38" s="2077"/>
      <c r="Y38" s="2077"/>
      <c r="Z38" s="2077"/>
      <c r="AA38" s="2078"/>
    </row>
    <row r="39" spans="1:27" ht="12" customHeight="1" x14ac:dyDescent="0.2">
      <c r="A39" s="2052" t="s">
        <v>528</v>
      </c>
      <c r="B39" s="2053"/>
      <c r="C39" s="69"/>
      <c r="D39" s="66"/>
      <c r="E39" s="66"/>
      <c r="F39" s="76"/>
      <c r="G39" s="66"/>
      <c r="H39" s="53"/>
      <c r="I39" s="2052" t="s">
        <v>528</v>
      </c>
      <c r="J39" s="2053"/>
      <c r="K39" s="2053"/>
      <c r="L39" s="2053"/>
      <c r="M39" s="2053"/>
      <c r="N39" s="64"/>
      <c r="O39" s="69"/>
      <c r="P39" s="69"/>
      <c r="Q39" s="75"/>
      <c r="R39" s="69"/>
      <c r="S39" s="53"/>
      <c r="T39" s="69" t="s">
        <v>528</v>
      </c>
      <c r="U39" s="48"/>
      <c r="V39" s="69"/>
      <c r="W39" s="47"/>
      <c r="X39" s="75"/>
      <c r="Y39" s="43"/>
      <c r="Z39" s="43"/>
      <c r="AA39" s="44"/>
    </row>
    <row r="40" spans="1:27" ht="13.5" customHeight="1" x14ac:dyDescent="0.2">
      <c r="A40" s="2060" t="s">
        <v>2064</v>
      </c>
      <c r="B40" s="2061"/>
      <c r="C40" s="2062"/>
      <c r="D40" s="2062"/>
      <c r="E40" s="2062"/>
      <c r="F40" s="2063"/>
      <c r="G40" s="2063"/>
      <c r="H40" s="2064"/>
      <c r="I40" s="2085"/>
      <c r="J40" s="2086"/>
      <c r="K40" s="2086"/>
      <c r="L40" s="2086"/>
      <c r="M40" s="2086"/>
      <c r="N40" s="2086"/>
      <c r="O40" s="2086"/>
      <c r="P40" s="2086"/>
      <c r="Q40" s="2086"/>
      <c r="R40" s="2086"/>
      <c r="S40" s="2087"/>
      <c r="T40" s="2085"/>
      <c r="U40" s="2139"/>
      <c r="V40" s="2086"/>
      <c r="W40" s="2086"/>
      <c r="X40" s="2086"/>
      <c r="Y40" s="2086"/>
      <c r="Z40" s="2086"/>
      <c r="AA40" s="208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4" t="s">
        <v>2065</v>
      </c>
      <c r="B42" s="2066"/>
      <c r="C42" s="2067"/>
      <c r="D42" s="2065" t="s">
        <v>2066</v>
      </c>
      <c r="E42" s="2066"/>
      <c r="F42" s="2066"/>
      <c r="G42" s="2066"/>
      <c r="H42" s="2067"/>
      <c r="I42" s="2049"/>
      <c r="J42" s="2050"/>
      <c r="K42" s="2050"/>
      <c r="L42" s="2050"/>
      <c r="M42" s="2050"/>
      <c r="N42" s="2050"/>
      <c r="O42" s="2051"/>
      <c r="P42" s="2084"/>
      <c r="Q42" s="2050"/>
      <c r="R42" s="2050"/>
      <c r="S42" s="2051"/>
      <c r="T42" s="2049"/>
      <c r="U42" s="2050"/>
      <c r="V42" s="2050"/>
      <c r="W42" s="2051"/>
      <c r="X42" s="2084"/>
      <c r="Y42" s="2050"/>
      <c r="Z42" s="2050"/>
      <c r="AA42" s="205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9"/>
      <c r="B44" s="2080"/>
      <c r="C44" s="2080"/>
      <c r="D44" s="2080"/>
      <c r="E44" s="2080"/>
      <c r="F44" s="2080"/>
      <c r="G44" s="2080"/>
      <c r="H44" s="2081"/>
      <c r="I44" s="2054"/>
      <c r="J44" s="2055"/>
      <c r="K44" s="2055"/>
      <c r="L44" s="2055"/>
      <c r="M44" s="2055"/>
      <c r="N44" s="2055"/>
      <c r="O44" s="2055"/>
      <c r="P44" s="2055"/>
      <c r="Q44" s="2055"/>
      <c r="R44" s="2055"/>
      <c r="S44" s="2056"/>
      <c r="T44" s="2054"/>
      <c r="U44" s="2073"/>
      <c r="V44" s="2073"/>
      <c r="W44" s="2073"/>
      <c r="X44" s="2073"/>
      <c r="Y44" s="2073"/>
      <c r="Z44" s="2055"/>
      <c r="AA44" s="205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view="pageBreakPreview" colorId="8" zoomScale="60" zoomScaleNormal="110" workbookViewId="0">
      <selection activeCell="H35" sqref="H3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7"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8"/>
      <c r="B3" s="1294"/>
      <c r="C3" s="1295"/>
      <c r="D3" s="1296" t="s">
        <v>254</v>
      </c>
      <c r="E3" s="1295"/>
      <c r="F3" s="1296" t="s">
        <v>255</v>
      </c>
    </row>
    <row r="4" spans="1:8" ht="13.7" customHeight="1" x14ac:dyDescent="0.2">
      <c r="A4" s="579" t="s">
        <v>1145</v>
      </c>
      <c r="B4" s="1721">
        <f>'Revenues 9-14'!C5</f>
        <v>4335466</v>
      </c>
      <c r="C4" s="1722"/>
      <c r="D4" s="1723">
        <f>B4-C4</f>
        <v>4335466</v>
      </c>
      <c r="E4" s="1722">
        <v>4543411</v>
      </c>
      <c r="F4" s="1723">
        <f>E4-C4</f>
        <v>4543411</v>
      </c>
    </row>
    <row r="5" spans="1:8" ht="13.7" customHeight="1" x14ac:dyDescent="0.2">
      <c r="A5" s="579" t="s">
        <v>865</v>
      </c>
      <c r="B5" s="1724">
        <f>'Revenues 9-14'!D5</f>
        <v>982881</v>
      </c>
      <c r="C5" s="1664"/>
      <c r="D5" s="1725">
        <f t="shared" ref="D5:D18" si="0">B5-C5</f>
        <v>982881</v>
      </c>
      <c r="E5" s="1664">
        <v>1053780</v>
      </c>
      <c r="F5" s="1725">
        <f>E5-C5</f>
        <v>1053780</v>
      </c>
    </row>
    <row r="6" spans="1:8" ht="13.7" customHeight="1" x14ac:dyDescent="0.2">
      <c r="A6" s="579" t="s">
        <v>408</v>
      </c>
      <c r="B6" s="1724">
        <f>'Revenues 9-14'!E5</f>
        <v>1147924</v>
      </c>
      <c r="C6" s="1664"/>
      <c r="D6" s="1725">
        <f t="shared" si="0"/>
        <v>1147924</v>
      </c>
      <c r="E6" s="1664">
        <v>1241980</v>
      </c>
      <c r="F6" s="1725">
        <f t="shared" ref="F6:F18" si="1">E6-C6</f>
        <v>1241980</v>
      </c>
    </row>
    <row r="7" spans="1:8" ht="13.7" customHeight="1" x14ac:dyDescent="0.2">
      <c r="A7" s="579" t="s">
        <v>154</v>
      </c>
      <c r="B7" s="1724">
        <f>'Revenues 9-14'!F5</f>
        <v>536119</v>
      </c>
      <c r="C7" s="1664"/>
      <c r="D7" s="1725">
        <f t="shared" si="0"/>
        <v>536119</v>
      </c>
      <c r="E7" s="1664">
        <v>578176</v>
      </c>
      <c r="F7" s="1725">
        <f t="shared" si="1"/>
        <v>578176</v>
      </c>
    </row>
    <row r="8" spans="1:8" ht="13.7" customHeight="1" x14ac:dyDescent="0.2">
      <c r="A8" s="579" t="s">
        <v>1169</v>
      </c>
      <c r="B8" s="1724">
        <f>'Revenues 9-14'!G5</f>
        <v>214440</v>
      </c>
      <c r="C8" s="1664"/>
      <c r="D8" s="1725">
        <f t="shared" si="0"/>
        <v>214440</v>
      </c>
      <c r="E8" s="1664">
        <v>195825</v>
      </c>
      <c r="F8" s="1725">
        <f t="shared" si="1"/>
        <v>195825</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1331</v>
      </c>
      <c r="C10" s="1664"/>
      <c r="D10" s="1725">
        <f t="shared" si="0"/>
        <v>1331</v>
      </c>
      <c r="E10" s="1664">
        <v>1392</v>
      </c>
      <c r="F10" s="1725">
        <f t="shared" si="1"/>
        <v>1392</v>
      </c>
    </row>
    <row r="11" spans="1:8" x14ac:dyDescent="0.2">
      <c r="A11" s="579" t="s">
        <v>406</v>
      </c>
      <c r="B11" s="1724">
        <f>'Revenues 9-14'!J5</f>
        <v>580787</v>
      </c>
      <c r="C11" s="1664"/>
      <c r="D11" s="1725">
        <f t="shared" si="0"/>
        <v>580787</v>
      </c>
      <c r="E11" s="1664">
        <v>582836</v>
      </c>
      <c r="F11" s="1725">
        <f t="shared" si="1"/>
        <v>582836</v>
      </c>
    </row>
    <row r="12" spans="1:8" ht="13.7" customHeight="1" x14ac:dyDescent="0.2">
      <c r="A12" s="579" t="s">
        <v>156</v>
      </c>
      <c r="B12" s="1724">
        <f>'Revenues 9-14'!K5</f>
        <v>4471</v>
      </c>
      <c r="C12" s="1664"/>
      <c r="D12" s="1725">
        <f t="shared" si="0"/>
        <v>4471</v>
      </c>
      <c r="E12" s="1664">
        <v>4639</v>
      </c>
      <c r="F12" s="1725">
        <f t="shared" si="1"/>
        <v>4639</v>
      </c>
    </row>
    <row r="13" spans="1:8" ht="13.7" customHeight="1" x14ac:dyDescent="0.2">
      <c r="A13" s="579" t="s">
        <v>930</v>
      </c>
      <c r="B13" s="1724">
        <f>SUM('Revenues 9-14'!C6:D6)</f>
        <v>1331</v>
      </c>
      <c r="C13" s="1664"/>
      <c r="D13" s="1725">
        <f t="shared" si="0"/>
        <v>1331</v>
      </c>
      <c r="E13" s="1664">
        <v>1392</v>
      </c>
      <c r="F13" s="1725">
        <f t="shared" si="1"/>
        <v>1392</v>
      </c>
    </row>
    <row r="14" spans="1:8" ht="13.7" customHeight="1" x14ac:dyDescent="0.2">
      <c r="A14" s="579" t="s">
        <v>407</v>
      </c>
      <c r="B14" s="1724">
        <f>SUM('Revenues 9-14'!C7:D7,'Revenues 9-14'!F7:H7)</f>
        <v>71473</v>
      </c>
      <c r="C14" s="1664"/>
      <c r="D14" s="1725">
        <f t="shared" si="0"/>
        <v>71473</v>
      </c>
      <c r="E14" s="1664">
        <v>74594</v>
      </c>
      <c r="F14" s="1725">
        <f t="shared" si="1"/>
        <v>74594</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285913</v>
      </c>
      <c r="C16" s="1664"/>
      <c r="D16" s="1725">
        <f t="shared" si="0"/>
        <v>285913</v>
      </c>
      <c r="E16" s="1664">
        <v>289098</v>
      </c>
      <c r="F16" s="1725">
        <f t="shared" si="1"/>
        <v>289098</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103007</v>
      </c>
      <c r="C18" s="1664"/>
      <c r="D18" s="1725">
        <f t="shared" si="0"/>
        <v>103007</v>
      </c>
      <c r="E18" s="1664"/>
      <c r="F18" s="1725">
        <f t="shared" si="1"/>
        <v>0</v>
      </c>
    </row>
    <row r="19" spans="1:6" ht="13.7" customHeight="1" thickBot="1" x14ac:dyDescent="0.25">
      <c r="A19" s="1432" t="s">
        <v>1151</v>
      </c>
      <c r="B19" s="1726">
        <f>SUM(B4:B18)</f>
        <v>8265143</v>
      </c>
      <c r="C19" s="1726">
        <f>SUM(C4:C18)</f>
        <v>0</v>
      </c>
      <c r="D19" s="1726">
        <f>SUM(D4:D18)</f>
        <v>8265143</v>
      </c>
      <c r="E19" s="1726">
        <f>SUM(E4:E18)</f>
        <v>8567123</v>
      </c>
      <c r="F19" s="1726">
        <f>SUM(F4:F18)</f>
        <v>8567123</v>
      </c>
    </row>
    <row r="20" spans="1:6" ht="13.5" thickTop="1" x14ac:dyDescent="0.2">
      <c r="B20" s="578"/>
      <c r="F20" s="580"/>
    </row>
    <row r="21" spans="1:6" x14ac:dyDescent="0.2">
      <c r="A21" s="581" t="s">
        <v>1784</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view="pageBreakPreview" topLeftCell="A19" colorId="8" zoomScale="60" zoomScaleNormal="110" workbookViewId="0">
      <selection activeCell="H35" sqref="H3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9" t="s">
        <v>625</v>
      </c>
      <c r="B1" s="2317"/>
      <c r="C1" s="585"/>
    </row>
    <row r="2" spans="1:7" ht="33.75" x14ac:dyDescent="0.2">
      <c r="A2" s="2324" t="s">
        <v>1778</v>
      </c>
      <c r="B2" s="232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6" t="s">
        <v>1104</v>
      </c>
      <c r="B3" s="2327"/>
      <c r="C3" s="2320"/>
      <c r="D3" s="2321"/>
      <c r="E3" s="2321"/>
      <c r="F3" s="2322"/>
    </row>
    <row r="4" spans="1:7" ht="12.75" customHeight="1" thickBot="1" x14ac:dyDescent="0.25">
      <c r="A4" s="2314" t="s">
        <v>626</v>
      </c>
      <c r="B4" s="2315"/>
      <c r="C4" s="1656"/>
      <c r="D4" s="1656"/>
      <c r="E4" s="1656"/>
      <c r="F4" s="1732">
        <f>SUM(C4+D4)-E4</f>
        <v>0</v>
      </c>
    </row>
    <row r="5" spans="1:7" ht="15.75" customHeight="1" thickTop="1" x14ac:dyDescent="0.2">
      <c r="A5" s="2318" t="s">
        <v>1101</v>
      </c>
      <c r="B5" s="2313"/>
      <c r="C5" s="2307"/>
      <c r="D5" s="2308"/>
      <c r="E5" s="2308"/>
      <c r="F5" s="230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10" t="s">
        <v>627</v>
      </c>
      <c r="B15" s="2311"/>
      <c r="C15" s="1732">
        <f>SUM(C6:C14)</f>
        <v>0</v>
      </c>
      <c r="D15" s="1732">
        <f>SUM(D6:D14)</f>
        <v>0</v>
      </c>
      <c r="E15" s="1732">
        <f>SUM(E6:E14)</f>
        <v>0</v>
      </c>
      <c r="F15" s="1732">
        <f>SUM(F6:F14)</f>
        <v>0</v>
      </c>
      <c r="G15" s="473"/>
    </row>
    <row r="16" spans="1:7" s="197" customFormat="1" ht="15.75" customHeight="1" thickTop="1" x14ac:dyDescent="0.2">
      <c r="A16" s="2323" t="s">
        <v>1102</v>
      </c>
      <c r="B16" s="2313"/>
      <c r="C16" s="2307"/>
      <c r="D16" s="2308"/>
      <c r="E16" s="2308"/>
      <c r="F16" s="2309"/>
    </row>
    <row r="17" spans="1:11" ht="12.75" customHeight="1" thickBot="1" x14ac:dyDescent="0.25">
      <c r="A17" s="2305" t="s">
        <v>64</v>
      </c>
      <c r="B17" s="2306"/>
      <c r="C17" s="1733"/>
      <c r="D17" s="1664"/>
      <c r="E17" s="1733"/>
      <c r="F17" s="1732">
        <f>SUM(C17+D17)-E17</f>
        <v>0</v>
      </c>
    </row>
    <row r="18" spans="1:11" ht="12.75" customHeight="1" thickTop="1" thickBot="1" x14ac:dyDescent="0.25">
      <c r="A18" s="2305" t="s">
        <v>6</v>
      </c>
      <c r="B18" s="2306"/>
      <c r="C18" s="1733"/>
      <c r="D18" s="1664"/>
      <c r="E18" s="1733"/>
      <c r="F18" s="1732">
        <f>SUM(C18+D18)-E18</f>
        <v>0</v>
      </c>
    </row>
    <row r="19" spans="1:11" ht="12.75" customHeight="1" thickTop="1" thickBot="1" x14ac:dyDescent="0.25">
      <c r="A19" s="2305" t="s">
        <v>385</v>
      </c>
      <c r="B19" s="2306"/>
      <c r="C19" s="1733"/>
      <c r="D19" s="1664"/>
      <c r="E19" s="1733"/>
      <c r="F19" s="1732">
        <f>SUM(C19+D19)-E19</f>
        <v>0</v>
      </c>
    </row>
    <row r="20" spans="1:11" ht="12.75" customHeight="1" thickTop="1" thickBot="1" x14ac:dyDescent="0.25">
      <c r="A20" s="2305" t="s">
        <v>445</v>
      </c>
      <c r="B20" s="2306"/>
      <c r="C20" s="1733"/>
      <c r="D20" s="1664"/>
      <c r="E20" s="1733"/>
      <c r="F20" s="1732">
        <f>SUM(C20+D20)-E20</f>
        <v>0</v>
      </c>
    </row>
    <row r="21" spans="1:11" ht="14.25" thickTop="1" thickBot="1" x14ac:dyDescent="0.25">
      <c r="A21" s="2310" t="s">
        <v>628</v>
      </c>
      <c r="B21" s="2311"/>
      <c r="C21" s="1732">
        <f>SUM(C17:C20)</f>
        <v>0</v>
      </c>
      <c r="D21" s="1732">
        <f>SUM(D17:D20)</f>
        <v>0</v>
      </c>
      <c r="E21" s="1732">
        <f>SUM(E17:E20)</f>
        <v>0</v>
      </c>
      <c r="F21" s="1732">
        <f>SUM(F17:F20)</f>
        <v>0</v>
      </c>
      <c r="G21" s="473"/>
    </row>
    <row r="22" spans="1:11" ht="15.75" customHeight="1" thickTop="1" x14ac:dyDescent="0.2">
      <c r="A22" s="2312" t="s">
        <v>1103</v>
      </c>
      <c r="B22" s="2313"/>
      <c r="C22" s="2307"/>
      <c r="D22" s="2308"/>
      <c r="E22" s="2308"/>
      <c r="F22" s="2309"/>
    </row>
    <row r="23" spans="1:11" ht="13.5" thickBot="1" x14ac:dyDescent="0.25">
      <c r="A23" s="2314" t="s">
        <v>629</v>
      </c>
      <c r="B23" s="2315"/>
      <c r="C23" s="1656"/>
      <c r="D23" s="1656"/>
      <c r="E23" s="1656"/>
      <c r="F23" s="1732">
        <f>SUM(C23+D23)-E23</f>
        <v>0</v>
      </c>
      <c r="G23" s="473"/>
    </row>
    <row r="24" spans="1:11" ht="15.75" customHeight="1" thickTop="1" x14ac:dyDescent="0.2">
      <c r="A24" s="2312" t="s">
        <v>2005</v>
      </c>
      <c r="B24" s="2313"/>
      <c r="C24" s="2307"/>
      <c r="D24" s="2308"/>
      <c r="E24" s="2308"/>
      <c r="F24" s="2309"/>
    </row>
    <row r="25" spans="1:11" ht="13.5" thickBot="1" x14ac:dyDescent="0.25">
      <c r="A25" s="2314" t="s">
        <v>2006</v>
      </c>
      <c r="B25" s="2315"/>
      <c r="C25" s="1656"/>
      <c r="D25" s="1656"/>
      <c r="E25" s="1656"/>
      <c r="F25" s="1732">
        <f>SUM(C25+D25)-E25</f>
        <v>0</v>
      </c>
      <c r="G25" s="473"/>
    </row>
    <row r="26" spans="1:11" ht="15.75" customHeight="1" thickTop="1" x14ac:dyDescent="0.2">
      <c r="A26" s="2318" t="s">
        <v>652</v>
      </c>
      <c r="B26" s="2313"/>
      <c r="C26" s="589"/>
      <c r="D26" s="589"/>
      <c r="E26" s="589"/>
      <c r="F26" s="590"/>
    </row>
    <row r="27" spans="1:11" ht="13.5" thickBot="1" x14ac:dyDescent="0.25">
      <c r="A27" s="2310" t="s">
        <v>1061</v>
      </c>
      <c r="B27" s="2311"/>
      <c r="C27" s="1664"/>
      <c r="D27" s="1664"/>
      <c r="E27" s="1664"/>
      <c r="F27" s="1732">
        <f>SUM(C27+D27)-E27</f>
        <v>0</v>
      </c>
      <c r="G27" s="473"/>
    </row>
    <row r="28" spans="1:11" ht="7.5" customHeight="1" thickTop="1" x14ac:dyDescent="0.2">
      <c r="A28" s="489"/>
    </row>
    <row r="29" spans="1:11" ht="23.25" customHeight="1" x14ac:dyDescent="0.2">
      <c r="A29" s="2316" t="s">
        <v>578</v>
      </c>
      <c r="B29" s="231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41582</v>
      </c>
      <c r="C31" s="1734">
        <v>5015000</v>
      </c>
      <c r="D31" s="1735" t="s">
        <v>2074</v>
      </c>
      <c r="E31" s="1734">
        <v>2635000</v>
      </c>
      <c r="F31" s="1734"/>
      <c r="G31" s="1734"/>
      <c r="H31" s="1734">
        <v>565000</v>
      </c>
      <c r="I31" s="1736">
        <f>((E31+F31)-H31)+G31</f>
        <v>2070000</v>
      </c>
      <c r="J31" s="1734">
        <f t="shared" ref="J31:J37" si="1">I31</f>
        <v>2070000</v>
      </c>
      <c r="K31" s="596"/>
    </row>
    <row r="32" spans="1:11" ht="12" customHeight="1" x14ac:dyDescent="0.2">
      <c r="A32" s="594" t="s">
        <v>2068</v>
      </c>
      <c r="B32" s="595">
        <v>41582</v>
      </c>
      <c r="C32" s="1734">
        <v>998843</v>
      </c>
      <c r="D32" s="1735">
        <v>1</v>
      </c>
      <c r="E32" s="1734">
        <v>998843</v>
      </c>
      <c r="F32" s="1734"/>
      <c r="G32" s="1734"/>
      <c r="H32" s="1734"/>
      <c r="I32" s="1736">
        <f>((E32+F32)-H32)+G32</f>
        <v>998843</v>
      </c>
      <c r="J32" s="1734">
        <f t="shared" si="1"/>
        <v>998843</v>
      </c>
      <c r="K32" s="596"/>
    </row>
    <row r="33" spans="1:11" ht="12" customHeight="1" x14ac:dyDescent="0.2">
      <c r="A33" s="594" t="s">
        <v>2069</v>
      </c>
      <c r="B33" s="595">
        <v>42661</v>
      </c>
      <c r="C33" s="1734">
        <v>2805000</v>
      </c>
      <c r="D33" s="1735">
        <v>3</v>
      </c>
      <c r="E33" s="1734">
        <v>2805000</v>
      </c>
      <c r="F33" s="1734"/>
      <c r="G33" s="1734"/>
      <c r="H33" s="1734"/>
      <c r="I33" s="1736">
        <f t="shared" ref="I33:I48" si="2">((E33+F33)-H33)+G33</f>
        <v>2805000</v>
      </c>
      <c r="J33" s="1734">
        <f t="shared" si="1"/>
        <v>2805000</v>
      </c>
      <c r="K33" s="596"/>
    </row>
    <row r="34" spans="1:11" ht="12" customHeight="1" x14ac:dyDescent="0.2">
      <c r="A34" s="594" t="s">
        <v>2070</v>
      </c>
      <c r="B34" s="595">
        <v>42661</v>
      </c>
      <c r="C34" s="1734">
        <v>6230000</v>
      </c>
      <c r="D34" s="1735">
        <v>3</v>
      </c>
      <c r="E34" s="1734">
        <v>6230000</v>
      </c>
      <c r="F34" s="1734"/>
      <c r="G34" s="1734"/>
      <c r="H34" s="1734"/>
      <c r="I34" s="1736">
        <f t="shared" si="2"/>
        <v>6230000</v>
      </c>
      <c r="J34" s="1734">
        <f t="shared" si="1"/>
        <v>6230000</v>
      </c>
      <c r="K34" s="597"/>
    </row>
    <row r="35" spans="1:11" ht="12" customHeight="1" x14ac:dyDescent="0.2">
      <c r="A35" s="594" t="s">
        <v>2071</v>
      </c>
      <c r="B35" s="595">
        <v>42894</v>
      </c>
      <c r="C35" s="1737">
        <v>21840000</v>
      </c>
      <c r="D35" s="1735">
        <v>3</v>
      </c>
      <c r="E35" s="1737">
        <v>21840000</v>
      </c>
      <c r="F35" s="1737"/>
      <c r="G35" s="1737"/>
      <c r="H35" s="1737">
        <v>260000</v>
      </c>
      <c r="I35" s="1736">
        <f t="shared" si="2"/>
        <v>21580000</v>
      </c>
      <c r="J35" s="1737">
        <f t="shared" si="1"/>
        <v>21580000</v>
      </c>
      <c r="K35" s="597"/>
    </row>
    <row r="36" spans="1:11" ht="12" customHeight="1" x14ac:dyDescent="0.2">
      <c r="A36" s="594" t="s">
        <v>2072</v>
      </c>
      <c r="B36" s="595">
        <v>43433</v>
      </c>
      <c r="C36" s="1734">
        <v>2535000</v>
      </c>
      <c r="D36" s="1735">
        <v>3</v>
      </c>
      <c r="E36" s="1734">
        <v>2535000</v>
      </c>
      <c r="F36" s="1734"/>
      <c r="G36" s="1734"/>
      <c r="H36" s="1734">
        <v>150000</v>
      </c>
      <c r="I36" s="1736">
        <f t="shared" si="2"/>
        <v>2385000</v>
      </c>
      <c r="J36" s="1734">
        <f t="shared" si="1"/>
        <v>2385000</v>
      </c>
      <c r="K36" s="598"/>
    </row>
    <row r="37" spans="1:11" ht="12" customHeight="1" x14ac:dyDescent="0.2">
      <c r="A37" s="594" t="s">
        <v>2073</v>
      </c>
      <c r="B37" s="595">
        <v>43433</v>
      </c>
      <c r="C37" s="1574">
        <v>1295000</v>
      </c>
      <c r="D37" s="1738">
        <v>3</v>
      </c>
      <c r="E37" s="1574">
        <v>1295000</v>
      </c>
      <c r="F37" s="1574"/>
      <c r="G37" s="1574"/>
      <c r="H37" s="1574"/>
      <c r="I37" s="1736">
        <f t="shared" si="2"/>
        <v>1295000</v>
      </c>
      <c r="J37" s="1574">
        <f t="shared" si="1"/>
        <v>1295000</v>
      </c>
      <c r="K37" s="597"/>
    </row>
    <row r="38" spans="1:11" ht="12" customHeight="1" x14ac:dyDescent="0.2">
      <c r="A38" s="594"/>
      <c r="B38" s="595"/>
      <c r="C38" s="1734"/>
      <c r="D38" s="1739"/>
      <c r="E38" s="1740"/>
      <c r="F38" s="1740"/>
      <c r="G38" s="1740"/>
      <c r="H38" s="1740"/>
      <c r="I38" s="1736">
        <f t="shared" si="2"/>
        <v>0</v>
      </c>
      <c r="J38" s="1741" t="s">
        <v>262</v>
      </c>
      <c r="K38" s="599"/>
    </row>
    <row r="39" spans="1:11" ht="12" customHeight="1" x14ac:dyDescent="0.2">
      <c r="A39" s="594" t="s">
        <v>2075</v>
      </c>
      <c r="B39" s="595"/>
      <c r="C39" s="1734"/>
      <c r="D39" s="1739"/>
      <c r="E39" s="1740"/>
      <c r="F39" s="1740"/>
      <c r="G39" s="1740"/>
      <c r="H39" s="1740"/>
      <c r="I39" s="1736">
        <f t="shared" si="2"/>
        <v>0</v>
      </c>
      <c r="J39" s="1741">
        <f>-'Assets-Liab 5-6'!E41</f>
        <v>-53003</v>
      </c>
      <c r="K39" s="599"/>
    </row>
    <row r="40" spans="1:11" ht="12" customHeight="1" x14ac:dyDescent="0.2">
      <c r="A40" s="594"/>
      <c r="B40" s="595"/>
      <c r="C40" s="1734"/>
      <c r="D40" s="1739"/>
      <c r="E40" s="1740"/>
      <c r="F40" s="1740"/>
      <c r="G40" s="1740"/>
      <c r="H40" s="1740"/>
      <c r="I40" s="1736">
        <f t="shared" si="2"/>
        <v>0</v>
      </c>
      <c r="J40" s="1741"/>
      <c r="K40" s="599"/>
    </row>
    <row r="41" spans="1:11" ht="12" customHeight="1" x14ac:dyDescent="0.2">
      <c r="A41" s="594"/>
      <c r="B41" s="595"/>
      <c r="C41" s="1734"/>
      <c r="D41" s="1739"/>
      <c r="E41" s="1740"/>
      <c r="F41" s="1740"/>
      <c r="G41" s="1740"/>
      <c r="H41" s="1740"/>
      <c r="I41" s="1736">
        <f t="shared" si="2"/>
        <v>0</v>
      </c>
      <c r="J41" s="1741"/>
      <c r="K41" s="599"/>
    </row>
    <row r="42" spans="1:11" ht="12" customHeight="1" x14ac:dyDescent="0.2">
      <c r="A42" s="594"/>
      <c r="B42" s="595"/>
      <c r="C42" s="1734"/>
      <c r="D42" s="1739"/>
      <c r="E42" s="1740"/>
      <c r="F42" s="1740"/>
      <c r="G42" s="1740"/>
      <c r="H42" s="1740"/>
      <c r="I42" s="1736">
        <f t="shared" si="2"/>
        <v>0</v>
      </c>
      <c r="J42" s="1741"/>
      <c r="K42" s="599"/>
    </row>
    <row r="43" spans="1:11" ht="12" customHeight="1" x14ac:dyDescent="0.2">
      <c r="A43" s="594"/>
      <c r="B43" s="595"/>
      <c r="C43" s="1734"/>
      <c r="D43" s="1739"/>
      <c r="E43" s="1740"/>
      <c r="F43" s="1740"/>
      <c r="G43" s="1740"/>
      <c r="H43" s="1740"/>
      <c r="I43" s="1736">
        <f t="shared" si="2"/>
        <v>0</v>
      </c>
      <c r="J43" s="1741"/>
      <c r="K43" s="599"/>
    </row>
    <row r="44" spans="1:11" ht="12" customHeight="1" x14ac:dyDescent="0.2">
      <c r="A44" s="594"/>
      <c r="B44" s="595"/>
      <c r="C44" s="1734"/>
      <c r="D44" s="1735"/>
      <c r="E44" s="1734"/>
      <c r="F44" s="1734"/>
      <c r="G44" s="1734"/>
      <c r="H44" s="1734"/>
      <c r="I44" s="1736">
        <f t="shared" si="2"/>
        <v>0</v>
      </c>
      <c r="J44" s="1734"/>
      <c r="K44" s="597"/>
    </row>
    <row r="45" spans="1:11" ht="12" customHeight="1" x14ac:dyDescent="0.2">
      <c r="A45" s="594"/>
      <c r="B45" s="595"/>
      <c r="C45" s="1734"/>
      <c r="D45" s="1735"/>
      <c r="E45" s="1734"/>
      <c r="F45" s="1734"/>
      <c r="G45" s="1734"/>
      <c r="H45" s="1734"/>
      <c r="I45" s="1736">
        <f t="shared" si="2"/>
        <v>0</v>
      </c>
      <c r="J45" s="1734"/>
      <c r="K45" s="597"/>
    </row>
    <row r="46" spans="1:11" ht="12" customHeight="1" x14ac:dyDescent="0.2">
      <c r="A46" s="594"/>
      <c r="B46" s="595"/>
      <c r="C46" s="1734"/>
      <c r="D46" s="1735"/>
      <c r="E46" s="1734"/>
      <c r="F46" s="1734"/>
      <c r="G46" s="1734"/>
      <c r="H46" s="1734"/>
      <c r="I46" s="1736">
        <f t="shared" si="2"/>
        <v>0</v>
      </c>
      <c r="J46" s="1734"/>
      <c r="K46" s="597"/>
    </row>
    <row r="47" spans="1:11" ht="12" customHeight="1" x14ac:dyDescent="0.2">
      <c r="A47" s="594"/>
      <c r="B47" s="595"/>
      <c r="C47" s="1737"/>
      <c r="D47" s="1735"/>
      <c r="E47" s="1737"/>
      <c r="F47" s="1737"/>
      <c r="G47" s="1737"/>
      <c r="H47" s="1737"/>
      <c r="I47" s="1736">
        <f t="shared" si="2"/>
        <v>0</v>
      </c>
      <c r="J47" s="1737"/>
      <c r="K47" s="597"/>
    </row>
    <row r="48" spans="1:11" ht="12" customHeight="1" x14ac:dyDescent="0.2">
      <c r="A48" s="594"/>
      <c r="B48" s="595"/>
      <c r="C48" s="1734"/>
      <c r="D48" s="1735"/>
      <c r="E48" s="1734"/>
      <c r="F48" s="1734"/>
      <c r="G48" s="1734"/>
      <c r="H48" s="1734"/>
      <c r="I48" s="1736">
        <f t="shared" si="2"/>
        <v>0</v>
      </c>
      <c r="J48" s="1734"/>
      <c r="K48" s="597"/>
    </row>
    <row r="49" spans="1:11" ht="12" customHeight="1" x14ac:dyDescent="0.2">
      <c r="A49" s="594"/>
      <c r="B49" s="595"/>
      <c r="C49" s="1736">
        <f>SUM(C31:C48)</f>
        <v>40718843</v>
      </c>
      <c r="D49" s="1742"/>
      <c r="E49" s="1736">
        <f t="shared" ref="E49:J49" si="3">SUM(E31:E48)</f>
        <v>38338843</v>
      </c>
      <c r="F49" s="1736">
        <f t="shared" si="3"/>
        <v>0</v>
      </c>
      <c r="G49" s="1736">
        <f t="shared" si="3"/>
        <v>0</v>
      </c>
      <c r="H49" s="1736">
        <f t="shared" si="3"/>
        <v>975000</v>
      </c>
      <c r="I49" s="1736">
        <f t="shared" si="3"/>
        <v>37363843</v>
      </c>
      <c r="J49" s="1736">
        <f t="shared" si="3"/>
        <v>37310840</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906</v>
      </c>
      <c r="B52" s="2299" t="s">
        <v>580</v>
      </c>
      <c r="C52" s="2300"/>
      <c r="D52" s="2300"/>
      <c r="E52" s="603" t="s">
        <v>840</v>
      </c>
      <c r="F52" s="2301"/>
      <c r="G52" s="2302"/>
      <c r="H52" s="596"/>
      <c r="I52" s="596"/>
      <c r="J52" s="600"/>
    </row>
    <row r="53" spans="1:11" ht="11.25" customHeight="1" x14ac:dyDescent="0.2">
      <c r="A53" s="604" t="s">
        <v>907</v>
      </c>
      <c r="B53" s="605" t="s">
        <v>945</v>
      </c>
      <c r="C53" s="600"/>
      <c r="D53" s="597"/>
      <c r="E53" s="603" t="s">
        <v>494</v>
      </c>
      <c r="F53" s="2303"/>
      <c r="G53" s="2304"/>
      <c r="H53" s="596"/>
      <c r="I53" s="596"/>
      <c r="J53" s="600"/>
    </row>
    <row r="54" spans="1:11" ht="11.25" customHeight="1" x14ac:dyDescent="0.2">
      <c r="A54" s="606" t="s">
        <v>908</v>
      </c>
      <c r="B54" s="601" t="s">
        <v>946</v>
      </c>
      <c r="C54" s="600"/>
      <c r="D54" s="597"/>
      <c r="E54" s="603" t="s">
        <v>495</v>
      </c>
      <c r="F54" s="2303"/>
      <c r="G54" s="230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view="pageBreakPreview" colorId="8" zoomScale="60" zoomScaleNormal="110" workbookViewId="0">
      <selection activeCell="H35" sqref="H3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8" t="s">
        <v>851</v>
      </c>
      <c r="B1" s="2329"/>
      <c r="C1" s="2329"/>
      <c r="D1" s="2329"/>
      <c r="E1" s="2329"/>
      <c r="F1" s="2329"/>
      <c r="G1" s="2330"/>
      <c r="H1" s="1298"/>
      <c r="I1" s="614"/>
      <c r="J1" s="400"/>
    </row>
    <row r="2" spans="1:11" ht="26.25" x14ac:dyDescent="0.2">
      <c r="A2" s="2347" t="s">
        <v>1658</v>
      </c>
      <c r="B2" s="2348"/>
      <c r="C2" s="2348"/>
      <c r="D2" s="2348"/>
      <c r="E2" s="2349"/>
      <c r="F2" s="615" t="s">
        <v>898</v>
      </c>
      <c r="G2" s="616" t="s">
        <v>1655</v>
      </c>
      <c r="H2" s="616" t="s">
        <v>407</v>
      </c>
      <c r="I2" s="616" t="s">
        <v>1148</v>
      </c>
      <c r="J2" s="616" t="s">
        <v>1788</v>
      </c>
      <c r="K2" s="616" t="s">
        <v>137</v>
      </c>
    </row>
    <row r="3" spans="1:11" x14ac:dyDescent="0.2">
      <c r="A3" s="2350" t="str">
        <f>"Cash Basis Fund Balance as of July 1, "&amp;'AFR20'!E2-1</f>
        <v>Cash Basis Fund Balance as of July 1, 2019</v>
      </c>
      <c r="B3" s="2351"/>
      <c r="C3" s="2351"/>
      <c r="D3" s="2351"/>
      <c r="E3" s="2352"/>
      <c r="F3" s="617"/>
      <c r="G3" s="1744"/>
      <c r="H3" s="1744"/>
      <c r="I3" s="1744"/>
      <c r="J3" s="1745">
        <v>1237816</v>
      </c>
      <c r="K3" s="1745"/>
    </row>
    <row r="4" spans="1:11" x14ac:dyDescent="0.2">
      <c r="A4" s="2353" t="s">
        <v>366</v>
      </c>
      <c r="B4" s="2354"/>
      <c r="C4" s="2354"/>
      <c r="D4" s="2354"/>
      <c r="E4" s="2300"/>
      <c r="F4" s="620"/>
      <c r="G4" s="1746"/>
      <c r="H4" s="1747"/>
      <c r="I4" s="1746"/>
      <c r="J4" s="1748"/>
      <c r="K4" s="1748"/>
    </row>
    <row r="5" spans="1:11" x14ac:dyDescent="0.2">
      <c r="A5" s="2331" t="s">
        <v>1060</v>
      </c>
      <c r="B5" s="2332"/>
      <c r="C5" s="2332"/>
      <c r="D5" s="2332"/>
      <c r="E5" s="2333"/>
      <c r="F5" s="622" t="s">
        <v>843</v>
      </c>
      <c r="G5" s="1749"/>
      <c r="H5" s="1744"/>
      <c r="I5" s="1750"/>
      <c r="J5" s="1751"/>
      <c r="K5" s="1751"/>
    </row>
    <row r="6" spans="1:11" x14ac:dyDescent="0.2">
      <c r="A6" s="625" t="s">
        <v>715</v>
      </c>
      <c r="B6" s="626"/>
      <c r="C6" s="626"/>
      <c r="D6" s="626"/>
      <c r="E6" s="627"/>
      <c r="F6" s="628" t="s">
        <v>844</v>
      </c>
      <c r="G6" s="1744"/>
      <c r="H6" s="1744"/>
      <c r="I6" s="1744"/>
      <c r="J6" s="1745">
        <f>'Revenues 9-14'!C67+'Revenues 9-14'!D67+'Revenues 9-14'!F67+'Revenues 9-14'!G67+'Revenues 9-14'!H67</f>
        <v>48817</v>
      </c>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f>'Revenues 9-14'!H103</f>
        <v>1525930</v>
      </c>
      <c r="K8" s="1748"/>
    </row>
    <row r="9" spans="1:11" x14ac:dyDescent="0.2">
      <c r="A9" s="629" t="s">
        <v>137</v>
      </c>
      <c r="B9" s="630"/>
      <c r="C9" s="630"/>
      <c r="D9" s="630"/>
      <c r="E9" s="631"/>
      <c r="F9" s="628" t="s">
        <v>848</v>
      </c>
      <c r="G9" s="1753"/>
      <c r="H9" s="1749"/>
      <c r="I9" s="1749"/>
      <c r="J9" s="1752"/>
      <c r="K9" s="1745"/>
    </row>
    <row r="10" spans="1:11" x14ac:dyDescent="0.2">
      <c r="A10" s="2331" t="s">
        <v>1789</v>
      </c>
      <c r="B10" s="2332"/>
      <c r="C10" s="2332"/>
      <c r="D10" s="2332"/>
      <c r="E10" s="2334"/>
      <c r="F10" s="633" t="s">
        <v>857</v>
      </c>
      <c r="G10" s="1753"/>
      <c r="H10" s="1754"/>
      <c r="I10" s="1744"/>
      <c r="J10" s="1745"/>
      <c r="K10" s="1745"/>
    </row>
    <row r="11" spans="1:11" x14ac:dyDescent="0.2">
      <c r="A11" s="2331" t="s">
        <v>159</v>
      </c>
      <c r="B11" s="2332"/>
      <c r="C11" s="2332"/>
      <c r="D11" s="2332"/>
      <c r="E11" s="2333"/>
      <c r="F11" s="622" t="s">
        <v>847</v>
      </c>
      <c r="G11" s="1749"/>
      <c r="H11" s="1744"/>
      <c r="I11" s="1744"/>
      <c r="J11" s="1745"/>
      <c r="K11" s="1751"/>
    </row>
    <row r="12" spans="1:11" ht="13.5" thickBot="1" x14ac:dyDescent="0.25">
      <c r="A12" s="2358" t="s">
        <v>899</v>
      </c>
      <c r="B12" s="2359"/>
      <c r="C12" s="2359"/>
      <c r="D12" s="2359"/>
      <c r="E12" s="2360"/>
      <c r="F12" s="1433"/>
      <c r="G12" s="1755">
        <f>SUM(G5:G11)</f>
        <v>0</v>
      </c>
      <c r="H12" s="1755">
        <f>SUM(H5:H11)</f>
        <v>0</v>
      </c>
      <c r="I12" s="1755">
        <f>SUM(I5:I11)</f>
        <v>0</v>
      </c>
      <c r="J12" s="1755">
        <f>SUM(J5:J11)</f>
        <v>1574747</v>
      </c>
      <c r="K12" s="1755">
        <f>SUM(K5:K11)</f>
        <v>0</v>
      </c>
    </row>
    <row r="13" spans="1:11" ht="13.5" thickTop="1" x14ac:dyDescent="0.2">
      <c r="A13" s="2355" t="s">
        <v>367</v>
      </c>
      <c r="B13" s="2356"/>
      <c r="C13" s="2356"/>
      <c r="D13" s="2356"/>
      <c r="E13" s="2357"/>
      <c r="F13" s="634"/>
      <c r="G13" s="1756"/>
      <c r="H13" s="1757"/>
      <c r="I13" s="1758"/>
      <c r="J13" s="1758"/>
      <c r="K13" s="1758"/>
    </row>
    <row r="14" spans="1:11" x14ac:dyDescent="0.2">
      <c r="A14" s="2338" t="s">
        <v>453</v>
      </c>
      <c r="B14" s="2338"/>
      <c r="C14" s="2338"/>
      <c r="D14" s="2338"/>
      <c r="E14" s="2339"/>
      <c r="F14" s="635" t="s">
        <v>849</v>
      </c>
      <c r="G14" s="1753"/>
      <c r="H14" s="1744"/>
      <c r="I14" s="1749"/>
      <c r="J14" s="1751"/>
      <c r="K14" s="1745"/>
    </row>
    <row r="15" spans="1:11" x14ac:dyDescent="0.2">
      <c r="A15" s="2332" t="s">
        <v>4</v>
      </c>
      <c r="B15" s="2332"/>
      <c r="C15" s="2332"/>
      <c r="D15" s="2332"/>
      <c r="E15" s="2333"/>
      <c r="F15" s="635" t="s">
        <v>850</v>
      </c>
      <c r="G15" s="1749"/>
      <c r="H15" s="1744"/>
      <c r="I15" s="1744"/>
      <c r="J15" s="1745"/>
      <c r="K15" s="1745"/>
    </row>
    <row r="16" spans="1:11" x14ac:dyDescent="0.2">
      <c r="A16" s="2332" t="s">
        <v>295</v>
      </c>
      <c r="B16" s="2332"/>
      <c r="C16" s="2332"/>
      <c r="D16" s="2332"/>
      <c r="E16" s="2333"/>
      <c r="F16" s="635" t="s">
        <v>917</v>
      </c>
      <c r="G16" s="1750"/>
      <c r="H16" s="1746"/>
      <c r="I16" s="1746"/>
      <c r="J16" s="1748"/>
      <c r="K16" s="1748"/>
    </row>
    <row r="17" spans="1:15" x14ac:dyDescent="0.2">
      <c r="A17" s="2365" t="s">
        <v>929</v>
      </c>
      <c r="B17" s="2365"/>
      <c r="C17" s="2365"/>
      <c r="D17" s="2365"/>
      <c r="E17" s="2366"/>
      <c r="F17" s="636"/>
      <c r="G17" s="1759"/>
      <c r="H17" s="1760"/>
      <c r="I17" s="1760"/>
      <c r="J17" s="1761"/>
      <c r="K17" s="1762"/>
    </row>
    <row r="18" spans="1:15" x14ac:dyDescent="0.2">
      <c r="A18" s="2342" t="s">
        <v>365</v>
      </c>
      <c r="B18" s="2343"/>
      <c r="C18" s="2343"/>
      <c r="D18" s="2343"/>
      <c r="E18" s="2344"/>
      <c r="F18" s="635" t="s">
        <v>926</v>
      </c>
      <c r="G18" s="1753"/>
      <c r="H18" s="1753"/>
      <c r="I18" s="1753"/>
      <c r="J18" s="1745">
        <f>'Expenditures 15-22'!H169</f>
        <v>1478473</v>
      </c>
      <c r="K18" s="1763"/>
    </row>
    <row r="19" spans="1:15" ht="21.75" customHeight="1" x14ac:dyDescent="0.2">
      <c r="A19" s="2340" t="s">
        <v>1785</v>
      </c>
      <c r="B19" s="2340"/>
      <c r="C19" s="2340"/>
      <c r="D19" s="2340"/>
      <c r="E19" s="2341"/>
      <c r="F19" s="635" t="s">
        <v>927</v>
      </c>
      <c r="G19" s="1753"/>
      <c r="H19" s="1753"/>
      <c r="I19" s="1753"/>
      <c r="J19" s="1745"/>
      <c r="K19" s="1763"/>
    </row>
    <row r="20" spans="1:15" x14ac:dyDescent="0.2">
      <c r="A20" s="2342" t="s">
        <v>1790</v>
      </c>
      <c r="B20" s="2343"/>
      <c r="C20" s="2343"/>
      <c r="D20" s="2343"/>
      <c r="E20" s="2344"/>
      <c r="F20" s="635" t="s">
        <v>928</v>
      </c>
      <c r="G20" s="1753"/>
      <c r="H20" s="1753"/>
      <c r="I20" s="1753"/>
      <c r="J20" s="1745"/>
      <c r="K20" s="1763"/>
    </row>
    <row r="21" spans="1:15" ht="13.5" thickBot="1" x14ac:dyDescent="0.25">
      <c r="A21" s="2361" t="s">
        <v>633</v>
      </c>
      <c r="B21" s="2361"/>
      <c r="C21" s="2361"/>
      <c r="D21" s="2361"/>
      <c r="E21" s="2361"/>
      <c r="F21" s="1434"/>
      <c r="G21" s="1760"/>
      <c r="H21" s="1764"/>
      <c r="I21" s="1764"/>
      <c r="J21" s="1765">
        <f>SUM(J18:J20)</f>
        <v>1478473</v>
      </c>
      <c r="K21" s="1761"/>
    </row>
    <row r="22" spans="1:15" ht="13.5" thickTop="1" x14ac:dyDescent="0.2">
      <c r="A22" s="2332" t="s">
        <v>1791</v>
      </c>
      <c r="B22" s="2332"/>
      <c r="C22" s="2332"/>
      <c r="D22" s="2332"/>
      <c r="E22" s="2333"/>
      <c r="F22" s="635" t="s">
        <v>857</v>
      </c>
      <c r="G22" s="1753"/>
      <c r="H22" s="1744"/>
      <c r="I22" s="1744"/>
      <c r="J22" s="1766"/>
      <c r="K22" s="1745"/>
    </row>
    <row r="23" spans="1:15" ht="13.5" thickBot="1" x14ac:dyDescent="0.25">
      <c r="A23" s="2362" t="s">
        <v>900</v>
      </c>
      <c r="B23" s="2361"/>
      <c r="C23" s="2361"/>
      <c r="D23" s="2361"/>
      <c r="E23" s="2361"/>
      <c r="F23" s="1436"/>
      <c r="G23" s="1755">
        <f>SUM(G14:G16,G21,G22)</f>
        <v>0</v>
      </c>
      <c r="H23" s="1755">
        <f>SUM(H14:H16,H21,H22)</f>
        <v>0</v>
      </c>
      <c r="I23" s="1755">
        <f>SUM(I14:I16,I21,I22)</f>
        <v>0</v>
      </c>
      <c r="J23" s="1755">
        <f>SUM(J14:J16,J21,J22)</f>
        <v>1478473</v>
      </c>
      <c r="K23" s="1755">
        <f>SUM(K14:K16,K21,K22)</f>
        <v>0</v>
      </c>
      <c r="M23" s="1846"/>
      <c r="N23" s="1846"/>
      <c r="O23" s="1846"/>
    </row>
    <row r="24" spans="1:15" ht="14.25" thickTop="1" thickBot="1" x14ac:dyDescent="0.25">
      <c r="A24" s="2363" t="str">
        <f>"Ending Cash Basis Fund Balance as of June 30, "&amp;'AFR20'!E2</f>
        <v>Ending Cash Basis Fund Balance as of June 30, 2020</v>
      </c>
      <c r="B24" s="2364"/>
      <c r="C24" s="2364"/>
      <c r="D24" s="2364"/>
      <c r="E24" s="2364"/>
      <c r="F24" s="1437"/>
      <c r="G24" s="1767">
        <f>SUM(G3,G12)-G23</f>
        <v>0</v>
      </c>
      <c r="H24" s="1767">
        <f>SUM(H3,H12)-H23</f>
        <v>0</v>
      </c>
      <c r="I24" s="1767">
        <f>SUM(I3,I12)-I23</f>
        <v>0</v>
      </c>
      <c r="J24" s="1767">
        <f>SUM(J3,J12)-J23</f>
        <v>1334090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1334090</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2053</v>
      </c>
      <c r="E30" s="648" t="s">
        <v>763</v>
      </c>
      <c r="F30" s="197"/>
      <c r="G30" s="645"/>
    </row>
    <row r="31" spans="1:15" x14ac:dyDescent="0.2">
      <c r="A31" s="649"/>
      <c r="D31" s="232"/>
      <c r="E31" s="650" t="s">
        <v>764</v>
      </c>
      <c r="F31" s="651" t="s">
        <v>536</v>
      </c>
      <c r="G31" s="618"/>
      <c r="H31" s="2335"/>
      <c r="I31" s="2336"/>
      <c r="J31" s="2336"/>
      <c r="K31" s="2336"/>
    </row>
    <row r="32" spans="1:15" x14ac:dyDescent="0.2">
      <c r="A32" s="649"/>
      <c r="B32" s="232"/>
      <c r="C32" s="232"/>
      <c r="D32" s="232"/>
      <c r="E32" s="645"/>
      <c r="F32" s="651" t="s">
        <v>537</v>
      </c>
      <c r="G32" s="618"/>
      <c r="H32" s="2337"/>
      <c r="I32" s="2336"/>
      <c r="J32" s="2336"/>
      <c r="K32" s="2336"/>
    </row>
    <row r="33" spans="1:11" ht="1.5" customHeight="1" x14ac:dyDescent="0.2">
      <c r="A33" s="652" t="s">
        <v>1159</v>
      </c>
      <c r="B33" s="341"/>
      <c r="C33" s="341"/>
      <c r="D33" s="341"/>
      <c r="E33" s="341"/>
      <c r="F33" s="341"/>
      <c r="G33" s="653"/>
      <c r="H33" s="2337"/>
      <c r="I33" s="2336"/>
      <c r="J33" s="2336"/>
      <c r="K33" s="2336"/>
    </row>
    <row r="34" spans="1:11" x14ac:dyDescent="0.2">
      <c r="A34" s="654" t="s">
        <v>1792</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2" t="s">
        <v>538</v>
      </c>
      <c r="B41" s="2345"/>
      <c r="C41" s="2345"/>
      <c r="D41" s="2345"/>
      <c r="E41" s="2345"/>
      <c r="F41" s="234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1786</v>
      </c>
      <c r="B46" s="382" t="s">
        <v>1656</v>
      </c>
    </row>
    <row r="47" spans="1:11" s="663" customFormat="1" ht="12.75" customHeight="1" x14ac:dyDescent="0.2">
      <c r="A47" s="661"/>
      <c r="B47" s="662" t="s">
        <v>1657</v>
      </c>
      <c r="E47" s="662"/>
      <c r="K47" s="664"/>
    </row>
    <row r="48" spans="1:11" ht="12.75" customHeight="1" x14ac:dyDescent="0.2">
      <c r="A48" s="1300" t="s">
        <v>1787</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view="pageBreakPreview" colorId="8" zoomScale="60" zoomScaleNormal="110" workbookViewId="0">
      <selection activeCell="R48" sqref="R4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9" t="s">
        <v>1874</v>
      </c>
      <c r="B1" s="2370"/>
      <c r="C1" s="2371"/>
      <c r="D1" s="666"/>
      <c r="E1" s="667"/>
      <c r="F1" s="667"/>
      <c r="G1" s="668"/>
      <c r="H1" s="669"/>
      <c r="I1" s="670"/>
      <c r="J1" s="2367"/>
      <c r="K1" s="2368"/>
      <c r="L1" s="2368"/>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1198590</v>
      </c>
      <c r="D5" s="1770">
        <v>412156</v>
      </c>
      <c r="E5" s="1770"/>
      <c r="F5" s="1765">
        <f>(C5+D5)-E5</f>
        <v>1610746</v>
      </c>
      <c r="G5" s="676"/>
      <c r="H5" s="680"/>
      <c r="I5" s="680"/>
      <c r="J5" s="680"/>
      <c r="K5" s="637"/>
      <c r="L5" s="1442">
        <f>F5-K5</f>
        <v>1610746</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76578291</v>
      </c>
      <c r="D8" s="1771">
        <v>1384414</v>
      </c>
      <c r="E8" s="1771"/>
      <c r="F8" s="1765">
        <f>(C8+D8)-E8</f>
        <v>77962705</v>
      </c>
      <c r="G8" s="681">
        <v>50</v>
      </c>
      <c r="H8" s="619">
        <v>17325676</v>
      </c>
      <c r="I8" s="619">
        <v>1561207</v>
      </c>
      <c r="J8" s="619"/>
      <c r="K8" s="1442">
        <f>(H8+I8)-J8</f>
        <v>18886883</v>
      </c>
      <c r="L8" s="1442">
        <f>F8-K8</f>
        <v>59075822</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1768844</v>
      </c>
      <c r="D10" s="1772"/>
      <c r="E10" s="1772"/>
      <c r="F10" s="1773">
        <f>(C10+D10)-E10</f>
        <v>1768844</v>
      </c>
      <c r="G10" s="681">
        <v>20</v>
      </c>
      <c r="H10" s="683">
        <v>923041</v>
      </c>
      <c r="I10" s="683">
        <v>84201</v>
      </c>
      <c r="J10" s="683"/>
      <c r="K10" s="1442">
        <f>(H10+I10)-J10</f>
        <v>1007242</v>
      </c>
      <c r="L10" s="1442">
        <f>F10-K10</f>
        <v>761602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4653811</v>
      </c>
      <c r="D12" s="1771">
        <v>150890</v>
      </c>
      <c r="E12" s="1771"/>
      <c r="F12" s="1765">
        <f>(C12+D12)-E12</f>
        <v>4804701</v>
      </c>
      <c r="G12" s="681">
        <v>10</v>
      </c>
      <c r="H12" s="619">
        <v>3597161</v>
      </c>
      <c r="I12" s="619">
        <f>297932+7083</f>
        <v>305015</v>
      </c>
      <c r="J12" s="619"/>
      <c r="K12" s="1442">
        <f>(H12+I12)-J12</f>
        <v>3902176</v>
      </c>
      <c r="L12" s="1442">
        <f>F12-K12</f>
        <v>902525</v>
      </c>
    </row>
    <row r="13" spans="1:14" ht="14.25" thickTop="1" thickBot="1" x14ac:dyDescent="0.25">
      <c r="A13" s="684" t="s">
        <v>1112</v>
      </c>
      <c r="B13" s="679">
        <v>252</v>
      </c>
      <c r="C13" s="1771">
        <v>1105392</v>
      </c>
      <c r="D13" s="1771"/>
      <c r="E13" s="1771"/>
      <c r="F13" s="1765">
        <f>(C13+D13)-E13</f>
        <v>1105392</v>
      </c>
      <c r="G13" s="681">
        <v>5</v>
      </c>
      <c r="H13" s="619">
        <v>1097319</v>
      </c>
      <c r="I13" s="619">
        <v>843</v>
      </c>
      <c r="J13" s="619"/>
      <c r="K13" s="1442">
        <f>(H13+I13)-J13</f>
        <v>1098162</v>
      </c>
      <c r="L13" s="1442">
        <f>F13-K13</f>
        <v>7230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85304928</v>
      </c>
      <c r="D16" s="1765">
        <f>SUM(D3,D5:D6,D8:D10,D12:D15)</f>
        <v>1947460</v>
      </c>
      <c r="E16" s="1765">
        <f>SUM(E3,E5:E6,E8:E10,E12:E15)</f>
        <v>0</v>
      </c>
      <c r="F16" s="1765">
        <f>SUM(F3,F5:F6,F8:F10,F12:F15)</f>
        <v>87252388</v>
      </c>
      <c r="G16" s="681"/>
      <c r="H16" s="1435">
        <f>SUM(H3,H6,H8:H10,H12:H14,)</f>
        <v>22943197</v>
      </c>
      <c r="I16" s="1435">
        <f>SUM(I3,I6,I8:I10,I12:I14,)</f>
        <v>1951266</v>
      </c>
      <c r="J16" s="1435">
        <f>SUM(J3,J6,J8:J10,J12:J14,)</f>
        <v>0</v>
      </c>
      <c r="K16" s="1435">
        <f>(H16+I16)-J16</f>
        <v>24894463</v>
      </c>
      <c r="L16" s="1435">
        <f>F16-K16</f>
        <v>62357925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1951266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view="pageBreakPreview" colorId="8" zoomScale="60" zoomScaleNormal="110" workbookViewId="0">
      <selection activeCell="H35" sqref="H3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5" t="str">
        <f>"ESTIMATED OPERATING EXPENSE PER PUPIL (OEPP)/PER CAPITA TUITION CHARGE (PCTC) COMPUTATIONS ("&amp;'AFR20'!E2-1&amp;" - "&amp;'AFR20'!E2&amp;")"</f>
        <v>ESTIMATED OPERATING EXPENSE PER PUPIL (OEPP)/PER CAPITA TUITION CHARGE (PCTC) COMPUTATIONS (2019 - 2020)</v>
      </c>
      <c r="B1" s="2376"/>
      <c r="C1" s="2376"/>
      <c r="D1" s="2376"/>
      <c r="E1" s="2376"/>
      <c r="F1" s="2377"/>
      <c r="G1" s="691"/>
      <c r="I1" s="701"/>
    </row>
    <row r="2" spans="1:9" ht="15" customHeight="1" thickBot="1" x14ac:dyDescent="0.25">
      <c r="A2" s="2378" t="s">
        <v>474</v>
      </c>
      <c r="B2" s="2379"/>
      <c r="C2" s="2379"/>
      <c r="D2" s="2379"/>
      <c r="E2" s="2379"/>
      <c r="F2" s="238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1"/>
      <c r="B5" s="2382"/>
      <c r="C5" s="2382"/>
      <c r="D5" s="2382"/>
      <c r="E5" s="2382"/>
      <c r="F5" s="2382"/>
    </row>
    <row r="6" spans="1:9" ht="13.5" customHeight="1" thickBot="1" x14ac:dyDescent="0.25">
      <c r="A6" s="2372" t="s">
        <v>1095</v>
      </c>
      <c r="B6" s="2373"/>
      <c r="C6" s="2373"/>
      <c r="D6" s="2373"/>
      <c r="E6" s="2373"/>
      <c r="F6" s="237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16634722</v>
      </c>
      <c r="G8" s="701"/>
    </row>
    <row r="9" spans="1:9" x14ac:dyDescent="0.2">
      <c r="A9" s="705" t="s">
        <v>457</v>
      </c>
      <c r="B9" s="706" t="s">
        <v>1847</v>
      </c>
      <c r="C9" s="707"/>
      <c r="D9" s="705" t="s">
        <v>498</v>
      </c>
      <c r="E9" s="704"/>
      <c r="F9" s="1775">
        <f>'Expenditures 15-22'!K151</f>
        <v>2004322</v>
      </c>
      <c r="G9" s="708"/>
    </row>
    <row r="10" spans="1:9" x14ac:dyDescent="0.2">
      <c r="A10" s="705" t="s">
        <v>496</v>
      </c>
      <c r="B10" s="706" t="s">
        <v>1848</v>
      </c>
      <c r="C10" s="707"/>
      <c r="D10" s="705" t="s">
        <v>498</v>
      </c>
      <c r="E10" s="704"/>
      <c r="F10" s="1775">
        <f>'Expenditures 15-22'!K174</f>
        <v>2458222</v>
      </c>
      <c r="G10" s="708"/>
    </row>
    <row r="11" spans="1:9" x14ac:dyDescent="0.2">
      <c r="A11" s="705" t="s">
        <v>458</v>
      </c>
      <c r="B11" s="706" t="s">
        <v>1849</v>
      </c>
      <c r="C11" s="707"/>
      <c r="D11" s="705" t="s">
        <v>498</v>
      </c>
      <c r="E11" s="704"/>
      <c r="F11" s="1775">
        <f>'Expenditures 15-22'!K210</f>
        <v>703765</v>
      </c>
      <c r="G11" s="708"/>
    </row>
    <row r="12" spans="1:9" x14ac:dyDescent="0.2">
      <c r="A12" s="705" t="s">
        <v>459</v>
      </c>
      <c r="B12" s="706" t="s">
        <v>1850</v>
      </c>
      <c r="C12" s="707"/>
      <c r="D12" s="705" t="s">
        <v>498</v>
      </c>
      <c r="E12" s="704"/>
      <c r="F12" s="1775">
        <f>'Expenditures 15-22'!K295</f>
        <v>457210</v>
      </c>
      <c r="G12" s="708"/>
    </row>
    <row r="13" spans="1:9" x14ac:dyDescent="0.2">
      <c r="A13" s="705" t="s">
        <v>106</v>
      </c>
      <c r="B13" s="706" t="s">
        <v>1851</v>
      </c>
      <c r="C13" s="707"/>
      <c r="D13" s="705" t="s">
        <v>498</v>
      </c>
      <c r="E13" s="704"/>
      <c r="F13" s="1775">
        <f>'Expenditures 15-22'!K342</f>
        <v>495784</v>
      </c>
      <c r="G13" s="709"/>
    </row>
    <row r="14" spans="1:9" ht="12" customHeight="1" thickBot="1" x14ac:dyDescent="0.25">
      <c r="A14" s="1443"/>
      <c r="B14" s="1444"/>
      <c r="C14" s="1445"/>
      <c r="D14" s="1446" t="s">
        <v>498</v>
      </c>
      <c r="E14" s="1447" t="s">
        <v>952</v>
      </c>
      <c r="F14" s="1776">
        <f>SUM(F8:F13)</f>
        <v>22754025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1905</v>
      </c>
      <c r="C30" s="716">
        <f>'Revenues 9-14'!B150</f>
        <v>3499</v>
      </c>
      <c r="D30" s="717" t="str">
        <f>'Revenues 9-14'!A150</f>
        <v>Adult Ed - Other (Describe &amp; Itemize)</v>
      </c>
      <c r="E30" s="704"/>
      <c r="F30" s="1783">
        <f>('Revenues 9-14'!D150+'Revenues 9-14'!F150)</f>
        <v>0</v>
      </c>
      <c r="G30" s="701"/>
    </row>
    <row r="31" spans="1:7" x14ac:dyDescent="0.2">
      <c r="A31" s="705" t="s">
        <v>1088</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1908</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29456</v>
      </c>
      <c r="G52" s="701"/>
    </row>
    <row r="53" spans="1:7" x14ac:dyDescent="0.2">
      <c r="A53" s="705" t="s">
        <v>456</v>
      </c>
      <c r="B53" s="705" t="s">
        <v>1458</v>
      </c>
      <c r="C53" s="724">
        <f>'Expenditures 15-22'!B102</f>
        <v>4000</v>
      </c>
      <c r="D53" s="723" t="str">
        <f>'Expenditures 15-22'!A102</f>
        <v>Total Payments to Other Govt Units</v>
      </c>
      <c r="E53" s="704"/>
      <c r="F53" s="1782">
        <f>'Expenditures 15-22'!K102</f>
        <v>1773805</v>
      </c>
      <c r="G53" s="701"/>
    </row>
    <row r="54" spans="1:7" x14ac:dyDescent="0.2">
      <c r="A54" s="705" t="s">
        <v>456</v>
      </c>
      <c r="B54" s="705" t="s">
        <v>1459</v>
      </c>
      <c r="C54" s="724" t="s">
        <v>975</v>
      </c>
      <c r="D54" s="720" t="s">
        <v>1086</v>
      </c>
      <c r="E54" s="704"/>
      <c r="F54" s="1782">
        <f>'Expenditures 15-22'!G114</f>
        <v>1350596</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1852</v>
      </c>
      <c r="C57" s="724">
        <f>'Expenditures 15-22'!B139</f>
        <v>4000</v>
      </c>
      <c r="D57" s="722" t="str">
        <f>'Expenditures 15-22'!A139</f>
        <v>Total Payments to Other Govt Units</v>
      </c>
      <c r="E57" s="704"/>
      <c r="F57" s="1782">
        <f>'Expenditures 15-22'!K139</f>
        <v>0</v>
      </c>
      <c r="G57" s="701"/>
    </row>
    <row r="58" spans="1:7" x14ac:dyDescent="0.2">
      <c r="A58" s="705" t="s">
        <v>457</v>
      </c>
      <c r="B58" s="705" t="s">
        <v>1853</v>
      </c>
      <c r="C58" s="721" t="s">
        <v>975</v>
      </c>
      <c r="D58" s="720" t="s">
        <v>1086</v>
      </c>
      <c r="E58" s="704"/>
      <c r="F58" s="1784">
        <f>'Expenditures 15-22'!G151</f>
        <v>596866</v>
      </c>
      <c r="G58" s="701"/>
    </row>
    <row r="59" spans="1:7" x14ac:dyDescent="0.2">
      <c r="A59" s="728" t="s">
        <v>457</v>
      </c>
      <c r="B59" s="692" t="s">
        <v>1854</v>
      </c>
      <c r="C59" s="729" t="s">
        <v>975</v>
      </c>
      <c r="D59" s="692" t="s">
        <v>288</v>
      </c>
      <c r="F59" s="1785">
        <f>'Expenditures 15-22'!I151</f>
        <v>0</v>
      </c>
      <c r="G59" s="701"/>
    </row>
    <row r="60" spans="1:7" x14ac:dyDescent="0.2">
      <c r="A60" s="728" t="s">
        <v>496</v>
      </c>
      <c r="B60" s="692" t="s">
        <v>1855</v>
      </c>
      <c r="C60" s="729">
        <v>4000</v>
      </c>
      <c r="D60" s="692" t="s">
        <v>309</v>
      </c>
      <c r="F60" s="1783">
        <f>'Expenditures 15-22'!K160</f>
        <v>0</v>
      </c>
      <c r="G60" s="701"/>
    </row>
    <row r="61" spans="1:7" x14ac:dyDescent="0.2">
      <c r="A61" s="730" t="s">
        <v>496</v>
      </c>
      <c r="B61" s="730" t="s">
        <v>1856</v>
      </c>
      <c r="C61" s="731" t="str">
        <f>'Expenditures 15-22'!B170</f>
        <v>5300</v>
      </c>
      <c r="D61" s="732" t="s">
        <v>308</v>
      </c>
      <c r="E61" s="715"/>
      <c r="F61" s="1782">
        <f>'Expenditures 15-22'!K170</f>
        <v>975000</v>
      </c>
      <c r="G61" s="701"/>
    </row>
    <row r="62" spans="1:7" x14ac:dyDescent="0.2">
      <c r="A62" s="705" t="s">
        <v>458</v>
      </c>
      <c r="B62" s="705" t="s">
        <v>1857</v>
      </c>
      <c r="C62" s="721">
        <f>'Expenditures 15-22'!B185</f>
        <v>3000</v>
      </c>
      <c r="D62" s="712" t="s">
        <v>446</v>
      </c>
      <c r="E62" s="704"/>
      <c r="F62" s="1782">
        <f>'Expenditures 15-22'!K185-SUM('Expenditures 15-22'!G185,'Expenditures 15-22'!I185)</f>
        <v>0</v>
      </c>
      <c r="G62" s="701"/>
    </row>
    <row r="63" spans="1:7" x14ac:dyDescent="0.2">
      <c r="A63" s="705" t="s">
        <v>458</v>
      </c>
      <c r="B63" s="705" t="s">
        <v>1858</v>
      </c>
      <c r="C63" s="721" t="str">
        <f>'Expenditures 15-22'!B196</f>
        <v>4000</v>
      </c>
      <c r="D63" s="722" t="str">
        <f>'Expenditures 15-22'!A196</f>
        <v>Total Payments to Other Govt Units</v>
      </c>
      <c r="E63" s="704"/>
      <c r="F63" s="1782">
        <f>'Expenditures 15-22'!K196</f>
        <v>98841</v>
      </c>
      <c r="G63" s="701"/>
    </row>
    <row r="64" spans="1:7" x14ac:dyDescent="0.2">
      <c r="A64" s="730" t="s">
        <v>458</v>
      </c>
      <c r="B64" s="730" t="s">
        <v>1859</v>
      </c>
      <c r="C64" s="731" t="str">
        <f>'Expenditures 15-22'!B206</f>
        <v>5300</v>
      </c>
      <c r="D64" s="727" t="s">
        <v>308</v>
      </c>
      <c r="E64" s="704"/>
      <c r="F64" s="1782">
        <f>'Expenditures 15-22'!K206</f>
        <v>192741</v>
      </c>
      <c r="G64" s="701"/>
    </row>
    <row r="65" spans="1:9" x14ac:dyDescent="0.2">
      <c r="A65" s="705" t="s">
        <v>458</v>
      </c>
      <c r="B65" s="705" t="s">
        <v>1860</v>
      </c>
      <c r="C65" s="721" t="s">
        <v>975</v>
      </c>
      <c r="D65" s="720" t="s">
        <v>1086</v>
      </c>
      <c r="E65" s="704"/>
      <c r="F65" s="1782">
        <f>'Expenditures 15-22'!G210</f>
        <v>0</v>
      </c>
      <c r="G65" s="701"/>
    </row>
    <row r="66" spans="1:9" x14ac:dyDescent="0.2">
      <c r="A66" s="705" t="s">
        <v>458</v>
      </c>
      <c r="B66" s="705" t="s">
        <v>1861</v>
      </c>
      <c r="C66" s="721" t="s">
        <v>975</v>
      </c>
      <c r="D66" s="720" t="s">
        <v>288</v>
      </c>
      <c r="E66" s="704"/>
      <c r="F66" s="1782">
        <f>'Expenditures 15-22'!I210</f>
        <v>0</v>
      </c>
      <c r="G66" s="701"/>
    </row>
    <row r="67" spans="1:9" x14ac:dyDescent="0.2">
      <c r="A67" s="705" t="s">
        <v>459</v>
      </c>
      <c r="B67" s="705" t="s">
        <v>1862</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1864</v>
      </c>
      <c r="C70" s="721">
        <f>'Expenditures 15-22'!B221</f>
        <v>1300</v>
      </c>
      <c r="D70" s="722" t="str">
        <f>'Expenditures 15-22'!A221</f>
        <v>Adult/Continuing Education Programs</v>
      </c>
      <c r="E70" s="704"/>
      <c r="F70" s="1782">
        <f>'Expenditures 15-22'!K221</f>
        <v>0</v>
      </c>
      <c r="G70" s="701"/>
    </row>
    <row r="71" spans="1:9" x14ac:dyDescent="0.2">
      <c r="A71" s="705" t="s">
        <v>459</v>
      </c>
      <c r="B71" s="705" t="s">
        <v>1865</v>
      </c>
      <c r="C71" s="721">
        <f>'Expenditures 15-22'!B224</f>
        <v>1600</v>
      </c>
      <c r="D71" s="722" t="str">
        <f>'Expenditures 15-22'!A224</f>
        <v>Summer School Programs</v>
      </c>
      <c r="E71" s="704"/>
      <c r="F71" s="1782">
        <f>'Expenditures 15-22'!K224</f>
        <v>0</v>
      </c>
      <c r="G71" s="701"/>
    </row>
    <row r="72" spans="1:9" x14ac:dyDescent="0.2">
      <c r="A72" s="705" t="s">
        <v>459</v>
      </c>
      <c r="B72" s="705" t="s">
        <v>1866</v>
      </c>
      <c r="C72" s="721">
        <f>'Expenditures 15-22'!B280</f>
        <v>3000</v>
      </c>
      <c r="D72" s="712" t="s">
        <v>446</v>
      </c>
      <c r="E72" s="704"/>
      <c r="F72" s="1782">
        <f>'Expenditures 15-22'!K280</f>
        <v>0</v>
      </c>
      <c r="G72" s="701"/>
    </row>
    <row r="73" spans="1:9" x14ac:dyDescent="0.2">
      <c r="A73" s="705" t="s">
        <v>459</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1868</v>
      </c>
      <c r="C74" s="721" t="s">
        <v>855</v>
      </c>
      <c r="D74" s="722" t="s">
        <v>1470</v>
      </c>
      <c r="E74" s="704"/>
      <c r="F74" s="1786">
        <f>'Expenditures 15-22'!K334</f>
        <v>0</v>
      </c>
      <c r="G74" s="701"/>
    </row>
    <row r="75" spans="1:9" x14ac:dyDescent="0.2">
      <c r="A75" s="705" t="s">
        <v>2007</v>
      </c>
      <c r="B75" s="705" t="s">
        <v>2008</v>
      </c>
      <c r="C75" s="721" t="s">
        <v>975</v>
      </c>
      <c r="D75" s="722" t="s">
        <v>1086</v>
      </c>
      <c r="E75" s="704"/>
      <c r="F75" s="1786">
        <f>'Expenditures 15-22'!G342</f>
        <v>0</v>
      </c>
      <c r="G75" s="701"/>
    </row>
    <row r="76" spans="1:9" ht="10.5" customHeight="1" x14ac:dyDescent="0.2">
      <c r="A76" s="701" t="s">
        <v>433</v>
      </c>
      <c r="B76" s="705" t="s">
        <v>2009</v>
      </c>
      <c r="C76" s="711" t="s">
        <v>975</v>
      </c>
      <c r="D76" s="701" t="s">
        <v>288</v>
      </c>
      <c r="E76" s="704"/>
      <c r="F76" s="1786">
        <f>'Expenditures 15-22'!I342</f>
        <v>0</v>
      </c>
      <c r="G76" s="703"/>
    </row>
    <row r="77" spans="1:9" ht="12" thickBot="1" x14ac:dyDescent="0.25">
      <c r="A77" s="1443"/>
      <c r="B77" s="1448"/>
      <c r="C77" s="1445"/>
      <c r="D77" s="1449" t="s">
        <v>2010</v>
      </c>
      <c r="E77" s="1447" t="s">
        <v>952</v>
      </c>
      <c r="F77" s="1787">
        <f>SUM(F18:F76)</f>
        <v>5017305</v>
      </c>
      <c r="G77" s="701"/>
    </row>
    <row r="78" spans="1:9" s="728" customFormat="1" ht="12" customHeight="1" thickTop="1" thickBot="1" x14ac:dyDescent="0.25">
      <c r="A78" s="1450"/>
      <c r="B78" s="1448"/>
      <c r="C78" s="1445"/>
      <c r="D78" s="1449" t="s">
        <v>2011</v>
      </c>
      <c r="E78" s="1447"/>
      <c r="F78" s="1788">
        <f>(F14-F77)</f>
        <v>17736720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2029.3</v>
      </c>
      <c r="G79" s="733"/>
      <c r="H79" s="705"/>
      <c r="I79" s="705"/>
    </row>
    <row r="80" spans="1:9" s="728" customFormat="1" ht="12" customHeight="1" thickBot="1" x14ac:dyDescent="0.25">
      <c r="A80" s="1452"/>
      <c r="B80" s="1448"/>
      <c r="C80" s="1445"/>
      <c r="D80" s="1449" t="s">
        <v>2012</v>
      </c>
      <c r="E80" s="1447" t="s">
        <v>952</v>
      </c>
      <c r="F80" s="1790">
        <f>IF(F79&gt;0,F78/F79," Complete Line 79")</f>
        <v>8740.3143941260532</v>
      </c>
      <c r="G80" s="705"/>
    </row>
    <row r="81" spans="1:7" s="728" customFormat="1" ht="8.25" customHeight="1" thickTop="1" x14ac:dyDescent="0.2">
      <c r="A81" s="734"/>
      <c r="B81" s="705"/>
      <c r="C81" s="707"/>
      <c r="D81" s="735"/>
      <c r="E81" s="704"/>
      <c r="F81" s="1791"/>
      <c r="G81" s="705"/>
    </row>
    <row r="82" spans="1:7" s="728" customFormat="1" ht="12" thickBot="1" x14ac:dyDescent="0.25">
      <c r="A82" s="2372" t="s">
        <v>1096</v>
      </c>
      <c r="B82" s="2373"/>
      <c r="C82" s="2373"/>
      <c r="D82" s="2373"/>
      <c r="E82" s="2373"/>
      <c r="F82" s="237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317586</v>
      </c>
      <c r="G95" s="745"/>
    </row>
    <row r="96" spans="1:7" x14ac:dyDescent="0.2">
      <c r="A96" s="741" t="s">
        <v>139</v>
      </c>
      <c r="B96" s="741" t="s">
        <v>174</v>
      </c>
      <c r="C96" s="743">
        <v>1700</v>
      </c>
      <c r="D96" s="751" t="str">
        <f>'Revenues 9-14'!A82</f>
        <v>Total District/School Activity Income</v>
      </c>
      <c r="E96" s="739"/>
      <c r="F96" s="1793">
        <f>SUM('Revenues 9-14'!C82,'Revenues 9-14'!D82)</f>
        <v>135675</v>
      </c>
      <c r="G96" s="745"/>
    </row>
    <row r="97" spans="1:7" x14ac:dyDescent="0.2">
      <c r="A97" s="741" t="s">
        <v>456</v>
      </c>
      <c r="B97" s="741" t="s">
        <v>175</v>
      </c>
      <c r="C97" s="743">
        <f>'Revenues 9-14'!B84</f>
        <v>1811</v>
      </c>
      <c r="D97" s="744" t="str">
        <f>'Revenues 9-14'!A84</f>
        <v>Rentals - Regular Textbooks</v>
      </c>
      <c r="E97" s="739"/>
      <c r="F97" s="1793">
        <f>'Revenues 9-14'!C84</f>
        <v>68543</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207</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1909</v>
      </c>
      <c r="C106" s="746">
        <v>3100</v>
      </c>
      <c r="D106" s="752" t="str">
        <f>'Revenues 9-14'!A132</f>
        <v>Total Special Education</v>
      </c>
      <c r="E106" s="739"/>
      <c r="F106" s="1793">
        <f>SUM('Revenues 9-14'!C132:D132,'Revenues 9-14'!F132)</f>
        <v>23758</v>
      </c>
      <c r="G106" s="745"/>
    </row>
    <row r="107" spans="1:7" x14ac:dyDescent="0.2">
      <c r="A107" s="741" t="s">
        <v>668</v>
      </c>
      <c r="B107" s="741" t="s">
        <v>1910</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1911</v>
      </c>
      <c r="C108" s="753">
        <v>3300</v>
      </c>
      <c r="D108" s="744" t="str">
        <f>'Revenues 9-14'!A145</f>
        <v>Total Bilingual Ed</v>
      </c>
      <c r="E108" s="739"/>
      <c r="F108" s="1793">
        <f>SUM('Revenues 9-14'!C145,'Revenues 9-14'!G145)</f>
        <v>0</v>
      </c>
      <c r="G108" s="745"/>
    </row>
    <row r="109" spans="1:7" x14ac:dyDescent="0.2">
      <c r="A109" s="741" t="s">
        <v>456</v>
      </c>
      <c r="B109" s="741" t="s">
        <v>1912</v>
      </c>
      <c r="C109" s="753">
        <f>'Revenues 9-14'!B146</f>
        <v>3360</v>
      </c>
      <c r="D109" s="744" t="str">
        <f>'Revenues 9-14'!A146</f>
        <v>State Free Lunch &amp; Breakfast</v>
      </c>
      <c r="E109" s="739"/>
      <c r="F109" s="1793">
        <f>'Revenues 9-14'!C146</f>
        <v>5038</v>
      </c>
      <c r="G109" s="745"/>
    </row>
    <row r="110" spans="1:7" x14ac:dyDescent="0.2">
      <c r="A110" s="741" t="s">
        <v>668</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18943</v>
      </c>
      <c r="G111" s="745"/>
    </row>
    <row r="112" spans="1:7" x14ac:dyDescent="0.2">
      <c r="A112" s="741" t="s">
        <v>663</v>
      </c>
      <c r="B112" s="741" t="s">
        <v>1915</v>
      </c>
      <c r="C112" s="755">
        <v>3500</v>
      </c>
      <c r="D112" s="744" t="str">
        <f>'Revenues 9-14'!A155</f>
        <v>Total Transportation</v>
      </c>
      <c r="E112" s="739"/>
      <c r="F112" s="1793">
        <f>SUM('Revenues 9-14'!C155,'Revenues 9-14'!D155,'Revenues 9-14'!F155,'Revenues 9-14'!G155)</f>
        <v>206559</v>
      </c>
      <c r="G112" s="745"/>
    </row>
    <row r="113" spans="1:7" x14ac:dyDescent="0.2">
      <c r="A113" s="741" t="s">
        <v>456</v>
      </c>
      <c r="B113" s="741" t="s">
        <v>1916</v>
      </c>
      <c r="C113" s="753">
        <f>'Revenues 9-14'!B156</f>
        <v>3610</v>
      </c>
      <c r="D113" s="744" t="str">
        <f>'Revenues 9-14'!A156</f>
        <v>Learning Improvement - Change Grants</v>
      </c>
      <c r="E113" s="739"/>
      <c r="F113" s="1793">
        <f>'Revenues 9-14'!C156</f>
        <v>0</v>
      </c>
      <c r="G113" s="745"/>
    </row>
    <row r="114" spans="1:7" x14ac:dyDescent="0.2">
      <c r="A114" s="741" t="s">
        <v>663</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1922</v>
      </c>
      <c r="C119" s="757">
        <f>'Revenues 9-14'!B163</f>
        <v>3780</v>
      </c>
      <c r="D119" s="758" t="str">
        <f>'Revenues 9-14'!A163</f>
        <v>Technology - Technology for Success</v>
      </c>
      <c r="E119" s="739"/>
      <c r="F119" s="1792">
        <f>SUM('Revenues 9-14'!C163:G163)</f>
        <v>0</v>
      </c>
      <c r="G119" s="745"/>
    </row>
    <row r="120" spans="1:7" x14ac:dyDescent="0.2">
      <c r="A120" s="756" t="s">
        <v>501</v>
      </c>
      <c r="B120" s="756" t="s">
        <v>1923</v>
      </c>
      <c r="C120" s="757">
        <f>'Revenues 9-14'!B164</f>
        <v>3815</v>
      </c>
      <c r="D120" s="758" t="str">
        <f>'Revenues 9-14'!A164</f>
        <v>State Charter Schools</v>
      </c>
      <c r="E120" s="739"/>
      <c r="F120" s="1792">
        <f>SUM('Revenues 9-14'!C164,'Revenues 9-14'!F164)</f>
        <v>0</v>
      </c>
      <c r="G120" s="745"/>
    </row>
    <row r="121" spans="1:7" x14ac:dyDescent="0.2">
      <c r="A121" s="760" t="s">
        <v>457</v>
      </c>
      <c r="B121" s="760" t="s">
        <v>1924</v>
      </c>
      <c r="C121" s="761">
        <f>'Revenues 9-14'!B167</f>
        <v>3925</v>
      </c>
      <c r="D121" s="762" t="str">
        <f>'Revenues 9-14'!A167</f>
        <v>School Infrastructure - Maintenance Projects</v>
      </c>
      <c r="E121" s="739"/>
      <c r="F121" s="1793">
        <f>'Revenues 9-14'!D167</f>
        <v>38939</v>
      </c>
      <c r="G121" s="763"/>
    </row>
    <row r="122" spans="1:7" x14ac:dyDescent="0.2">
      <c r="A122" s="760" t="s">
        <v>497</v>
      </c>
      <c r="B122" s="760" t="s">
        <v>1925</v>
      </c>
      <c r="C122" s="761">
        <f>'Revenues 9-14'!B168</f>
        <v>3999</v>
      </c>
      <c r="D122" s="762" t="s">
        <v>540</v>
      </c>
      <c r="E122" s="764"/>
      <c r="F122" s="1793">
        <f>SUM('Revenues 9-14'!C168:G168,'Revenues 9-14'!J168)</f>
        <v>1000</v>
      </c>
      <c r="G122" s="763"/>
    </row>
    <row r="123" spans="1:7" x14ac:dyDescent="0.2">
      <c r="A123" s="760" t="s">
        <v>456</v>
      </c>
      <c r="B123" s="760" t="s">
        <v>1926</v>
      </c>
      <c r="C123" s="765">
        <f>'Revenues 9-14'!B177</f>
        <v>4045</v>
      </c>
      <c r="D123" s="762" t="str">
        <f>'Revenues 9-14'!A177 &amp; " (Subtract)"</f>
        <v>Head Start (Subtract)</v>
      </c>
      <c r="E123" s="739"/>
      <c r="F123" s="1793">
        <f>SUM(-'Revenues 9-14'!C177)</f>
        <v>0</v>
      </c>
      <c r="G123" s="763"/>
    </row>
    <row r="124" spans="1:7" x14ac:dyDescent="0.2">
      <c r="A124" s="760" t="s">
        <v>663</v>
      </c>
      <c r="B124" s="760" t="s">
        <v>1927</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1928</v>
      </c>
      <c r="C125" s="765">
        <v>4100</v>
      </c>
      <c r="D125" s="766" t="str">
        <f>'Revenues 9-14'!A188</f>
        <v>Total Title V</v>
      </c>
      <c r="E125" s="739"/>
      <c r="F125" s="1793">
        <f>SUM('Revenues 9-14'!C188,'Revenues 9-14'!D188,'Revenues 9-14'!F188,'Revenues 9-14'!G188)</f>
        <v>0</v>
      </c>
      <c r="G125" s="763"/>
    </row>
    <row r="126" spans="1:7" x14ac:dyDescent="0.2">
      <c r="A126" s="760" t="s">
        <v>659</v>
      </c>
      <c r="B126" s="760" t="s">
        <v>1929</v>
      </c>
      <c r="C126" s="765">
        <v>4200</v>
      </c>
      <c r="D126" s="762" t="str">
        <f>'Revenues 9-14'!A198</f>
        <v>Total Food Service</v>
      </c>
      <c r="E126" s="739"/>
      <c r="F126" s="1793">
        <f>SUM('Revenues 9-14'!C198,'Revenues 9-14'!G198)</f>
        <v>519877</v>
      </c>
      <c r="G126" s="763"/>
    </row>
    <row r="127" spans="1:7" x14ac:dyDescent="0.2">
      <c r="A127" s="760" t="s">
        <v>663</v>
      </c>
      <c r="B127" s="760" t="s">
        <v>1930</v>
      </c>
      <c r="C127" s="765">
        <v>4300</v>
      </c>
      <c r="D127" s="766" t="str">
        <f>'Revenues 9-14'!A204</f>
        <v>Total Title I</v>
      </c>
      <c r="E127" s="739"/>
      <c r="F127" s="1793">
        <f>SUM('Revenues 9-14'!C204,'Revenues 9-14'!D204,'Revenues 9-14'!F204,'Revenues 9-14'!G204)</f>
        <v>688613</v>
      </c>
      <c r="G127" s="763"/>
    </row>
    <row r="128" spans="1:7" x14ac:dyDescent="0.2">
      <c r="A128" s="760" t="s">
        <v>663</v>
      </c>
      <c r="B128" s="760" t="s">
        <v>1931</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1932</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1933</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1934</v>
      </c>
      <c r="C131" s="765">
        <f>'Revenues 9-14'!B215</f>
        <v>4630</v>
      </c>
      <c r="D131" s="766" t="str">
        <f>'Revenues 9-14'!A215</f>
        <v>Fed - Spec Education - IDEA - Discretionary</v>
      </c>
      <c r="E131" s="739"/>
      <c r="F131" s="1793">
        <f>SUM('Revenues 9-14'!C215:D215,'Revenues 9-14'!F215:G215)</f>
        <v>4585</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1935</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1950</v>
      </c>
      <c r="C158" s="773" t="s">
        <v>836</v>
      </c>
      <c r="D158" s="774" t="s">
        <v>772</v>
      </c>
      <c r="E158" s="775"/>
      <c r="F158" s="1793">
        <f>SUM(F134:F157)</f>
        <v>0</v>
      </c>
      <c r="G158" s="738"/>
    </row>
    <row r="159" spans="1:7" s="703" customFormat="1" x14ac:dyDescent="0.2">
      <c r="A159" s="771" t="s">
        <v>456</v>
      </c>
      <c r="B159" s="772" t="s">
        <v>1951</v>
      </c>
      <c r="C159" s="773" t="s">
        <v>1410</v>
      </c>
      <c r="D159" s="774" t="s">
        <v>1411</v>
      </c>
      <c r="E159" s="775"/>
      <c r="F159" s="1793">
        <f>SUM('Revenues 9-14'!C253)</f>
        <v>0</v>
      </c>
      <c r="G159" s="738"/>
    </row>
    <row r="160" spans="1:7" s="703" customFormat="1" x14ac:dyDescent="0.2">
      <c r="A160" s="771" t="s">
        <v>497</v>
      </c>
      <c r="B160" s="772" t="s">
        <v>1952</v>
      </c>
      <c r="C160" s="773" t="s">
        <v>1449</v>
      </c>
      <c r="D160" s="774" t="s">
        <v>1450</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1957</v>
      </c>
      <c r="C165" s="765">
        <f>'Revenues 9-14'!B259</f>
        <v>4932</v>
      </c>
      <c r="D165" s="766" t="str">
        <f>'Revenues 9-14'!A259</f>
        <v>Title II - Teacher Quality</v>
      </c>
      <c r="E165" s="739"/>
      <c r="F165" s="1792">
        <f>SUM('Revenues 9-14'!C259,'Revenues 9-14'!D259,'Revenues 9-14'!F259,'Revenues 9-14'!G259)</f>
        <v>88690</v>
      </c>
      <c r="G165" s="763"/>
    </row>
    <row r="166" spans="1:7" x14ac:dyDescent="0.2">
      <c r="A166" s="760" t="s">
        <v>663</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1959</v>
      </c>
      <c r="C169" s="765">
        <f>'Revenues 9-14'!B263</f>
        <v>4991</v>
      </c>
      <c r="D169" s="766" t="str">
        <f>'Revenues 9-14'!A263</f>
        <v>Medicaid Matching Funds - Administrative Outreach</v>
      </c>
      <c r="E169" s="739"/>
      <c r="F169" s="1793">
        <f>SUM('Revenues 9-14'!C263:D263,'Revenues 9-14'!F263:G263)</f>
        <v>20576</v>
      </c>
      <c r="G169" s="780">
        <v>6320</v>
      </c>
    </row>
    <row r="170" spans="1:7" x14ac:dyDescent="0.2">
      <c r="A170" s="760" t="s">
        <v>663</v>
      </c>
      <c r="B170" s="760" t="s">
        <v>1960</v>
      </c>
      <c r="C170" s="765">
        <f>'Revenues 9-14'!B264</f>
        <v>4992</v>
      </c>
      <c r="D170" s="766" t="str">
        <f>'Revenues 9-14'!A264</f>
        <v>Medicaid Matching Funds - Fee-for-Service Program</v>
      </c>
      <c r="E170" s="739"/>
      <c r="F170" s="1793">
        <f>SUM('Revenues 9-14'!C264:D264,'Revenues 9-14'!F264:G264)</f>
        <v>1768</v>
      </c>
      <c r="G170" s="780"/>
    </row>
    <row r="171" spans="1:7" x14ac:dyDescent="0.2">
      <c r="A171" s="781" t="s">
        <v>663</v>
      </c>
      <c r="B171" s="777" t="s">
        <v>1961</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1884</v>
      </c>
      <c r="C172" s="1531">
        <v>3100</v>
      </c>
      <c r="D172" s="1532" t="s">
        <v>1886</v>
      </c>
      <c r="E172" s="739"/>
      <c r="F172" s="1794">
        <v>410040</v>
      </c>
      <c r="G172" s="760"/>
    </row>
    <row r="173" spans="1:7" x14ac:dyDescent="0.2">
      <c r="A173" s="1529" t="s">
        <v>659</v>
      </c>
      <c r="B173" s="1530" t="s">
        <v>1884</v>
      </c>
      <c r="C173" s="1531">
        <v>3300</v>
      </c>
      <c r="D173" s="1532" t="s">
        <v>1887</v>
      </c>
      <c r="E173" s="739"/>
      <c r="F173" s="1794">
        <v>1033</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952</v>
      </c>
      <c r="F175" s="1796">
        <f>SUM(F85:F133,F158:F173)</f>
        <v>2551430</v>
      </c>
    </row>
    <row r="176" spans="1:7" ht="12" customHeight="1" x14ac:dyDescent="0.2">
      <c r="A176" s="1443"/>
      <c r="B176" s="1453"/>
      <c r="C176" s="1454"/>
      <c r="D176" s="1455" t="s">
        <v>2013</v>
      </c>
      <c r="E176" s="1456"/>
      <c r="F176" s="1793">
        <f>'PCTC-OEPP 27-28'!F78-F175</f>
        <v>15185290</v>
      </c>
    </row>
    <row r="177" spans="1:9" ht="12" customHeight="1" x14ac:dyDescent="0.2">
      <c r="A177" s="1443"/>
      <c r="B177" s="1453"/>
      <c r="C177" s="1454"/>
      <c r="D177" s="1455" t="s">
        <v>1793</v>
      </c>
      <c r="E177" s="1456"/>
      <c r="F177" s="1793">
        <f>'Cap Outlay Deprec 26'!I18</f>
        <v>1951266</v>
      </c>
    </row>
    <row r="178" spans="1:9" ht="12" customHeight="1" x14ac:dyDescent="0.2">
      <c r="A178" s="1443"/>
      <c r="B178" s="1453"/>
      <c r="C178" s="1454"/>
      <c r="D178" s="1455" t="s">
        <v>2014</v>
      </c>
      <c r="E178" s="1456"/>
      <c r="F178" s="1793">
        <f>F176+F177</f>
        <v>17136556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2029.3</v>
      </c>
      <c r="G179" s="763"/>
      <c r="I179" s="701"/>
    </row>
    <row r="180" spans="1:9" ht="12" customHeight="1" thickBot="1" x14ac:dyDescent="0.25">
      <c r="A180" s="1443"/>
      <c r="B180" s="1457"/>
      <c r="C180" s="1454"/>
      <c r="D180" s="1455" t="s">
        <v>2016</v>
      </c>
      <c r="E180" s="1456" t="s">
        <v>1528</v>
      </c>
      <c r="F180" s="1798">
        <f>F178/F179</f>
        <v>8444.565120977677</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142"/>
  <sheetViews>
    <sheetView showGridLines="0" view="pageBreakPreview" topLeftCell="A7" zoomScale="60" zoomScaleNormal="100" workbookViewId="0">
      <selection activeCell="H35" sqref="H35"/>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1806</v>
      </c>
      <c r="B1" s="1860"/>
      <c r="C1" s="1861"/>
      <c r="D1" s="1861"/>
      <c r="E1" s="1861"/>
      <c r="F1" s="1861"/>
    </row>
    <row r="2" spans="1:6" x14ac:dyDescent="0.25">
      <c r="A2" s="1863"/>
      <c r="B2" s="1864"/>
      <c r="C2" s="1913" t="s">
        <v>2002</v>
      </c>
      <c r="D2" s="1863"/>
      <c r="E2" s="1863"/>
      <c r="F2" s="1863"/>
    </row>
    <row r="3" spans="1:6" ht="5.25" customHeight="1" x14ac:dyDescent="0.25">
      <c r="A3" s="1865"/>
      <c r="B3" s="1866"/>
      <c r="C3" s="1865"/>
      <c r="D3" s="1865"/>
      <c r="E3" s="1865"/>
      <c r="F3" s="1865"/>
    </row>
    <row r="4" spans="1:6" ht="18.75" customHeight="1" x14ac:dyDescent="0.25">
      <c r="A4" s="2386" t="s">
        <v>1794</v>
      </c>
      <c r="B4" s="2387"/>
      <c r="C4" s="2387"/>
      <c r="D4" s="2387"/>
      <c r="E4" s="2387"/>
      <c r="F4" s="2388"/>
    </row>
    <row r="5" spans="1:6" x14ac:dyDescent="0.25">
      <c r="A5" s="2389"/>
      <c r="B5" s="2390"/>
      <c r="C5" s="2390"/>
      <c r="D5" s="2390"/>
      <c r="E5" s="2390"/>
      <c r="F5" s="2391"/>
    </row>
    <row r="6" spans="1:6" ht="18.75" x14ac:dyDescent="0.25">
      <c r="A6" s="1867" t="s">
        <v>1795</v>
      </c>
      <c r="B6" s="1868"/>
      <c r="C6" s="1869"/>
      <c r="D6" s="1869"/>
      <c r="E6" s="1869"/>
      <c r="F6" s="1870"/>
    </row>
    <row r="7" spans="1:6" ht="47.25" customHeight="1" x14ac:dyDescent="0.25">
      <c r="A7" s="2392" t="s">
        <v>1984</v>
      </c>
      <c r="B7" s="2393"/>
      <c r="C7" s="2393"/>
      <c r="D7" s="2393"/>
      <c r="E7" s="2393"/>
      <c r="F7" s="2394"/>
    </row>
    <row r="8" spans="1:6" ht="20.25" customHeight="1" x14ac:dyDescent="0.25">
      <c r="A8" s="1902" t="s">
        <v>1986</v>
      </c>
      <c r="B8" s="1903"/>
      <c r="C8" s="1903"/>
      <c r="D8" s="1903"/>
      <c r="E8" s="1871"/>
      <c r="F8" s="1872"/>
    </row>
    <row r="9" spans="1:6" ht="18" customHeight="1" x14ac:dyDescent="0.25">
      <c r="A9" s="1873" t="s">
        <v>1983</v>
      </c>
      <c r="B9" s="1875"/>
      <c r="C9" s="1875"/>
      <c r="D9" s="1875"/>
      <c r="E9" s="1871"/>
      <c r="F9" s="1872"/>
    </row>
    <row r="10" spans="1:6" ht="15.75" customHeight="1" x14ac:dyDescent="0.25">
      <c r="A10" s="2395" t="s">
        <v>1980</v>
      </c>
      <c r="B10" s="2396"/>
      <c r="C10" s="2396"/>
      <c r="D10" s="2396"/>
      <c r="E10" s="2396"/>
      <c r="F10" s="2397"/>
    </row>
    <row r="11" spans="1:6" ht="33" customHeight="1" x14ac:dyDescent="0.25">
      <c r="A11" s="2392" t="s">
        <v>1985</v>
      </c>
      <c r="B11" s="2393"/>
      <c r="C11" s="2393"/>
      <c r="D11" s="2393"/>
      <c r="E11" s="2393"/>
      <c r="F11" s="2394"/>
    </row>
    <row r="12" spans="1:6" ht="15" customHeight="1" x14ac:dyDescent="0.25">
      <c r="A12" s="1873" t="s">
        <v>1981</v>
      </c>
      <c r="B12" s="1874"/>
      <c r="C12" s="1875"/>
      <c r="D12" s="1875"/>
      <c r="E12" s="1875"/>
      <c r="F12" s="1876"/>
    </row>
    <row r="13" spans="1:6" ht="17.25" customHeight="1" x14ac:dyDescent="0.25">
      <c r="A13" s="2392" t="s">
        <v>1982</v>
      </c>
      <c r="B13" s="2393"/>
      <c r="C13" s="2393"/>
      <c r="D13" s="2393"/>
      <c r="E13" s="2393"/>
      <c r="F13" s="2394"/>
    </row>
    <row r="14" spans="1:6" ht="15" customHeight="1" x14ac:dyDescent="0.25">
      <c r="A14" s="1873" t="s">
        <v>1799</v>
      </c>
      <c r="B14" s="1874"/>
      <c r="C14" s="1875"/>
      <c r="D14" s="1875"/>
      <c r="E14" s="1875"/>
      <c r="F14" s="1876"/>
    </row>
    <row r="15" spans="1:6" ht="32.25" customHeight="1" x14ac:dyDescent="0.25">
      <c r="A15" s="238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4"/>
      <c r="C15" s="2384"/>
      <c r="D15" s="2384"/>
      <c r="E15" s="2384"/>
      <c r="F15" s="2385"/>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7" t="s">
        <v>1798</v>
      </c>
      <c r="C17" s="1881" t="s">
        <v>1796</v>
      </c>
      <c r="D17" s="1882">
        <v>500000</v>
      </c>
      <c r="E17" s="1882" t="str">
        <f>IF(D17&lt;25000,D17,"25,000")</f>
        <v>25,000</v>
      </c>
      <c r="F17" s="1883">
        <f>IF(D17&gt;=25000,(D17-E17),"0")</f>
        <v>475000</v>
      </c>
    </row>
    <row r="18" spans="1:7" x14ac:dyDescent="0.25">
      <c r="A18" s="2044" t="s">
        <v>2123</v>
      </c>
      <c r="B18" s="1908"/>
      <c r="C18" s="2035" t="s">
        <v>2076</v>
      </c>
      <c r="D18" s="203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view="pageBreakPreview" topLeftCell="A19" colorId="8" zoomScale="60" zoomScaleNormal="110" workbookViewId="0">
      <selection activeCell="H35" sqref="H3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8" t="s">
        <v>1660</v>
      </c>
      <c r="B5" s="2399"/>
      <c r="C5" s="2399"/>
      <c r="D5" s="2399"/>
      <c r="E5" s="2399"/>
      <c r="F5" s="2399"/>
      <c r="G5" s="240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f>'Expenditures 15-22'!C63</f>
        <v>331445</v>
      </c>
      <c r="F10" s="805"/>
      <c r="G10" s="806"/>
      <c r="H10" s="157"/>
      <c r="I10" s="157"/>
    </row>
    <row r="11" spans="1:13" s="542" customFormat="1" ht="22.5" customHeight="1" x14ac:dyDescent="0.2">
      <c r="A11" s="240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4"/>
      <c r="C11" s="2404"/>
      <c r="D11" s="2405"/>
      <c r="E11" s="1801">
        <v>62542</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9327525</v>
      </c>
      <c r="F19" s="1802"/>
      <c r="G19" s="1804">
        <f>'Expenditures 15-22'!K33-SUM('Expenditures 15-22'!G33,'Expenditures 15-22'!I33)+'Expenditures 15-22'!D229</f>
        <v>9327525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797615</v>
      </c>
      <c r="F21" s="1805"/>
      <c r="G21" s="1808">
        <f>'Expenditures 15-22'!K42-SUM('Expenditures 15-22'!G42,'Expenditures 15-22'!I42)+'Expenditures 15-22'!K120-SUM('Expenditures 15-22'!G120,'Expenditures 15-22'!I120)+'Expenditures 15-22'!K180-SUM('Expenditures 15-22'!G180,'Expenditures 15-22'!I180)+'Expenditures 15-22'!D238</f>
        <v>797615</v>
      </c>
      <c r="H21" s="817"/>
      <c r="I21" s="157"/>
    </row>
    <row r="22" spans="1:9" s="542" customFormat="1" ht="12" customHeight="1" x14ac:dyDescent="0.2">
      <c r="A22" s="824" t="s">
        <v>560</v>
      </c>
      <c r="B22" s="825"/>
      <c r="C22" s="823">
        <v>2200</v>
      </c>
      <c r="D22" s="1805"/>
      <c r="E22" s="1807">
        <f>'Expenditures 15-22'!K47-SUM('Expenditures 15-22'!G47,'Expenditures 15-22'!I47)+'Expenditures 15-22'!D243</f>
        <v>204727</v>
      </c>
      <c r="F22" s="1805"/>
      <c r="G22" s="1808">
        <f>'Expenditures 15-22'!K47-SUM('Expenditures 15-22'!G47,'Expenditures 15-22'!I47)+'Expenditures 15-22'!D243</f>
        <v>204727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1120277</v>
      </c>
      <c r="F23" s="1805"/>
      <c r="G23" s="1807">
        <f>'Expenditures 15-22'!K53-SUM('Expenditures 15-22'!G53,'Expenditures 15-22'!I53)+'Expenditures 15-22'!D257+'Expenditures 15-22'!K330-SUM('Expenditures 15-22'!G330,'Expenditures 15-22'!I330)</f>
        <v>1120277</v>
      </c>
      <c r="H23" s="817"/>
      <c r="I23" s="157"/>
    </row>
    <row r="24" spans="1:9" s="542" customFormat="1" ht="12" customHeight="1" x14ac:dyDescent="0.2">
      <c r="A24" s="824" t="s">
        <v>562</v>
      </c>
      <c r="B24" s="825"/>
      <c r="C24" s="823">
        <v>2400</v>
      </c>
      <c r="D24" s="1805"/>
      <c r="E24" s="1807">
        <f>'Expenditures 15-22'!K57-SUM('Expenditures 15-22'!G57,'Expenditures 15-22'!I57)+'Expenditures 15-22'!D261</f>
        <v>1292247</v>
      </c>
      <c r="F24" s="1805"/>
      <c r="G24" s="1808">
        <f>'Expenditures 15-22'!K57-SUM('Expenditures 15-22'!G57,'Expenditures 15-22'!I57)+'Expenditures 15-22'!D261</f>
        <v>1292247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91630</v>
      </c>
      <c r="E26" s="1807">
        <f>'Expenditures 15-22'!K122-SUM('Expenditures 15-22'!G122,'Expenditures 15-22'!I122)+E7</f>
        <v>0</v>
      </c>
      <c r="F26" s="1807">
        <f>'Expenditures 15-22'!K59-SUM('Expenditures 15-22'!G59,'Expenditures 15-22'!I59)+'Expenditures 15-22'!D263-E7</f>
        <v>91630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65096</v>
      </c>
      <c r="E27" s="1807">
        <f>E8</f>
        <v>0</v>
      </c>
      <c r="F27" s="1807">
        <f>'Expenditures 15-22'!K60-SUM('Expenditures 15-22'!G60,'Expenditures 15-22'!I60)+'Expenditures 15-22'!D264-E8</f>
        <v>65096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1820253</v>
      </c>
      <c r="F28" s="1809">
        <f>'Expenditures 15-22'!K61-SUM('Expenditures 15-22'!G61,'Expenditures 15-22'!I61)+'Expenditures 15-22'!K124-SUM('Expenditures 15-22'!G124,'Expenditures 15-22'!I124)+'Expenditures 15-22'!D266-E9</f>
        <v>1820253</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449677</v>
      </c>
      <c r="F29" s="1805"/>
      <c r="G29" s="1808">
        <f>'Expenditures 15-22'!K62-SUM('Expenditures 15-22'!G62,'Expenditures 15-22'!I62)+'Expenditures 15-22'!K125-SUM('Expenditures 15-22'!G125,'Expenditures 15-22'!I125)+'Expenditures 15-22'!K182-SUM('Expenditures 15-22'!G182,'Expenditures 15-22'!I182)+'Expenditures 15-22'!D267</f>
        <v>449677</v>
      </c>
      <c r="H29" s="815"/>
    </row>
    <row r="30" spans="1:9" ht="12" customHeight="1" x14ac:dyDescent="0.2">
      <c r="A30" s="824" t="s">
        <v>100</v>
      </c>
      <c r="B30" s="827"/>
      <c r="C30" s="823">
        <v>2560</v>
      </c>
      <c r="D30" s="1805"/>
      <c r="E30" s="1807">
        <f>'Expenditures 15-22'!K63-SUM('Expenditures 15-22'!G63,'Expenditures 15-22'!I63)+'Expenditures 15-22'!D268-E10</f>
        <v>674466</v>
      </c>
      <c r="F30" s="1805"/>
      <c r="G30" s="1807">
        <f>'Expenditures 15-22'!K63-SUM('Expenditures 15-22'!G63,'Expenditures 15-22'!I63)+'Expenditures 15-22'!D268-E10</f>
        <v>674466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29456</v>
      </c>
      <c r="F39" s="1805"/>
      <c r="G39" s="1807">
        <f>'Expenditures 15-22'!K75-SUM('Expenditures 15-22'!G75,'Expenditures 15-22'!I75)+'Expenditures 15-22'!K130-SUM('Expenditures 15-22'!G130,'Expenditures 15-22'!I130)+'Expenditures 15-22'!K185-SUM('Expenditures 15-22'!G185,'Expenditures 15-22'!I185)+'Expenditures 15-22'!D280</f>
        <v>29456</v>
      </c>
    </row>
    <row r="40" spans="1:7" ht="12" customHeight="1" x14ac:dyDescent="0.2">
      <c r="A40" s="820" t="s">
        <v>1797</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156726</v>
      </c>
      <c r="E41" s="1809">
        <f>SUM(E19:E40)</f>
        <v>15716243</v>
      </c>
      <c r="F41" s="1809">
        <f>SUM(F19:F39)</f>
        <v>1976979</v>
      </c>
      <c r="G41" s="1809">
        <f>SUM(G19:G40)</f>
        <v>13895990</v>
      </c>
    </row>
    <row r="42" spans="1:7" x14ac:dyDescent="0.2">
      <c r="A42" s="817"/>
      <c r="B42" s="157"/>
      <c r="C42" s="831"/>
      <c r="D42" s="2401" t="s">
        <v>519</v>
      </c>
      <c r="E42" s="2402"/>
      <c r="F42" s="832" t="s">
        <v>520</v>
      </c>
      <c r="G42" s="833"/>
    </row>
    <row r="43" spans="1:7" ht="12" customHeight="1" x14ac:dyDescent="0.2">
      <c r="A43" s="817"/>
      <c r="B43" s="157"/>
      <c r="C43" s="831"/>
      <c r="D43" s="1458" t="s">
        <v>470</v>
      </c>
      <c r="E43" s="1810">
        <f>D41</f>
        <v>156726</v>
      </c>
      <c r="F43" s="1458" t="s">
        <v>470</v>
      </c>
      <c r="G43" s="1810">
        <f>F41</f>
        <v>1976979</v>
      </c>
    </row>
    <row r="44" spans="1:7" ht="12" customHeight="1" x14ac:dyDescent="0.2">
      <c r="A44" s="817"/>
      <c r="B44" s="157"/>
      <c r="C44" s="831"/>
      <c r="D44" s="1458" t="s">
        <v>471</v>
      </c>
      <c r="E44" s="1810">
        <f>E41</f>
        <v>15716243</v>
      </c>
      <c r="F44" s="1458" t="s">
        <v>471</v>
      </c>
      <c r="G44" s="1810">
        <f>G41</f>
        <v>13895990</v>
      </c>
    </row>
    <row r="45" spans="1:7" ht="12" customHeight="1" x14ac:dyDescent="0.2">
      <c r="A45" s="817"/>
      <c r="B45" s="157"/>
      <c r="C45" s="157"/>
      <c r="D45" s="1459" t="s">
        <v>999</v>
      </c>
      <c r="E45" s="1811">
        <f>(E43/E44)</f>
        <v>9.9722306406181179E-3</v>
      </c>
      <c r="F45" s="1459" t="s">
        <v>999</v>
      </c>
      <c r="G45" s="1811">
        <f>(G43/G44)</f>
        <v>0.14226974832307737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O97"/>
  <sheetViews>
    <sheetView showGridLines="0" view="pageBreakPreview" zoomScale="60" zoomScaleNormal="110" workbookViewId="0">
      <selection activeCell="H35" sqref="H35"/>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9" width="3.5703125" style="1507" bestFit="1" customWidth="1"/>
    <col min="10" max="10" width="2.42578125" style="1507" bestFit="1" customWidth="1"/>
    <col min="11" max="11" width="9" style="1507" customWidth="1"/>
    <col min="12" max="16384" width="9.140625" style="1477"/>
  </cols>
  <sheetData>
    <row r="1" spans="1:15" x14ac:dyDescent="0.2">
      <c r="A1" s="2420" t="s">
        <v>1363</v>
      </c>
      <c r="B1" s="2420"/>
      <c r="C1" s="2420"/>
      <c r="D1" s="2420"/>
      <c r="E1" s="2420"/>
      <c r="F1" s="2420"/>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1" t="s">
        <v>1529</v>
      </c>
      <c r="B5" s="2422"/>
      <c r="C5" s="2423"/>
      <c r="D5" s="2423"/>
      <c r="E5" s="2423"/>
      <c r="F5" s="2423"/>
      <c r="G5" s="1507"/>
      <c r="L5" s="1507"/>
      <c r="M5" s="1855"/>
      <c r="N5" s="1855"/>
      <c r="O5" s="1855"/>
    </row>
    <row r="6" spans="1:15" ht="12" customHeight="1" x14ac:dyDescent="0.25">
      <c r="A6" s="1480"/>
      <c r="B6" s="1481"/>
      <c r="C6" s="2424" t="str">
        <f>COVER!A17</f>
        <v>Carterville CUSD 5</v>
      </c>
      <c r="D6" s="2424"/>
      <c r="E6" s="2424"/>
      <c r="F6" s="1482"/>
      <c r="G6" s="1507"/>
      <c r="L6" s="1507"/>
      <c r="M6" s="1855"/>
      <c r="N6" s="1855"/>
      <c r="O6" s="1855"/>
    </row>
    <row r="7" spans="1:15" ht="11.25" customHeight="1" thickBot="1" x14ac:dyDescent="0.3">
      <c r="A7" s="1480"/>
      <c r="B7" s="1481"/>
      <c r="C7" s="2425">
        <f>COVER!A13</f>
        <v>21100005026</v>
      </c>
      <c r="D7" s="2425"/>
      <c r="E7" s="2425"/>
      <c r="F7" s="1482"/>
      <c r="G7" s="1507"/>
      <c r="L7" s="1507"/>
      <c r="M7" s="1855"/>
      <c r="N7" s="1855"/>
      <c r="O7" s="1855"/>
    </row>
    <row r="8" spans="1:15" ht="25.5" customHeight="1" thickBot="1" x14ac:dyDescent="0.25">
      <c r="A8" s="1519" t="s">
        <v>1873</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2053</v>
      </c>
      <c r="D19" s="1495" t="s">
        <v>2053</v>
      </c>
      <c r="E19" s="1498"/>
      <c r="F19" s="1497" t="s">
        <v>2125</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2053</v>
      </c>
      <c r="D32" s="1495" t="s">
        <v>2053</v>
      </c>
      <c r="E32" s="1498"/>
      <c r="F32" s="1497" t="s">
        <v>2126</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26"/>
      <c r="D35" s="2426"/>
      <c r="E35" s="2426"/>
      <c r="F35" s="2427"/>
    </row>
    <row r="36" spans="1:15" ht="12" customHeight="1" x14ac:dyDescent="0.2">
      <c r="A36" s="2409"/>
      <c r="B36" s="2410"/>
      <c r="C36" s="2410"/>
      <c r="D36" s="2410"/>
      <c r="E36" s="2410"/>
      <c r="F36" s="2411"/>
    </row>
    <row r="37" spans="1:15" ht="12" customHeight="1" x14ac:dyDescent="0.2">
      <c r="A37" s="2409"/>
      <c r="B37" s="2410"/>
      <c r="C37" s="2410"/>
      <c r="D37" s="2410"/>
      <c r="E37" s="2410"/>
      <c r="F37" s="2411"/>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1375</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6"/>
      <c r="B43" s="2407"/>
      <c r="C43" s="2407"/>
      <c r="D43" s="2407"/>
      <c r="E43" s="2407"/>
      <c r="F43" s="2408"/>
      <c r="H43" s="1508"/>
      <c r="I43" s="1508"/>
      <c r="J43" s="1508"/>
      <c r="K43" s="1508"/>
    </row>
    <row r="44" spans="1:15" s="1499" customFormat="1" ht="12" hidden="1" customHeight="1" x14ac:dyDescent="0.25">
      <c r="A44" s="2406"/>
      <c r="B44" s="2407"/>
      <c r="C44" s="2407"/>
      <c r="D44" s="2407"/>
      <c r="E44" s="2407"/>
      <c r="F44" s="240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N83"/>
  <sheetViews>
    <sheetView showGridLines="0" zoomScaleNormal="100" workbookViewId="0">
      <selection activeCell="E12" sqref="E12"/>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2001</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46" t="str">
        <f>COVER!A17</f>
        <v>Carterville CUSD 5</v>
      </c>
      <c r="K6" s="2446"/>
      <c r="L6" s="2460"/>
      <c r="M6" s="838"/>
      <c r="N6" s="1998"/>
    </row>
    <row r="7" spans="1:14" x14ac:dyDescent="0.2">
      <c r="A7" s="2461" t="s">
        <v>864</v>
      </c>
      <c r="B7" s="2462"/>
      <c r="C7" s="2462"/>
      <c r="D7" s="2462"/>
      <c r="E7" s="2463"/>
      <c r="F7" s="839"/>
      <c r="G7" s="838"/>
      <c r="H7" s="838"/>
      <c r="I7" s="1924" t="s">
        <v>369</v>
      </c>
      <c r="J7" s="2448">
        <f>COVER!A13</f>
        <v>21100005026</v>
      </c>
      <c r="K7" s="2448"/>
      <c r="L7" s="2448"/>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2017</v>
      </c>
      <c r="F9" s="1857"/>
      <c r="G9" s="1857"/>
      <c r="H9" s="1857"/>
      <c r="I9" s="1929" t="s">
        <v>2018</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64" t="s">
        <v>478</v>
      </c>
      <c r="B11" s="2465"/>
      <c r="C11" s="2466"/>
      <c r="D11" s="1937" t="s">
        <v>866</v>
      </c>
      <c r="E11" s="1937" t="s">
        <v>64</v>
      </c>
      <c r="F11" s="1937" t="s">
        <v>6</v>
      </c>
      <c r="G11" s="1938" t="s">
        <v>2019</v>
      </c>
      <c r="H11" s="1939" t="s">
        <v>155</v>
      </c>
      <c r="I11" s="1937" t="s">
        <v>64</v>
      </c>
      <c r="J11" s="1937" t="s">
        <v>6</v>
      </c>
      <c r="K11" s="1938" t="s">
        <v>2000</v>
      </c>
      <c r="L11" s="1939" t="s">
        <v>155</v>
      </c>
      <c r="M11" s="838"/>
      <c r="N11" s="1998"/>
    </row>
    <row r="12" spans="1:14" x14ac:dyDescent="0.2">
      <c r="A12" s="2003">
        <v>1</v>
      </c>
      <c r="B12" s="1940" t="s">
        <v>813</v>
      </c>
      <c r="C12" s="842"/>
      <c r="D12" s="1941">
        <v>2320</v>
      </c>
      <c r="E12" s="1944">
        <f>'Expenditures 15-22'!K50</f>
        <v>311865</v>
      </c>
      <c r="F12" s="1942"/>
      <c r="G12" s="1968">
        <f>G68</f>
        <v>0</v>
      </c>
      <c r="H12" s="1944">
        <f t="shared" ref="H12:H18" si="0">SUM(E12:G12)</f>
        <v>311865</v>
      </c>
      <c r="I12" s="1943">
        <v>323176</v>
      </c>
      <c r="J12" s="1942"/>
      <c r="K12" s="1943">
        <v>0</v>
      </c>
      <c r="L12" s="1944">
        <f t="shared" ref="L12:L18" si="1">SUM(I12:K12)</f>
        <v>323176</v>
      </c>
      <c r="M12" s="838"/>
      <c r="N12" s="1998"/>
    </row>
    <row r="13" spans="1:14" x14ac:dyDescent="0.2">
      <c r="A13" s="2003">
        <v>2</v>
      </c>
      <c r="B13" s="1940" t="s">
        <v>42</v>
      </c>
      <c r="C13" s="842"/>
      <c r="D13" s="1941">
        <v>2330</v>
      </c>
      <c r="E13" s="1944">
        <f>'Expenditures 15-22'!K51</f>
        <v>145062</v>
      </c>
      <c r="F13" s="1942"/>
      <c r="G13" s="1968">
        <f>H68</f>
        <v>0</v>
      </c>
      <c r="H13" s="1944">
        <f t="shared" si="0"/>
        <v>145062</v>
      </c>
      <c r="I13" s="1943">
        <v>150431</v>
      </c>
      <c r="J13" s="1942"/>
      <c r="K13" s="1943">
        <v>0</v>
      </c>
      <c r="L13" s="1944">
        <f t="shared" si="1"/>
        <v>150431</v>
      </c>
      <c r="M13" s="838"/>
      <c r="N13" s="1998"/>
    </row>
    <row r="14" spans="1:14" x14ac:dyDescent="0.2">
      <c r="A14" s="2003">
        <v>3</v>
      </c>
      <c r="B14" s="1940" t="s">
        <v>43</v>
      </c>
      <c r="C14" s="842"/>
      <c r="D14" s="1945">
        <v>2490</v>
      </c>
      <c r="E14" s="1944">
        <f>'Expenditures 15-22'!K56</f>
        <v>0</v>
      </c>
      <c r="F14" s="1942"/>
      <c r="G14" s="1968">
        <f>I68</f>
        <v>0</v>
      </c>
      <c r="H14" s="1944">
        <f t="shared" si="0"/>
        <v>0</v>
      </c>
      <c r="I14" s="1943">
        <v>0</v>
      </c>
      <c r="J14" s="1942"/>
      <c r="K14" s="1943">
        <v>0</v>
      </c>
      <c r="L14" s="1944">
        <f t="shared" si="1"/>
        <v>0</v>
      </c>
      <c r="M14" s="838"/>
      <c r="N14" s="1998"/>
    </row>
    <row r="15" spans="1:14" x14ac:dyDescent="0.2">
      <c r="A15" s="2003">
        <v>4</v>
      </c>
      <c r="B15" s="1940" t="s">
        <v>1059</v>
      </c>
      <c r="C15" s="842"/>
      <c r="D15" s="1941">
        <v>2510</v>
      </c>
      <c r="E15" s="1944">
        <f>'Expenditures 15-22'!K59</f>
        <v>80257</v>
      </c>
      <c r="F15" s="1944">
        <f>'Expenditures 15-22'!K122</f>
        <v>0</v>
      </c>
      <c r="G15" s="1968">
        <f>J68</f>
        <v>0</v>
      </c>
      <c r="H15" s="1944">
        <f t="shared" si="0"/>
        <v>80257</v>
      </c>
      <c r="I15" s="1943">
        <v>83393</v>
      </c>
      <c r="J15" s="1943">
        <v>0</v>
      </c>
      <c r="K15" s="1943">
        <v>0</v>
      </c>
      <c r="L15" s="1944">
        <f t="shared" si="1"/>
        <v>83393</v>
      </c>
      <c r="M15" s="838"/>
      <c r="N15" s="1998"/>
    </row>
    <row r="16" spans="1:14" x14ac:dyDescent="0.2">
      <c r="A16" s="2003">
        <v>5</v>
      </c>
      <c r="B16" s="1940" t="s">
        <v>101</v>
      </c>
      <c r="C16" s="842"/>
      <c r="D16" s="1941">
        <v>2570</v>
      </c>
      <c r="E16" s="1944">
        <f>'Expenditures 15-22'!K64</f>
        <v>0</v>
      </c>
      <c r="F16" s="1942"/>
      <c r="G16" s="1968">
        <f>K68</f>
        <v>0</v>
      </c>
      <c r="H16" s="1944">
        <f t="shared" si="0"/>
        <v>0</v>
      </c>
      <c r="I16" s="1943">
        <v>0</v>
      </c>
      <c r="J16" s="1942"/>
      <c r="K16" s="1943">
        <v>0</v>
      </c>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v>0</v>
      </c>
      <c r="J17" s="1942"/>
      <c r="K17" s="1943">
        <v>0</v>
      </c>
      <c r="L17" s="1944">
        <f t="shared" si="1"/>
        <v>0</v>
      </c>
      <c r="M17" s="838"/>
      <c r="N17" s="1998"/>
    </row>
    <row r="18" spans="1:14" ht="26.25" customHeight="1" x14ac:dyDescent="0.2">
      <c r="A18" s="2004">
        <v>7</v>
      </c>
      <c r="B18" s="2467" t="s">
        <v>7</v>
      </c>
      <c r="C18" s="2468"/>
      <c r="D18" s="2469"/>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537184</v>
      </c>
      <c r="F19" s="1950">
        <f t="shared" si="2"/>
        <v>0</v>
      </c>
      <c r="G19" s="1950">
        <f t="shared" ref="G19" si="3">SUM(G12:G17)-G18</f>
        <v>0</v>
      </c>
      <c r="H19" s="1950">
        <f t="shared" si="2"/>
        <v>537184</v>
      </c>
      <c r="I19" s="1950">
        <f t="shared" si="2"/>
        <v>557000</v>
      </c>
      <c r="J19" s="1950">
        <f t="shared" si="2"/>
        <v>0</v>
      </c>
      <c r="K19" s="1950">
        <f t="shared" si="2"/>
        <v>0</v>
      </c>
      <c r="L19" s="1950">
        <f t="shared" si="2"/>
        <v>557000</v>
      </c>
      <c r="M19" s="838"/>
      <c r="N19" s="1998"/>
    </row>
    <row r="20" spans="1:14" ht="13.5" thickTop="1" x14ac:dyDescent="0.2">
      <c r="A20" s="2003">
        <v>9</v>
      </c>
      <c r="B20" s="2470" t="s">
        <v>2020</v>
      </c>
      <c r="C20" s="2470"/>
      <c r="D20" s="2471"/>
      <c r="E20" s="1951"/>
      <c r="F20" s="1951"/>
      <c r="G20" s="1951"/>
      <c r="H20" s="1951"/>
      <c r="I20" s="1951"/>
      <c r="J20" s="1951"/>
      <c r="K20" s="1951"/>
      <c r="L20" s="1952">
        <f>IF(AND(H19&gt;0,L19&gt;0),(((L19-H19)/H19)),"Enter Budget Data")</f>
        <v>3.688866384702448E-2</v>
      </c>
      <c r="M20" s="838"/>
      <c r="N20" s="1998"/>
    </row>
    <row r="21" spans="1:14" x14ac:dyDescent="0.2">
      <c r="A21" s="2005" t="s">
        <v>194</v>
      </c>
      <c r="B21" s="2006" t="s">
        <v>2045</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2021</v>
      </c>
      <c r="B24" s="2010"/>
      <c r="C24" s="2011"/>
      <c r="D24" s="2011"/>
      <c r="E24" s="2011"/>
      <c r="F24" s="2011"/>
      <c r="G24" s="2011"/>
      <c r="H24" s="2011"/>
      <c r="I24" s="2011"/>
      <c r="J24" s="2011"/>
      <c r="K24" s="2011"/>
      <c r="L24" s="838"/>
      <c r="M24" s="838"/>
      <c r="N24" s="1998"/>
    </row>
    <row r="25" spans="1:14" x14ac:dyDescent="0.2">
      <c r="A25" s="2009" t="s">
        <v>2022</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72"/>
      <c r="D27" s="2472"/>
      <c r="E27" s="843"/>
      <c r="F27" s="2473"/>
      <c r="G27" s="2473"/>
      <c r="H27" s="2473"/>
      <c r="I27" s="838"/>
      <c r="J27" s="838"/>
      <c r="K27" s="838"/>
      <c r="L27" s="838"/>
      <c r="M27" s="838"/>
      <c r="N27" s="1998"/>
    </row>
    <row r="28" spans="1:14" x14ac:dyDescent="0.2">
      <c r="A28" s="1997"/>
      <c r="B28" s="2007"/>
      <c r="C28" s="1957" t="s">
        <v>1026</v>
      </c>
      <c r="D28" s="844"/>
      <c r="E28" s="1958"/>
      <c r="F28" s="2474" t="s">
        <v>1492</v>
      </c>
      <c r="G28" s="2474"/>
      <c r="H28" s="2474"/>
      <c r="I28" s="838"/>
      <c r="J28" s="838"/>
      <c r="K28" s="838"/>
      <c r="L28" s="838"/>
      <c r="M28" s="838"/>
      <c r="N28" s="1998"/>
    </row>
    <row r="29" spans="1:14" x14ac:dyDescent="0.2">
      <c r="A29" s="1997"/>
      <c r="B29" s="2007"/>
      <c r="C29" s="2475"/>
      <c r="D29" s="2475"/>
      <c r="E29" s="845"/>
      <c r="F29" s="2475"/>
      <c r="G29" s="2475"/>
      <c r="H29" s="2475"/>
      <c r="I29" s="838"/>
      <c r="J29" s="838"/>
      <c r="K29" s="838"/>
      <c r="L29" s="838"/>
      <c r="M29" s="838"/>
      <c r="N29" s="1998"/>
    </row>
    <row r="30" spans="1:14" x14ac:dyDescent="0.2">
      <c r="A30" s="1997"/>
      <c r="B30" s="2007"/>
      <c r="C30" s="1960" t="s">
        <v>1544</v>
      </c>
      <c r="D30" s="838"/>
      <c r="E30" s="1959"/>
      <c r="F30" s="2459" t="s">
        <v>1493</v>
      </c>
      <c r="G30" s="2459"/>
      <c r="H30" s="245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36" t="s">
        <v>2023</v>
      </c>
      <c r="D34" s="2437"/>
      <c r="E34" s="2437"/>
      <c r="F34" s="2437"/>
      <c r="G34" s="2437"/>
      <c r="H34" s="2437"/>
      <c r="I34" s="2437"/>
      <c r="J34" s="2437"/>
      <c r="K34" s="2016"/>
      <c r="L34" s="838"/>
      <c r="M34" s="838"/>
      <c r="N34" s="1998"/>
    </row>
    <row r="35" spans="1:14" x14ac:dyDescent="0.2">
      <c r="A35" s="1997"/>
      <c r="B35" s="838"/>
      <c r="C35" s="2437"/>
      <c r="D35" s="2437"/>
      <c r="E35" s="2437"/>
      <c r="F35" s="2437"/>
      <c r="G35" s="2437"/>
      <c r="H35" s="2437"/>
      <c r="I35" s="2437"/>
      <c r="J35" s="2437"/>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36" t="s">
        <v>2024</v>
      </c>
      <c r="D37" s="2437"/>
      <c r="E37" s="2437"/>
      <c r="F37" s="2437"/>
      <c r="G37" s="2437"/>
      <c r="H37" s="2437"/>
      <c r="I37" s="2437"/>
      <c r="J37" s="2437"/>
      <c r="K37" s="2016"/>
      <c r="L37" s="2018"/>
      <c r="M37" s="838"/>
      <c r="N37" s="1998"/>
    </row>
    <row r="38" spans="1:14" x14ac:dyDescent="0.2">
      <c r="A38" s="1997"/>
      <c r="B38" s="838"/>
      <c r="C38" s="2437"/>
      <c r="D38" s="2437"/>
      <c r="E38" s="2437"/>
      <c r="F38" s="2437"/>
      <c r="G38" s="2437"/>
      <c r="H38" s="2437"/>
      <c r="I38" s="2437"/>
      <c r="J38" s="2437"/>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8" t="s">
        <v>2025</v>
      </c>
      <c r="D40" s="2439"/>
      <c r="E40" s="2439"/>
      <c r="F40" s="2439"/>
      <c r="G40" s="2439"/>
      <c r="H40" s="2439"/>
      <c r="I40" s="2439"/>
      <c r="J40" s="2439"/>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0" t="s">
        <v>2026</v>
      </c>
      <c r="B43" s="2441"/>
      <c r="C43" s="2441"/>
      <c r="D43" s="2441"/>
      <c r="E43" s="2441"/>
      <c r="F43" s="2441"/>
      <c r="G43" s="2441"/>
      <c r="H43" s="2441"/>
      <c r="I43" s="2441"/>
      <c r="J43" s="2441"/>
      <c r="K43" s="2441"/>
      <c r="L43" s="2441"/>
      <c r="M43" s="2441"/>
      <c r="N43" s="2442"/>
    </row>
    <row r="44" spans="1:14" x14ac:dyDescent="0.2">
      <c r="A44" s="1982"/>
      <c r="B44" s="1983"/>
      <c r="C44" s="1983"/>
      <c r="D44" s="1983"/>
      <c r="E44" s="1983"/>
      <c r="F44" s="1983"/>
      <c r="G44" s="1983"/>
      <c r="H44" s="1983"/>
      <c r="I44" s="1983"/>
      <c r="J44" s="1983"/>
      <c r="K44" s="1983"/>
      <c r="L44" s="1983"/>
      <c r="M44" s="1983"/>
      <c r="N44" s="1984"/>
    </row>
    <row r="45" spans="1:14" x14ac:dyDescent="0.2">
      <c r="A45" s="1982" t="s">
        <v>2027</v>
      </c>
      <c r="B45" s="1983"/>
      <c r="C45" s="1983"/>
      <c r="D45" s="1983"/>
      <c r="E45" s="1983"/>
      <c r="F45" s="1983"/>
      <c r="G45" s="1983"/>
      <c r="H45" s="1983"/>
      <c r="I45" s="1983"/>
      <c r="J45" s="1983"/>
      <c r="K45" s="1983"/>
      <c r="L45" s="1983"/>
      <c r="M45" s="1983"/>
      <c r="N45" s="1984"/>
    </row>
    <row r="46" spans="1:14" x14ac:dyDescent="0.2">
      <c r="A46" s="2443" t="s">
        <v>2028</v>
      </c>
      <c r="B46" s="2444"/>
      <c r="C46" s="2444"/>
      <c r="D46" s="2444"/>
      <c r="E46" s="2444"/>
      <c r="F46" s="2444"/>
      <c r="G46" s="2444"/>
      <c r="H46" s="2444"/>
      <c r="I46" s="2444"/>
      <c r="J46" s="2444"/>
      <c r="K46" s="2444"/>
      <c r="L46" s="2444"/>
      <c r="M46" s="2444"/>
      <c r="N46" s="2445"/>
    </row>
    <row r="47" spans="1:14" x14ac:dyDescent="0.2">
      <c r="A47" s="2443"/>
      <c r="B47" s="2444"/>
      <c r="C47" s="2444"/>
      <c r="D47" s="2444"/>
      <c r="E47" s="2444"/>
      <c r="F47" s="2444"/>
      <c r="G47" s="2444"/>
      <c r="H47" s="2444"/>
      <c r="I47" s="2444"/>
      <c r="J47" s="2444"/>
      <c r="K47" s="2444"/>
      <c r="L47" s="2444"/>
      <c r="M47" s="2444"/>
      <c r="N47" s="2445"/>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2044</v>
      </c>
      <c r="B49" s="2024"/>
      <c r="C49" s="2024"/>
      <c r="D49" s="2025"/>
      <c r="E49" s="2025"/>
      <c r="F49" s="2025"/>
      <c r="G49" s="2025"/>
      <c r="H49" s="2025"/>
      <c r="I49" s="2025"/>
      <c r="J49" s="2025"/>
      <c r="K49" s="2025"/>
      <c r="L49" s="2025"/>
      <c r="M49" s="2025"/>
      <c r="N49" s="2026"/>
    </row>
    <row r="50" spans="1:14" ht="15" x14ac:dyDescent="0.25">
      <c r="A50" s="2028" t="s">
        <v>2043</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46" t="str">
        <f>J6</f>
        <v>Carterville CUSD 5</v>
      </c>
      <c r="M52" s="2446"/>
      <c r="N52" s="2447"/>
    </row>
    <row r="53" spans="1:14" x14ac:dyDescent="0.2">
      <c r="A53" s="1982"/>
      <c r="B53" s="1983"/>
      <c r="C53" s="1983"/>
      <c r="D53" s="1983"/>
      <c r="E53" s="1983"/>
      <c r="F53" s="1983"/>
      <c r="G53" s="1983"/>
      <c r="H53" s="1983"/>
      <c r="I53" s="1983"/>
      <c r="J53" s="1983"/>
      <c r="K53" s="1924" t="s">
        <v>369</v>
      </c>
      <c r="L53" s="2448">
        <f>J7</f>
        <v>21100005026</v>
      </c>
      <c r="M53" s="2448"/>
      <c r="N53" s="2449"/>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0"/>
      <c r="B55" s="2451"/>
      <c r="C55" s="2451"/>
      <c r="D55" s="1970"/>
      <c r="E55" s="1970"/>
      <c r="F55" s="1970"/>
      <c r="G55" s="2452" t="s">
        <v>2029</v>
      </c>
      <c r="H55" s="2452"/>
      <c r="I55" s="2452"/>
      <c r="J55" s="2452"/>
      <c r="K55" s="2452"/>
      <c r="L55" s="2452"/>
      <c r="M55" s="2452"/>
      <c r="N55" s="2453"/>
    </row>
    <row r="56" spans="1:14" ht="63.75" x14ac:dyDescent="0.2">
      <c r="A56" s="2454" t="s">
        <v>2030</v>
      </c>
      <c r="B56" s="2455"/>
      <c r="C56" s="2456"/>
      <c r="D56" s="1964" t="s">
        <v>2031</v>
      </c>
      <c r="E56" s="1964" t="s">
        <v>2032</v>
      </c>
      <c r="F56" s="1971"/>
      <c r="G56" s="1964" t="s">
        <v>2033</v>
      </c>
      <c r="H56" s="1964" t="s">
        <v>2034</v>
      </c>
      <c r="I56" s="1964" t="s">
        <v>2035</v>
      </c>
      <c r="J56" s="1964" t="s">
        <v>2036</v>
      </c>
      <c r="K56" s="1964" t="s">
        <v>2037</v>
      </c>
      <c r="L56" s="1964" t="s">
        <v>2038</v>
      </c>
      <c r="M56" s="1964" t="s">
        <v>2039</v>
      </c>
      <c r="N56" s="1965" t="s">
        <v>2046</v>
      </c>
    </row>
    <row r="57" spans="1:14" ht="24.75" customHeight="1" x14ac:dyDescent="0.2">
      <c r="A57" s="2457" t="s">
        <v>296</v>
      </c>
      <c r="B57" s="2458"/>
      <c r="C57" s="2458"/>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4" t="s">
        <v>2040</v>
      </c>
      <c r="B58" s="2435"/>
      <c r="C58" s="2435"/>
      <c r="D58" s="1967">
        <v>2362</v>
      </c>
      <c r="E58" s="1977">
        <f>'Expenditures 15-22'!K320</f>
        <v>103612</v>
      </c>
      <c r="F58" s="1972"/>
      <c r="G58" s="2031"/>
      <c r="H58" s="2032"/>
      <c r="I58" s="2032"/>
      <c r="J58" s="2032"/>
      <c r="K58" s="2032"/>
      <c r="L58" s="2032"/>
      <c r="M58" s="2032">
        <v>103612</v>
      </c>
      <c r="N58" s="1975">
        <f>IF((SUM(G58:M58))=E58,SUM(G58:M58),"Column N does not agree with Column E")</f>
        <v>103612</v>
      </c>
    </row>
    <row r="59" spans="1:14" ht="24.75" customHeight="1" x14ac:dyDescent="0.2">
      <c r="A59" s="2428" t="s">
        <v>297</v>
      </c>
      <c r="B59" s="2429"/>
      <c r="C59" s="2429"/>
      <c r="D59" s="1967">
        <v>2363</v>
      </c>
      <c r="E59" s="1977">
        <f>'Expenditures 15-22'!K321</f>
        <v>17557</v>
      </c>
      <c r="F59" s="1972"/>
      <c r="G59" s="2031"/>
      <c r="H59" s="2032"/>
      <c r="I59" s="2032"/>
      <c r="J59" s="2032"/>
      <c r="K59" s="2032"/>
      <c r="L59" s="2032"/>
      <c r="M59" s="2032">
        <v>17557</v>
      </c>
      <c r="N59" s="1975">
        <f>IF((SUM(G59:M59))=E59,SUM(G59:M59),"Column N does not agree with Column E")</f>
        <v>17557</v>
      </c>
    </row>
    <row r="60" spans="1:14" ht="24" customHeight="1" x14ac:dyDescent="0.2">
      <c r="A60" s="2428" t="s">
        <v>236</v>
      </c>
      <c r="B60" s="2429"/>
      <c r="C60" s="2429"/>
      <c r="D60" s="1967">
        <v>2364</v>
      </c>
      <c r="E60" s="1977">
        <f>'Expenditures 15-22'!K322</f>
        <v>266913</v>
      </c>
      <c r="F60" s="1972"/>
      <c r="G60" s="2031"/>
      <c r="H60" s="2032"/>
      <c r="I60" s="2032"/>
      <c r="J60" s="2032"/>
      <c r="K60" s="2032"/>
      <c r="L60" s="2032"/>
      <c r="M60" s="2032">
        <v>266913</v>
      </c>
      <c r="N60" s="1975">
        <f t="shared" ref="N60:N67" si="4">IF((SUM(G60:M60))=E60,SUM(G60:M60),"Column N does not agree with Column E")</f>
        <v>266913</v>
      </c>
    </row>
    <row r="61" spans="1:14" ht="24.75" customHeight="1" x14ac:dyDescent="0.2">
      <c r="A61" s="2428" t="s">
        <v>697</v>
      </c>
      <c r="B61" s="2429"/>
      <c r="C61" s="2429"/>
      <c r="D61" s="1967">
        <v>2365</v>
      </c>
      <c r="E61" s="1977">
        <f>'Expenditures 15-22'!K323</f>
        <v>52000</v>
      </c>
      <c r="F61" s="1972"/>
      <c r="G61" s="2031"/>
      <c r="H61" s="2032"/>
      <c r="I61" s="2032"/>
      <c r="J61" s="2032"/>
      <c r="K61" s="2032"/>
      <c r="L61" s="2032"/>
      <c r="M61" s="2032">
        <v>52000</v>
      </c>
      <c r="N61" s="1975">
        <f t="shared" si="4"/>
        <v>52000</v>
      </c>
    </row>
    <row r="62" spans="1:14" ht="24" customHeight="1" x14ac:dyDescent="0.2">
      <c r="A62" s="2428" t="s">
        <v>237</v>
      </c>
      <c r="B62" s="2429"/>
      <c r="C62" s="2429"/>
      <c r="D62" s="1967">
        <v>2366</v>
      </c>
      <c r="E62" s="1977">
        <f>'Expenditures 15-22'!K324</f>
        <v>0</v>
      </c>
      <c r="F62" s="1972"/>
      <c r="G62" s="2031"/>
      <c r="H62" s="2032"/>
      <c r="I62" s="2032"/>
      <c r="J62" s="2032"/>
      <c r="K62" s="2032"/>
      <c r="L62" s="2032"/>
      <c r="M62" s="2032"/>
      <c r="N62" s="1975">
        <f t="shared" si="4"/>
        <v>0</v>
      </c>
    </row>
    <row r="63" spans="1:14" ht="24" customHeight="1" x14ac:dyDescent="0.2">
      <c r="A63" s="2434" t="s">
        <v>1022</v>
      </c>
      <c r="B63" s="2435"/>
      <c r="C63" s="2435"/>
      <c r="D63" s="1967">
        <v>2367</v>
      </c>
      <c r="E63" s="1977">
        <f>'Expenditures 15-22'!K325</f>
        <v>0</v>
      </c>
      <c r="F63" s="1972"/>
      <c r="G63" s="2031"/>
      <c r="H63" s="2032"/>
      <c r="I63" s="2032"/>
      <c r="J63" s="2032"/>
      <c r="K63" s="2032"/>
      <c r="L63" s="2032"/>
      <c r="M63" s="2032"/>
      <c r="N63" s="1975">
        <f t="shared" si="4"/>
        <v>0</v>
      </c>
    </row>
    <row r="64" spans="1:14" ht="24" customHeight="1" x14ac:dyDescent="0.2">
      <c r="A64" s="2428" t="s">
        <v>1023</v>
      </c>
      <c r="B64" s="2429"/>
      <c r="C64" s="2429"/>
      <c r="D64" s="1967">
        <v>2368</v>
      </c>
      <c r="E64" s="1977">
        <f>'Expenditures 15-22'!K326</f>
        <v>0</v>
      </c>
      <c r="F64" s="1972"/>
      <c r="G64" s="2031"/>
      <c r="H64" s="2032"/>
      <c r="I64" s="2032"/>
      <c r="J64" s="2032"/>
      <c r="K64" s="2032"/>
      <c r="L64" s="2032"/>
      <c r="M64" s="2032"/>
      <c r="N64" s="1975">
        <f t="shared" si="4"/>
        <v>0</v>
      </c>
    </row>
    <row r="65" spans="1:14" ht="24" customHeight="1" x14ac:dyDescent="0.2">
      <c r="A65" s="2428" t="s">
        <v>965</v>
      </c>
      <c r="B65" s="2429"/>
      <c r="C65" s="2429"/>
      <c r="D65" s="1967">
        <v>2369</v>
      </c>
      <c r="E65" s="1977">
        <f>'Expenditures 15-22'!K327</f>
        <v>55702</v>
      </c>
      <c r="F65" s="1972"/>
      <c r="G65" s="2031"/>
      <c r="H65" s="2032"/>
      <c r="I65" s="2032"/>
      <c r="J65" s="2032"/>
      <c r="K65" s="2032"/>
      <c r="L65" s="2032"/>
      <c r="M65" s="2032">
        <v>55702</v>
      </c>
      <c r="N65" s="1975">
        <f t="shared" si="4"/>
        <v>55702</v>
      </c>
    </row>
    <row r="66" spans="1:14" ht="24" customHeight="1" x14ac:dyDescent="0.2">
      <c r="A66" s="2428" t="s">
        <v>469</v>
      </c>
      <c r="B66" s="2429"/>
      <c r="C66" s="2429"/>
      <c r="D66" s="1967">
        <v>2371</v>
      </c>
      <c r="E66" s="1977">
        <f>'Expenditures 15-22'!K328</f>
        <v>0</v>
      </c>
      <c r="F66" s="1972"/>
      <c r="G66" s="2031"/>
      <c r="H66" s="2032"/>
      <c r="I66" s="2032"/>
      <c r="J66" s="2032"/>
      <c r="K66" s="2032"/>
      <c r="L66" s="2032"/>
      <c r="M66" s="2032"/>
      <c r="N66" s="1975">
        <f t="shared" si="4"/>
        <v>0</v>
      </c>
    </row>
    <row r="67" spans="1:14" ht="24.75" customHeight="1" x14ac:dyDescent="0.2">
      <c r="A67" s="2430" t="s">
        <v>2041</v>
      </c>
      <c r="B67" s="2431"/>
      <c r="C67" s="2431"/>
      <c r="D67" s="1969">
        <v>2372</v>
      </c>
      <c r="E67" s="1978">
        <f>'Expenditures 15-22'!K329</f>
        <v>0</v>
      </c>
      <c r="F67" s="1972"/>
      <c r="G67" s="2033"/>
      <c r="H67" s="2034"/>
      <c r="I67" s="2034"/>
      <c r="J67" s="2034"/>
      <c r="K67" s="2034"/>
      <c r="L67" s="2034"/>
      <c r="M67" s="2034"/>
      <c r="N67" s="1975">
        <f t="shared" si="4"/>
        <v>0</v>
      </c>
    </row>
    <row r="68" spans="1:14" x14ac:dyDescent="0.2">
      <c r="A68" s="2432" t="s">
        <v>1151</v>
      </c>
      <c r="B68" s="2433"/>
      <c r="C68" s="2433"/>
      <c r="D68" s="1970"/>
      <c r="E68" s="1974">
        <f>SUM(E57:E67)</f>
        <v>495784</v>
      </c>
      <c r="F68" s="1973"/>
      <c r="G68" s="1974">
        <f t="shared" ref="G68:N68" si="5">SUM(G57:G67)</f>
        <v>0</v>
      </c>
      <c r="H68" s="1974">
        <f t="shared" si="5"/>
        <v>0</v>
      </c>
      <c r="I68" s="1974">
        <f t="shared" si="5"/>
        <v>0</v>
      </c>
      <c r="J68" s="1974">
        <f t="shared" si="5"/>
        <v>0</v>
      </c>
      <c r="K68" s="1974">
        <f t="shared" si="5"/>
        <v>0</v>
      </c>
      <c r="L68" s="1974">
        <f t="shared" si="5"/>
        <v>0</v>
      </c>
      <c r="M68" s="1974">
        <f t="shared" si="5"/>
        <v>495784</v>
      </c>
      <c r="N68" s="1988">
        <f t="shared" si="5"/>
        <v>495784</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2042</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view="pageBreakPreview" zoomScale="60" zoomScaleNormal="110" workbookViewId="0">
      <selection activeCell="H35" sqref="H3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2077</v>
      </c>
    </row>
    <row r="6" spans="1:2" x14ac:dyDescent="0.2">
      <c r="A6" s="847">
        <v>2</v>
      </c>
      <c r="B6" s="307" t="s">
        <v>2078</v>
      </c>
    </row>
    <row r="7" spans="1:2" x14ac:dyDescent="0.2">
      <c r="A7" s="847">
        <v>3</v>
      </c>
      <c r="B7" s="548" t="s">
        <v>2127</v>
      </c>
    </row>
    <row r="8" spans="1:2" x14ac:dyDescent="0.2">
      <c r="A8" s="847">
        <v>4</v>
      </c>
      <c r="B8" s="307" t="s">
        <v>2079</v>
      </c>
    </row>
    <row r="9" spans="1:2" x14ac:dyDescent="0.2">
      <c r="A9" s="848">
        <v>5</v>
      </c>
      <c r="B9" s="307" t="s">
        <v>2088</v>
      </c>
    </row>
    <row r="10" spans="1:2" x14ac:dyDescent="0.2">
      <c r="A10" s="848">
        <v>6</v>
      </c>
      <c r="B10" s="548" t="s">
        <v>2124</v>
      </c>
    </row>
    <row r="11" spans="1:2" x14ac:dyDescent="0.2">
      <c r="A11" s="848">
        <v>7</v>
      </c>
      <c r="B11" s="307" t="s">
        <v>2080</v>
      </c>
    </row>
    <row r="12" spans="1:2" x14ac:dyDescent="0.2">
      <c r="A12" s="848">
        <v>8</v>
      </c>
      <c r="B12" s="307" t="s">
        <v>2081</v>
      </c>
    </row>
    <row r="13" spans="1:2" x14ac:dyDescent="0.2">
      <c r="A13" s="848">
        <v>9</v>
      </c>
      <c r="B13" s="307" t="s">
        <v>2082</v>
      </c>
    </row>
    <row r="14" spans="1:2" x14ac:dyDescent="0.2">
      <c r="A14" s="848">
        <v>10</v>
      </c>
      <c r="B14" s="307" t="s">
        <v>2083</v>
      </c>
    </row>
    <row r="15" spans="1:2" x14ac:dyDescent="0.2">
      <c r="A15" s="848">
        <v>11</v>
      </c>
      <c r="B15" s="307" t="s">
        <v>2084</v>
      </c>
    </row>
    <row r="16" spans="1:2" x14ac:dyDescent="0.2">
      <c r="A16" s="848">
        <v>12</v>
      </c>
      <c r="B16" s="548" t="s">
        <v>2085</v>
      </c>
    </row>
    <row r="17" spans="1:2" x14ac:dyDescent="0.2">
      <c r="A17" s="848">
        <v>13</v>
      </c>
      <c r="B17" s="307" t="s">
        <v>2086</v>
      </c>
    </row>
    <row r="18" spans="1:2" x14ac:dyDescent="0.2">
      <c r="A18" s="848">
        <v>14</v>
      </c>
      <c r="B18" s="307" t="s">
        <v>2087</v>
      </c>
    </row>
    <row r="19" spans="1:2" x14ac:dyDescent="0.2">
      <c r="A19" s="848"/>
    </row>
    <row r="20" spans="1:2" x14ac:dyDescent="0.2">
      <c r="A20" s="848"/>
    </row>
    <row r="21" spans="1:2" x14ac:dyDescent="0.2">
      <c r="A21" s="848"/>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Carterville CUSD 5</v>
      </c>
    </row>
    <row r="65" spans="2:2" x14ac:dyDescent="0.2">
      <c r="B65" s="849">
        <f>COVER!A13</f>
        <v>21100005026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view="pageBreakPreview" topLeftCell="A10" zoomScale="90" zoomScaleNormal="110" zoomScaleSheetLayoutView="90" workbookViewId="0">
      <selection activeCell="D18" sqref="D18"/>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1829</v>
      </c>
      <c r="C4" s="157" t="s">
        <v>1159</v>
      </c>
      <c r="D4" s="164" t="s">
        <v>10</v>
      </c>
      <c r="E4" s="165" t="s">
        <v>22</v>
      </c>
    </row>
    <row r="5" spans="1:5" x14ac:dyDescent="0.2">
      <c r="A5" s="163" t="s">
        <v>1831</v>
      </c>
      <c r="C5" s="157" t="s">
        <v>1159</v>
      </c>
      <c r="D5" s="164" t="s">
        <v>10</v>
      </c>
      <c r="E5" s="165" t="s">
        <v>22</v>
      </c>
    </row>
    <row r="6" spans="1:5" x14ac:dyDescent="0.2">
      <c r="A6" s="163" t="s">
        <v>1830</v>
      </c>
      <c r="C6" s="157" t="s">
        <v>1159</v>
      </c>
      <c r="D6" s="162" t="s">
        <v>11</v>
      </c>
      <c r="E6" s="165" t="s">
        <v>935</v>
      </c>
    </row>
    <row r="7" spans="1:5" x14ac:dyDescent="0.2">
      <c r="A7" s="163" t="s">
        <v>1832</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1833</v>
      </c>
      <c r="C11" s="157" t="s">
        <v>1159</v>
      </c>
      <c r="D11" s="164" t="s">
        <v>14</v>
      </c>
      <c r="E11" s="165" t="s">
        <v>1146</v>
      </c>
    </row>
    <row r="12" spans="1:5" x14ac:dyDescent="0.2">
      <c r="B12" s="164" t="s">
        <v>1834</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1835</v>
      </c>
      <c r="C15" s="157" t="s">
        <v>1159</v>
      </c>
      <c r="D15" s="164" t="s">
        <v>17</v>
      </c>
      <c r="E15" s="165" t="s">
        <v>631</v>
      </c>
    </row>
    <row r="16" spans="1:5" x14ac:dyDescent="0.2">
      <c r="A16" s="167"/>
      <c r="B16" s="157" t="s">
        <v>1836</v>
      </c>
      <c r="C16" s="157" t="s">
        <v>1159</v>
      </c>
      <c r="D16" s="164" t="s">
        <v>676</v>
      </c>
      <c r="E16" s="165" t="s">
        <v>1033</v>
      </c>
    </row>
    <row r="17" spans="1:5" x14ac:dyDescent="0.2">
      <c r="B17" s="162" t="s">
        <v>981</v>
      </c>
      <c r="C17" s="157" t="s">
        <v>1159</v>
      </c>
    </row>
    <row r="18" spans="1:5" x14ac:dyDescent="0.2">
      <c r="B18" s="162" t="s">
        <v>1842</v>
      </c>
      <c r="D18" s="164" t="s">
        <v>18</v>
      </c>
      <c r="E18" s="165" t="s">
        <v>1034</v>
      </c>
    </row>
    <row r="19" spans="1:5" x14ac:dyDescent="0.2">
      <c r="A19" s="163" t="s">
        <v>1090</v>
      </c>
      <c r="C19" s="157" t="s">
        <v>1159</v>
      </c>
      <c r="D19" s="164"/>
      <c r="E19" s="166"/>
    </row>
    <row r="20" spans="1:5" x14ac:dyDescent="0.2">
      <c r="B20" s="162" t="s">
        <v>1837</v>
      </c>
      <c r="C20" s="157" t="s">
        <v>1159</v>
      </c>
      <c r="D20" s="164" t="s">
        <v>19</v>
      </c>
      <c r="E20" s="165" t="s">
        <v>51</v>
      </c>
    </row>
    <row r="21" spans="1:5" x14ac:dyDescent="0.2">
      <c r="B21" s="162" t="s">
        <v>1838</v>
      </c>
      <c r="C21" s="157" t="s">
        <v>1159</v>
      </c>
      <c r="D21" s="164" t="s">
        <v>20</v>
      </c>
      <c r="E21" s="165" t="s">
        <v>1593</v>
      </c>
    </row>
    <row r="22" spans="1:5" x14ac:dyDescent="0.2">
      <c r="A22" s="163"/>
      <c r="B22" s="157" t="s">
        <v>1826</v>
      </c>
      <c r="C22" s="157" t="s">
        <v>1159</v>
      </c>
      <c r="D22" s="162" t="s">
        <v>1828</v>
      </c>
      <c r="E22" s="1470" t="s">
        <v>1594</v>
      </c>
    </row>
    <row r="23" spans="1:5" x14ac:dyDescent="0.2">
      <c r="A23" s="163"/>
      <c r="B23" s="157" t="s">
        <v>1827</v>
      </c>
      <c r="D23" s="162" t="s">
        <v>632</v>
      </c>
      <c r="E23" s="1470" t="s">
        <v>953</v>
      </c>
    </row>
    <row r="24" spans="1:5" x14ac:dyDescent="0.2">
      <c r="A24" s="163" t="s">
        <v>1592</v>
      </c>
      <c r="C24" s="157" t="s">
        <v>1159</v>
      </c>
      <c r="D24" s="162" t="s">
        <v>1377</v>
      </c>
      <c r="E24" s="165" t="s">
        <v>954</v>
      </c>
    </row>
    <row r="25" spans="1:5" x14ac:dyDescent="0.2">
      <c r="A25" s="163" t="s">
        <v>1839</v>
      </c>
      <c r="C25" s="157" t="s">
        <v>1159</v>
      </c>
      <c r="D25" s="164" t="s">
        <v>21</v>
      </c>
      <c r="E25" s="1470" t="s">
        <v>2047</v>
      </c>
    </row>
    <row r="26" spans="1:5" x14ac:dyDescent="0.2">
      <c r="A26" s="163" t="s">
        <v>1840</v>
      </c>
      <c r="C26" s="157" t="s">
        <v>1159</v>
      </c>
      <c r="D26" s="164" t="s">
        <v>559</v>
      </c>
      <c r="E26" s="1470" t="s">
        <v>678</v>
      </c>
    </row>
    <row r="27" spans="1:5" x14ac:dyDescent="0.2">
      <c r="A27" s="163" t="s">
        <v>1841</v>
      </c>
      <c r="C27" s="157" t="s">
        <v>1159</v>
      </c>
      <c r="D27" s="164" t="s">
        <v>553</v>
      </c>
      <c r="E27" s="1470" t="s">
        <v>1350</v>
      </c>
    </row>
    <row r="28" spans="1:5" x14ac:dyDescent="0.2">
      <c r="A28" s="163" t="s">
        <v>1843</v>
      </c>
      <c r="D28" s="164" t="s">
        <v>679</v>
      </c>
      <c r="E28" s="1470" t="s">
        <v>1359</v>
      </c>
    </row>
    <row r="29" spans="1:5" x14ac:dyDescent="0.2">
      <c r="A29" s="163" t="s">
        <v>1844</v>
      </c>
      <c r="D29" s="164" t="s">
        <v>1378</v>
      </c>
      <c r="E29" s="1470" t="s">
        <v>2048</v>
      </c>
    </row>
    <row r="30" spans="1:5" x14ac:dyDescent="0.2">
      <c r="A30" s="168" t="s">
        <v>1845</v>
      </c>
      <c r="C30" s="157" t="s">
        <v>1159</v>
      </c>
      <c r="D30" s="164" t="s">
        <v>40</v>
      </c>
      <c r="E30" s="165" t="s">
        <v>975</v>
      </c>
    </row>
    <row r="31" spans="1:5" x14ac:dyDescent="0.2">
      <c r="A31" s="163" t="s">
        <v>1504</v>
      </c>
      <c r="C31" s="157" t="s">
        <v>1159</v>
      </c>
      <c r="D31" s="162"/>
      <c r="E31" s="166"/>
    </row>
    <row r="32" spans="1:5" x14ac:dyDescent="0.2">
      <c r="B32" s="162" t="s">
        <v>1846</v>
      </c>
      <c r="C32" s="157" t="s">
        <v>1159</v>
      </c>
      <c r="D32" s="164" t="s">
        <v>1505</v>
      </c>
      <c r="E32" s="165" t="s">
        <v>2049</v>
      </c>
    </row>
    <row r="33" spans="1:5" x14ac:dyDescent="0.2">
      <c r="A33" s="167"/>
      <c r="D33" s="164"/>
      <c r="E33" s="166"/>
    </row>
    <row r="34" spans="1:5" x14ac:dyDescent="0.2">
      <c r="A34" s="167"/>
      <c r="D34" s="164"/>
      <c r="E34" s="166"/>
    </row>
    <row r="35" spans="1:5" ht="15.75" customHeight="1" thickBot="1" x14ac:dyDescent="0.25">
      <c r="A35" s="2162" t="s">
        <v>1056</v>
      </c>
      <c r="B35" s="2162"/>
      <c r="C35" s="2162"/>
      <c r="D35" s="2162"/>
      <c r="E35" s="216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9" t="s">
        <v>686</v>
      </c>
      <c r="B40" s="2159"/>
      <c r="C40" s="2159"/>
      <c r="D40" s="2159"/>
      <c r="E40" s="2159"/>
    </row>
    <row r="41" spans="1:5" x14ac:dyDescent="0.2">
      <c r="A41" s="2160" t="s">
        <v>1591</v>
      </c>
      <c r="B41" s="2160"/>
      <c r="C41" s="2160"/>
      <c r="D41" s="2160"/>
      <c r="E41" s="2160"/>
    </row>
    <row r="42" spans="1:5" ht="12.75" customHeight="1" x14ac:dyDescent="0.2">
      <c r="A42" s="2161" t="s">
        <v>1015</v>
      </c>
      <c r="B42" s="2161"/>
      <c r="C42" s="2161"/>
      <c r="D42" s="2161"/>
      <c r="E42" s="2161"/>
    </row>
    <row r="43" spans="1:5" ht="6.75" customHeight="1" x14ac:dyDescent="0.2">
      <c r="A43" s="162"/>
      <c r="B43" s="171"/>
    </row>
    <row r="44" spans="1:5" x14ac:dyDescent="0.2">
      <c r="A44" s="180" t="s">
        <v>976</v>
      </c>
      <c r="B44" s="181" t="s">
        <v>1869</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1599</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1602</v>
      </c>
    </row>
    <row r="72" spans="1:9" ht="9" customHeight="1" x14ac:dyDescent="0.2">
      <c r="A72" s="187"/>
      <c r="B72" s="194"/>
    </row>
    <row r="73" spans="1:9" x14ac:dyDescent="0.2">
      <c r="A73" s="184" t="s">
        <v>1603</v>
      </c>
      <c r="B73" s="164" t="s">
        <v>1760</v>
      </c>
    </row>
    <row r="74" spans="1:9" x14ac:dyDescent="0.2">
      <c r="A74" s="184"/>
      <c r="B74" s="164" t="s">
        <v>1759</v>
      </c>
    </row>
    <row r="75" spans="1:9" ht="8.25" customHeight="1" x14ac:dyDescent="0.2">
      <c r="A75" s="184"/>
      <c r="B75" s="184"/>
    </row>
    <row r="76" spans="1:9" ht="12.2" customHeight="1" x14ac:dyDescent="0.2">
      <c r="A76" s="184" t="s">
        <v>1604</v>
      </c>
      <c r="B76" s="193" t="s">
        <v>1761</v>
      </c>
    </row>
    <row r="77" spans="1:9" ht="12.2" customHeight="1" x14ac:dyDescent="0.2">
      <c r="A77" s="185"/>
      <c r="B77" s="164" t="s">
        <v>1605</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view="pageBreakPreview" colorId="8" zoomScale="60" zoomScaleNormal="110" workbookViewId="0">
      <selection activeCell="H35" sqref="H3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50"/>
  </sheetPr>
  <dimension ref="A11:F18"/>
  <sheetViews>
    <sheetView showGridLines="0" zoomScale="11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1972</v>
      </c>
    </row>
    <row r="17" spans="1:2" ht="6" customHeight="1" x14ac:dyDescent="0.2"/>
    <row r="18" spans="1:2" ht="24.75" customHeight="1" x14ac:dyDescent="0.2">
      <c r="A18" s="2476" t="s">
        <v>1665</v>
      </c>
      <c r="B18" s="2476"/>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Document.DC" dvAspect="DVASPECT_ICON" shapeId="56322" r:id="rId4">
          <objectPr defaultSize="0" r:id="rId5">
            <anchor moveWithCells="1">
              <from>
                <xdr:col>1</xdr:col>
                <xdr:colOff>0</xdr:colOff>
                <xdr:row>6</xdr:row>
                <xdr:rowOff>0</xdr:rowOff>
              </from>
              <to>
                <xdr:col>1</xdr:col>
                <xdr:colOff>914400</xdr:colOff>
                <xdr:row>10</xdr:row>
                <xdr:rowOff>123825</xdr:rowOff>
              </to>
            </anchor>
          </objectPr>
        </oleObject>
      </mc:Choice>
      <mc:Fallback>
        <oleObject progId="Acrobat.Document.DC" dvAspect="DVASPECT_ICON" shapeId="5632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view="pageBreakPreview" zoomScale="60" zoomScaleNormal="110" workbookViewId="0">
      <selection activeCell="F38" sqref="F38"/>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7" t="s">
        <v>1669</v>
      </c>
      <c r="B1" s="2478"/>
      <c r="C1" s="2478"/>
      <c r="D1" s="2478"/>
      <c r="E1" s="2478"/>
      <c r="F1" s="2479"/>
    </row>
    <row r="2" spans="1:8" ht="45" customHeight="1" x14ac:dyDescent="0.2">
      <c r="A2" s="248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8"/>
      <c r="C2" s="2488"/>
      <c r="D2" s="2488"/>
      <c r="E2" s="2488"/>
      <c r="F2" s="2489"/>
      <c r="G2" s="853"/>
      <c r="H2" s="853"/>
    </row>
    <row r="3" spans="1:8" ht="57" customHeight="1" x14ac:dyDescent="0.2">
      <c r="A3" s="2490" t="s">
        <v>1971</v>
      </c>
      <c r="B3" s="2491"/>
      <c r="C3" s="2491"/>
      <c r="D3" s="2491"/>
      <c r="E3" s="2491"/>
      <c r="F3" s="2492"/>
      <c r="G3" s="853"/>
      <c r="H3" s="853"/>
    </row>
    <row r="4" spans="1:8" ht="14.25" customHeight="1" x14ac:dyDescent="0.2">
      <c r="A4" s="249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7"/>
      <c r="C4" s="2497"/>
      <c r="D4" s="2497"/>
      <c r="E4" s="2497"/>
      <c r="F4" s="2498"/>
      <c r="G4" s="853"/>
      <c r="H4" s="853"/>
    </row>
    <row r="5" spans="1:8" ht="14.25" customHeight="1" x14ac:dyDescent="0.2">
      <c r="A5" s="249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0"/>
      <c r="C5" s="2500"/>
      <c r="D5" s="2500"/>
      <c r="E5" s="2500"/>
      <c r="F5" s="2501"/>
      <c r="G5" s="853"/>
      <c r="H5" s="853"/>
    </row>
    <row r="6" spans="1:8" s="854" customFormat="1" ht="41.25" customHeight="1" x14ac:dyDescent="0.2">
      <c r="A6" s="2493" t="s">
        <v>1670</v>
      </c>
      <c r="B6" s="2494"/>
      <c r="C6" s="2494"/>
      <c r="D6" s="2494"/>
      <c r="E6" s="2494"/>
      <c r="F6" s="249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15795379</v>
      </c>
      <c r="C8" s="1813">
        <f>'Acct Summary 7-8'!D8</f>
        <v>1532867</v>
      </c>
      <c r="D8" s="1813">
        <f>'Acct Summary 7-8'!F8</f>
        <v>887557</v>
      </c>
      <c r="E8" s="1813">
        <f>'Acct Summary 7-8'!I8</f>
        <v>34734</v>
      </c>
      <c r="F8" s="1813">
        <f>SUM(B8:E8)</f>
        <v>18250537</v>
      </c>
    </row>
    <row r="9" spans="1:8" s="858" customFormat="1" ht="14.25" customHeight="1" thickBot="1" x14ac:dyDescent="0.25">
      <c r="A9" s="857" t="s">
        <v>1353</v>
      </c>
      <c r="B9" s="1814">
        <f>'Acct Summary 7-8'!C17</f>
        <v>16634722</v>
      </c>
      <c r="C9" s="1814">
        <f>'Acct Summary 7-8'!D17</f>
        <v>2004322</v>
      </c>
      <c r="D9" s="1814">
        <f>'Acct Summary 7-8'!F17</f>
        <v>703765</v>
      </c>
      <c r="E9" s="1813"/>
      <c r="F9" s="1813">
        <f>SUM(B9:E9)</f>
        <v>19342809</v>
      </c>
    </row>
    <row r="10" spans="1:8" s="858" customFormat="1" ht="14.25" thickTop="1" thickBot="1" x14ac:dyDescent="0.25">
      <c r="A10" s="859" t="s">
        <v>1354</v>
      </c>
      <c r="B10" s="1815">
        <f>(B8-B9)</f>
        <v>-839343</v>
      </c>
      <c r="C10" s="1815">
        <f>(C8-C9)</f>
        <v>-471455</v>
      </c>
      <c r="D10" s="1815">
        <f>(D8-D9)</f>
        <v>183792</v>
      </c>
      <c r="E10" s="1814">
        <f>(E8-E9)</f>
        <v>34734</v>
      </c>
      <c r="F10" s="1816">
        <f>SUM(F8-F9)</f>
        <v>-1092272</v>
      </c>
    </row>
    <row r="11" spans="1:8" s="858" customFormat="1" ht="14.25" thickTop="1" thickBot="1" x14ac:dyDescent="0.25">
      <c r="A11" s="860" t="s">
        <v>1902</v>
      </c>
      <c r="B11" s="1817">
        <f>'Acct Summary 7-8'!C81</f>
        <v>4948355</v>
      </c>
      <c r="C11" s="1817">
        <f>'Acct Summary 7-8'!D81</f>
        <v>684898</v>
      </c>
      <c r="D11" s="1817">
        <f>'Acct Summary 7-8'!F81</f>
        <v>546252</v>
      </c>
      <c r="E11" s="1817">
        <f>'Acct Summary 7-8'!I81</f>
        <v>1731415</v>
      </c>
      <c r="F11" s="1818">
        <f>SUM(B11:E11)</f>
        <v>7910920</v>
      </c>
    </row>
    <row r="12" spans="1:8" ht="16.5" customHeight="1" thickTop="1" x14ac:dyDescent="0.2">
      <c r="A12" s="861"/>
      <c r="B12" s="862"/>
      <c r="C12" s="2481" t="str">
        <f>IF(AND(F10&lt;0,F11&gt;=0,ABS(F10*3)&gt;ABS(F11)),A16,IF(AND(F10&lt;0,F11&gt;0,ABS(F10*3)&lt;=ABS(F11)),A17,IF(AND(F10&lt;0,F11&lt;0),A16,IF(F11=0,A19,A18))))</f>
        <v>Unbalanced -  however, a deficit reduction plan is not required at this time.</v>
      </c>
      <c r="D12" s="2482"/>
      <c r="E12" s="2482"/>
      <c r="F12" s="2483"/>
    </row>
    <row r="13" spans="1:8" ht="19.5" customHeight="1" x14ac:dyDescent="0.2">
      <c r="A13" s="863"/>
      <c r="B13" s="864"/>
      <c r="C13" s="2481"/>
      <c r="D13" s="2482"/>
      <c r="E13" s="2482"/>
      <c r="F13" s="2483"/>
      <c r="H13" s="853"/>
    </row>
    <row r="14" spans="1:8" ht="19.5" customHeight="1" x14ac:dyDescent="0.2">
      <c r="A14" s="863"/>
      <c r="B14" s="864"/>
      <c r="C14" s="2481"/>
      <c r="D14" s="2482"/>
      <c r="E14" s="2482"/>
      <c r="F14" s="2483"/>
      <c r="H14" s="853"/>
    </row>
    <row r="15" spans="1:8" ht="17.25" customHeight="1" x14ac:dyDescent="0.2">
      <c r="A15" s="863"/>
      <c r="B15" s="864"/>
      <c r="C15" s="2484"/>
      <c r="D15" s="2485"/>
      <c r="E15" s="2485"/>
      <c r="F15" s="2486"/>
      <c r="H15" s="853"/>
    </row>
    <row r="16" spans="1:8" s="288" customFormat="1" ht="51.75" hidden="1" customHeight="1" x14ac:dyDescent="0.2">
      <c r="A16" s="2480" t="s">
        <v>1666</v>
      </c>
      <c r="B16" s="2480"/>
      <c r="C16" s="2480"/>
      <c r="D16" s="2480"/>
      <c r="E16" s="248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BreakPreview" topLeftCell="A50" colorId="8" zoomScale="90" zoomScaleNormal="110" zoomScaleSheetLayoutView="90" workbookViewId="0">
      <selection activeCell="H35" sqref="H35"/>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2" t="s">
        <v>660</v>
      </c>
      <c r="B3" s="2503"/>
      <c r="C3" s="2503"/>
      <c r="D3" s="2504"/>
    </row>
    <row r="4" spans="1:4" x14ac:dyDescent="0.2">
      <c r="A4" s="931" t="s">
        <v>1671</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3" t="s">
        <v>1487</v>
      </c>
      <c r="D7" s="2514"/>
    </row>
    <row r="8" spans="1:4" s="542" customFormat="1" ht="12.75" x14ac:dyDescent="0.2">
      <c r="A8" s="917"/>
      <c r="B8" s="872"/>
      <c r="C8" s="875" t="s">
        <v>1486</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5" t="s">
        <v>1001</v>
      </c>
      <c r="B15" s="2506"/>
      <c r="C15" s="2506"/>
      <c r="D15" s="2507"/>
    </row>
    <row r="16" spans="1:4" s="542" customFormat="1" ht="24" customHeight="1" x14ac:dyDescent="0.2">
      <c r="A16" s="2508" t="s">
        <v>658</v>
      </c>
      <c r="B16" s="2509"/>
      <c r="C16" s="2509"/>
      <c r="D16" s="2510"/>
    </row>
    <row r="17" spans="1:10" s="542" customFormat="1" ht="12.75" customHeight="1" x14ac:dyDescent="0.2">
      <c r="A17" s="935" t="s">
        <v>1672</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7" t="s">
        <v>311</v>
      </c>
      <c r="D21" s="2518"/>
    </row>
    <row r="22" spans="1:10" ht="12.75" x14ac:dyDescent="0.2">
      <c r="A22" s="918"/>
      <c r="B22" s="919">
        <v>2</v>
      </c>
      <c r="C22" s="2515" t="s">
        <v>1507</v>
      </c>
      <c r="D22" s="251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9" t="s">
        <v>533</v>
      </c>
      <c r="D43" s="252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1" t="s">
        <v>779</v>
      </c>
      <c r="D56" s="251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1014</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11" t="s">
        <v>1674</v>
      </c>
      <c r="D70" s="251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ht="22.5" x14ac:dyDescent="0.2">
      <c r="A82" s="877"/>
      <c r="B82" s="899">
        <v>15</v>
      </c>
      <c r="C82" s="909" t="s">
        <v>1883</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1966</v>
      </c>
      <c r="F1" s="1543" t="s">
        <v>1967</v>
      </c>
      <c r="G1" s="1900" t="s">
        <v>1977</v>
      </c>
    </row>
    <row r="2" spans="1:7" ht="15.75" x14ac:dyDescent="0.25">
      <c r="A2" t="s">
        <v>260</v>
      </c>
      <c r="B2" s="135">
        <f>COVER!A13</f>
        <v>21100005026</v>
      </c>
      <c r="E2" s="1542">
        <v>2020</v>
      </c>
      <c r="F2" s="1542">
        <v>1</v>
      </c>
      <c r="G2" s="1899">
        <v>101000300</v>
      </c>
    </row>
    <row r="3" spans="1:7" ht="15" x14ac:dyDescent="0.25">
      <c r="A3" t="s">
        <v>950</v>
      </c>
      <c r="B3" s="135" t="str">
        <f>COVER!A15</f>
        <v>Williamson</v>
      </c>
      <c r="E3" s="1830" t="s">
        <v>1970</v>
      </c>
      <c r="F3" s="1830" t="s">
        <v>1969</v>
      </c>
      <c r="G3" s="1899">
        <v>101000400</v>
      </c>
    </row>
    <row r="4" spans="1:7" ht="15" x14ac:dyDescent="0.25">
      <c r="A4" t="s">
        <v>1000</v>
      </c>
      <c r="B4" s="135" t="str">
        <f>COVER!A17</f>
        <v>Carterville CUSD 5</v>
      </c>
      <c r="E4" s="1828">
        <v>44119</v>
      </c>
      <c r="F4" s="1829">
        <v>44151</v>
      </c>
      <c r="G4" s="1899">
        <v>101000600</v>
      </c>
    </row>
    <row r="5" spans="1:7" ht="15" x14ac:dyDescent="0.25">
      <c r="A5" t="s">
        <v>699</v>
      </c>
      <c r="B5" s="135" t="str">
        <f>COVER!A38</f>
        <v>Keith A. Liddell</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065-020211</v>
      </c>
      <c r="G15" s="1899">
        <v>402100400</v>
      </c>
    </row>
    <row r="16" spans="1:7" ht="15" x14ac:dyDescent="0.25">
      <c r="A16" t="s">
        <v>419</v>
      </c>
      <c r="B16" s="135" t="str">
        <f>COVER!T13</f>
        <v>Kerber, Eck &amp; Braeckel LLP</v>
      </c>
      <c r="G16" s="1899">
        <v>402100600</v>
      </c>
    </row>
    <row r="17" spans="1:7" ht="15" x14ac:dyDescent="0.25">
      <c r="A17" t="s">
        <v>878</v>
      </c>
      <c r="B17" s="135" t="str">
        <f>COVER!T15</f>
        <v>Brian J. Wuertz, CPA</v>
      </c>
      <c r="G17" s="1899">
        <v>402100800</v>
      </c>
    </row>
    <row r="18" spans="1:7" ht="15" x14ac:dyDescent="0.25">
      <c r="A18" t="s">
        <v>1140</v>
      </c>
      <c r="B18" s="135" t="str">
        <f>COVER!T17</f>
        <v>1 S. Memorial Drive, Suite 900</v>
      </c>
      <c r="G18" s="1899">
        <v>102200300</v>
      </c>
    </row>
    <row r="19" spans="1:7" ht="15" x14ac:dyDescent="0.25">
      <c r="A19" t="s">
        <v>880</v>
      </c>
      <c r="B19" s="135" t="str">
        <f>COVER!T25</f>
        <v>brianw@kebcpa.com</v>
      </c>
      <c r="G19" s="1899">
        <v>102200400</v>
      </c>
    </row>
    <row r="20" spans="1:7" ht="15" x14ac:dyDescent="0.25">
      <c r="A20" t="s">
        <v>881</v>
      </c>
      <c r="B20" s="135" t="str">
        <f>COVER!T19</f>
        <v>St. Louis</v>
      </c>
      <c r="G20" s="1899">
        <v>102200600</v>
      </c>
    </row>
    <row r="21" spans="1:7" ht="15" x14ac:dyDescent="0.25">
      <c r="A21" t="s">
        <v>476</v>
      </c>
      <c r="B21" s="135" t="str">
        <f>COVER!X19</f>
        <v>MO</v>
      </c>
      <c r="G21" s="1899">
        <v>102200800</v>
      </c>
    </row>
    <row r="22" spans="1:7" ht="15" x14ac:dyDescent="0.25">
      <c r="A22" t="s">
        <v>882</v>
      </c>
      <c r="B22" s="135">
        <f>COVER!Z19</f>
        <v>63102</v>
      </c>
      <c r="G22" s="1899">
        <v>102300300</v>
      </c>
    </row>
    <row r="23" spans="1:7" ht="15" x14ac:dyDescent="0.25">
      <c r="A23" t="s">
        <v>1142</v>
      </c>
      <c r="B23" s="135" t="str">
        <f>COVER!T21</f>
        <v>(314) 231-6232</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1306210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4948355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4948355</v>
      </c>
      <c r="D92" s="2" t="str">
        <f t="shared" si="0"/>
        <v>Error?</v>
      </c>
      <c r="G92" s="1899">
        <v>102640600</v>
      </c>
    </row>
    <row r="93" spans="1:7" ht="15" x14ac:dyDescent="0.25">
      <c r="A93" s="5">
        <v>32</v>
      </c>
      <c r="B93" s="1832">
        <f>'Assets-Liab 5-6'!C41</f>
        <v>4948355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465278</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684898</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684898</v>
      </c>
      <c r="D123" s="2" t="str">
        <f t="shared" si="0"/>
        <v>Error?</v>
      </c>
      <c r="G123" s="1899">
        <v>203000400</v>
      </c>
    </row>
    <row r="124" spans="1:7" ht="15" x14ac:dyDescent="0.25">
      <c r="A124" s="5">
        <v>63</v>
      </c>
      <c r="B124" s="1832">
        <f>'Assets-Liab 5-6'!D41</f>
        <v>684898</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53003</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53003</v>
      </c>
      <c r="D140" s="2" t="str">
        <f t="shared" si="1"/>
        <v>Error?</v>
      </c>
    </row>
    <row r="141" spans="1:7" x14ac:dyDescent="0.2">
      <c r="A141" s="5">
        <v>80</v>
      </c>
      <c r="B141" s="1832">
        <f>'Assets-Liab 5-6'!E41</f>
        <v>53003</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546252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546252</v>
      </c>
      <c r="D170" s="2" t="str">
        <f t="shared" si="1"/>
        <v>Error?</v>
      </c>
    </row>
    <row r="171" spans="1:4" x14ac:dyDescent="0.2">
      <c r="A171" s="5">
        <v>110</v>
      </c>
      <c r="B171" s="1832">
        <f>'Assets-Liab 5-6'!F41</f>
        <v>546252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367494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367494</v>
      </c>
      <c r="D189" s="2" t="str">
        <f t="shared" si="1"/>
        <v>Error?</v>
      </c>
    </row>
    <row r="190" spans="1:4" x14ac:dyDescent="0.2">
      <c r="A190" s="5">
        <v>129</v>
      </c>
      <c r="B190" s="1832">
        <f>'Assets-Liab 5-6'!G41</f>
        <v>367494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608680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1469582</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1469582</v>
      </c>
      <c r="D212" s="2" t="str">
        <f t="shared" si="2"/>
        <v>Error?</v>
      </c>
    </row>
    <row r="213" spans="1:4" x14ac:dyDescent="0.2">
      <c r="A213" s="12">
        <v>152</v>
      </c>
      <c r="B213" s="1832">
        <f>'Assets-Liab 5-6'!H41</f>
        <v>1469582</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1610746</v>
      </c>
      <c r="D273" s="2" t="str">
        <f t="shared" si="3"/>
        <v>Error?</v>
      </c>
    </row>
    <row r="274" spans="1:4" x14ac:dyDescent="0.2">
      <c r="A274" s="5">
        <v>213</v>
      </c>
      <c r="B274" s="1832">
        <f>'Assets-Liab 5-6'!M17</f>
        <v>77962705</v>
      </c>
      <c r="D274" s="2" t="str">
        <f t="shared" si="3"/>
        <v>Error?</v>
      </c>
    </row>
    <row r="275" spans="1:4" x14ac:dyDescent="0.2">
      <c r="A275" s="5">
        <v>214</v>
      </c>
      <c r="B275" s="1832">
        <f>'Assets-Liab 5-6'!M18</f>
        <v>1768844</v>
      </c>
      <c r="D275" s="2" t="str">
        <f t="shared" si="3"/>
        <v>Error?</v>
      </c>
    </row>
    <row r="276" spans="1:4" x14ac:dyDescent="0.2">
      <c r="A276" s="5">
        <v>215</v>
      </c>
      <c r="B276" s="1832">
        <f>'Assets-Liab 5-6'!M19</f>
        <v>5910093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87252388</v>
      </c>
      <c r="C279" s="2" t="s">
        <v>569</v>
      </c>
      <c r="D279" s="2" t="str">
        <f t="shared" si="3"/>
        <v>Error?</v>
      </c>
    </row>
    <row r="280" spans="1:4" x14ac:dyDescent="0.2">
      <c r="A280" s="5">
        <v>219</v>
      </c>
      <c r="B280" s="1832">
        <f>'Assets-Liab 5-6'!M40</f>
        <v>87252388</v>
      </c>
      <c r="D280" s="2" t="str">
        <f t="shared" si="3"/>
        <v>Error?</v>
      </c>
    </row>
    <row r="281" spans="1:4" x14ac:dyDescent="0.2">
      <c r="A281" s="5">
        <v>220</v>
      </c>
      <c r="B281" s="1832">
        <f>'Assets-Liab 5-6'!M41</f>
        <v>87252388</v>
      </c>
      <c r="C281" s="2" t="s">
        <v>569</v>
      </c>
      <c r="D281" s="2" t="str">
        <f t="shared" si="3"/>
        <v>Error?</v>
      </c>
    </row>
    <row r="282" spans="1:4" x14ac:dyDescent="0.2">
      <c r="A282" s="5">
        <v>221</v>
      </c>
      <c r="B282" s="1832">
        <f>'Assets-Liab 5-6'!N21</f>
        <v>53003</v>
      </c>
      <c r="D282" s="2" t="str">
        <f t="shared" si="3"/>
        <v>Error?</v>
      </c>
    </row>
    <row r="283" spans="1:4" x14ac:dyDescent="0.2">
      <c r="A283" s="5">
        <v>222</v>
      </c>
      <c r="B283" s="1832">
        <f>'Assets-Liab 5-6'!N22</f>
        <v>37310840</v>
      </c>
      <c r="D283" s="2" t="str">
        <f t="shared" si="3"/>
        <v>Error?</v>
      </c>
    </row>
    <row r="284" spans="1:4" x14ac:dyDescent="0.2">
      <c r="A284" s="5">
        <v>223</v>
      </c>
      <c r="B284" s="1832">
        <f>'Assets-Liab 5-6'!N23</f>
        <v>37363843</v>
      </c>
      <c r="C284" s="2" t="s">
        <v>569</v>
      </c>
      <c r="D284" s="2" t="str">
        <f t="shared" si="3"/>
        <v>Error?</v>
      </c>
    </row>
    <row r="285" spans="1:4" x14ac:dyDescent="0.2">
      <c r="A285" s="5">
        <v>224</v>
      </c>
      <c r="B285" s="1832">
        <f>'Assets-Liab 5-6'!N36</f>
        <v>37363843</v>
      </c>
      <c r="D285" s="2" t="str">
        <f t="shared" si="3"/>
        <v>Error?</v>
      </c>
    </row>
    <row r="286" spans="1:4" x14ac:dyDescent="0.2">
      <c r="A286" s="10">
        <v>225</v>
      </c>
      <c r="B286" s="1832"/>
      <c r="D286" s="2" t="str">
        <f t="shared" si="3"/>
        <v>OK</v>
      </c>
    </row>
    <row r="287" spans="1:4" x14ac:dyDescent="0.2">
      <c r="A287" s="5">
        <v>226</v>
      </c>
      <c r="B287" s="1832">
        <f>'Assets-Liab 5-6'!N37</f>
        <v>37363843</v>
      </c>
      <c r="C287" s="2" t="s">
        <v>569</v>
      </c>
      <c r="D287" s="2" t="str">
        <f t="shared" si="3"/>
        <v>Error?</v>
      </c>
    </row>
    <row r="288" spans="1:4" x14ac:dyDescent="0.2">
      <c r="A288" s="5">
        <v>227</v>
      </c>
      <c r="B288" s="1832">
        <f>'Assets-Liab 5-6'!N41</f>
        <v>37363843</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5628423</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225644</v>
      </c>
      <c r="D717" s="2" t="str">
        <f t="shared" si="10"/>
        <v>Error?</v>
      </c>
    </row>
    <row r="718" spans="1:4" x14ac:dyDescent="0.2">
      <c r="A718" s="5">
        <v>657</v>
      </c>
      <c r="B718" s="1832">
        <f>'Expenditures 15-22'!C14</f>
        <v>231946</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6632336</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458160</v>
      </c>
      <c r="D722" s="2" t="str">
        <f t="shared" si="10"/>
        <v>Error?</v>
      </c>
    </row>
    <row r="723" spans="1:4" x14ac:dyDescent="0.2">
      <c r="A723" s="5">
        <v>662</v>
      </c>
      <c r="B723" s="1832">
        <f>'Expenditures 15-22'!C38</f>
        <v>140724</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598884</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92510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92510</v>
      </c>
      <c r="C731" s="2" t="s">
        <v>569</v>
      </c>
      <c r="D731" s="2" t="str">
        <f t="shared" si="10"/>
        <v>Error?</v>
      </c>
    </row>
    <row r="732" spans="1:4" x14ac:dyDescent="0.2">
      <c r="A732" s="5">
        <v>671</v>
      </c>
      <c r="B732" s="1832">
        <f>'Expenditures 15-22'!C49</f>
        <v>4965</v>
      </c>
      <c r="D732" s="2" t="str">
        <f t="shared" si="10"/>
        <v>Error?</v>
      </c>
    </row>
    <row r="733" spans="1:4" x14ac:dyDescent="0.2">
      <c r="A733" s="5">
        <v>672</v>
      </c>
      <c r="B733" s="1832">
        <f>'Expenditures 15-22'!C50</f>
        <v>221132</v>
      </c>
      <c r="D733" s="2" t="str">
        <f t="shared" si="10"/>
        <v>Error?</v>
      </c>
    </row>
    <row r="734" spans="1:4" x14ac:dyDescent="0.2">
      <c r="A734" s="5">
        <v>673</v>
      </c>
      <c r="B734" s="1832">
        <f>'Expenditures 15-22'!C53</f>
        <v>344222</v>
      </c>
      <c r="C734" s="2" t="s">
        <v>569</v>
      </c>
      <c r="D734" s="2" t="str">
        <f t="shared" si="10"/>
        <v>Error?</v>
      </c>
    </row>
    <row r="735" spans="1:4" x14ac:dyDescent="0.2">
      <c r="A735" s="5">
        <v>674</v>
      </c>
      <c r="B735" s="1832">
        <f>'Expenditures 15-22'!C55</f>
        <v>960315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960315</v>
      </c>
      <c r="C737" s="2" t="s">
        <v>569</v>
      </c>
      <c r="D737" s="2" t="str">
        <f t="shared" si="10"/>
        <v>Error?</v>
      </c>
    </row>
    <row r="738" spans="1:4" x14ac:dyDescent="0.2">
      <c r="A738" s="5">
        <v>677</v>
      </c>
      <c r="B738" s="1832">
        <f>'Expenditures 15-22'!C59</f>
        <v>69093</v>
      </c>
      <c r="D738" s="2" t="str">
        <f t="shared" si="10"/>
        <v>Error?</v>
      </c>
    </row>
    <row r="739" spans="1:4" x14ac:dyDescent="0.2">
      <c r="A739" s="5">
        <v>678</v>
      </c>
      <c r="B739" s="1832">
        <f>'Expenditures 15-22'!C60</f>
        <v>45779</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331445</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446317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2442248</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9074584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1664279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70557</v>
      </c>
      <c r="D775" s="2" t="str">
        <f t="shared" si="11"/>
        <v>Error?</v>
      </c>
    </row>
    <row r="776" spans="1:4" x14ac:dyDescent="0.2">
      <c r="A776" s="5">
        <v>715</v>
      </c>
      <c r="B776" s="1832">
        <f>'Expenditures 15-22'!D14</f>
        <v>105</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1942094</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126067</v>
      </c>
      <c r="D780" s="2" t="str">
        <f t="shared" si="11"/>
        <v>Error?</v>
      </c>
    </row>
    <row r="781" spans="1:4" x14ac:dyDescent="0.2">
      <c r="A781" s="5">
        <v>720</v>
      </c>
      <c r="B781" s="1832">
        <f>'Expenditures 15-22'!D38</f>
        <v>38550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164617</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42685</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42685</v>
      </c>
      <c r="C789" s="2" t="s">
        <v>569</v>
      </c>
      <c r="D789" s="2" t="str">
        <f t="shared" si="11"/>
        <v>Error?</v>
      </c>
    </row>
    <row r="790" spans="1:4" x14ac:dyDescent="0.2">
      <c r="A790" s="5">
        <v>729</v>
      </c>
      <c r="B790" s="1832">
        <f>'Expenditures 15-22'!D49</f>
        <v>36318</v>
      </c>
      <c r="D790" s="2" t="str">
        <f t="shared" si="11"/>
        <v>Error?</v>
      </c>
    </row>
    <row r="791" spans="1:4" x14ac:dyDescent="0.2">
      <c r="A791" s="5">
        <v>730</v>
      </c>
      <c r="B791" s="1832">
        <f>'Expenditures 15-22'!D50</f>
        <v>44851</v>
      </c>
      <c r="D791" s="2" t="str">
        <f t="shared" si="11"/>
        <v>Error?</v>
      </c>
    </row>
    <row r="792" spans="1:4" x14ac:dyDescent="0.2">
      <c r="A792" s="5">
        <v>731</v>
      </c>
      <c r="B792" s="1832">
        <f>'Expenditures 15-22'!D53</f>
        <v>107247</v>
      </c>
      <c r="C792" s="2" t="s">
        <v>569</v>
      </c>
      <c r="D792" s="2" t="str">
        <f t="shared" si="11"/>
        <v>Error?</v>
      </c>
    </row>
    <row r="793" spans="1:4" x14ac:dyDescent="0.2">
      <c r="A793" s="5">
        <v>732</v>
      </c>
      <c r="B793" s="1832">
        <f>'Expenditures 15-22'!D55</f>
        <v>248746</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248746</v>
      </c>
      <c r="C795" s="2" t="s">
        <v>569</v>
      </c>
      <c r="D795" s="2" t="str">
        <f t="shared" si="11"/>
        <v>Error?</v>
      </c>
    </row>
    <row r="796" spans="1:4" x14ac:dyDescent="0.2">
      <c r="A796" s="5">
        <v>735</v>
      </c>
      <c r="B796" s="1832">
        <f>'Expenditures 15-22'!D59</f>
        <v>11164</v>
      </c>
      <c r="D796" s="2" t="str">
        <f t="shared" si="11"/>
        <v>Error?</v>
      </c>
    </row>
    <row r="797" spans="1:4" x14ac:dyDescent="0.2">
      <c r="A797" s="5">
        <v>736</v>
      </c>
      <c r="B797" s="1832">
        <f>'Expenditures 15-22'!D60</f>
        <v>11164</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93560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115888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679183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2621277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115838</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46486</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176266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276</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276</v>
      </c>
      <c r="C843" s="2" t="s">
        <v>569</v>
      </c>
      <c r="D843" s="2" t="str">
        <f t="shared" si="12"/>
        <v>Error?</v>
      </c>
    </row>
    <row r="844" spans="1:4" x14ac:dyDescent="0.2">
      <c r="A844" s="5">
        <v>783</v>
      </c>
      <c r="B844" s="1832">
        <f>'Expenditures 15-22'!E44</f>
        <v>24312</v>
      </c>
      <c r="D844" s="2" t="str">
        <f t="shared" si="12"/>
        <v>Error?</v>
      </c>
    </row>
    <row r="845" spans="1:4" x14ac:dyDescent="0.2">
      <c r="A845" s="5">
        <v>784</v>
      </c>
      <c r="B845" s="1832">
        <f>'Expenditures 15-22'!E45</f>
        <v>162</v>
      </c>
      <c r="D845" s="2" t="str">
        <f t="shared" si="12"/>
        <v>Error?</v>
      </c>
    </row>
    <row r="846" spans="1:4" x14ac:dyDescent="0.2">
      <c r="A846" s="5">
        <v>785</v>
      </c>
      <c r="B846" s="1832">
        <f>'Expenditures 15-22'!E46</f>
        <v>18295</v>
      </c>
      <c r="D846" s="2" t="str">
        <f t="shared" si="12"/>
        <v>Error?</v>
      </c>
    </row>
    <row r="847" spans="1:4" x14ac:dyDescent="0.2">
      <c r="A847" s="5">
        <v>786</v>
      </c>
      <c r="B847" s="1832">
        <f>'Expenditures 15-22'!E47</f>
        <v>42769</v>
      </c>
      <c r="C847" s="2" t="s">
        <v>569</v>
      </c>
      <c r="D847" s="2" t="str">
        <f t="shared" si="12"/>
        <v>Error?</v>
      </c>
    </row>
    <row r="848" spans="1:4" x14ac:dyDescent="0.2">
      <c r="A848" s="5">
        <v>787</v>
      </c>
      <c r="B848" s="1832">
        <f>'Expenditures 15-22'!E49</f>
        <v>104260</v>
      </c>
      <c r="D848" s="2" t="str">
        <f t="shared" si="12"/>
        <v>Error?</v>
      </c>
    </row>
    <row r="849" spans="1:4" x14ac:dyDescent="0.2">
      <c r="A849" s="5">
        <v>788</v>
      </c>
      <c r="B849" s="1832">
        <f>'Expenditures 15-22'!E50</f>
        <v>24738</v>
      </c>
      <c r="D849" s="2" t="str">
        <f t="shared" si="12"/>
        <v>Error?</v>
      </c>
    </row>
    <row r="850" spans="1:4" x14ac:dyDescent="0.2">
      <c r="A850" s="5">
        <v>789</v>
      </c>
      <c r="B850" s="1832">
        <f>'Expenditures 15-22'!E53</f>
        <v>129073</v>
      </c>
      <c r="C850" s="2" t="s">
        <v>569</v>
      </c>
      <c r="D850" s="2" t="str">
        <f t="shared" si="12"/>
        <v>Error?</v>
      </c>
    </row>
    <row r="851" spans="1:4" x14ac:dyDescent="0.2">
      <c r="A851" s="5">
        <v>790</v>
      </c>
      <c r="B851" s="1832">
        <f>'Expenditures 15-22'!E55</f>
        <v>17230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17230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14343</v>
      </c>
      <c r="D856" s="2" t="str">
        <f t="shared" si="12"/>
        <v>Error?</v>
      </c>
    </row>
    <row r="857" spans="1:4" x14ac:dyDescent="0.2">
      <c r="A857" s="5">
        <v>796</v>
      </c>
      <c r="B857" s="1832">
        <f>'Expenditures 15-22'!E62</f>
        <v>135</v>
      </c>
      <c r="D857" s="2" t="str">
        <f t="shared" si="12"/>
        <v>Error?</v>
      </c>
    </row>
    <row r="858" spans="1:4" x14ac:dyDescent="0.2">
      <c r="A858" s="5">
        <v>797</v>
      </c>
      <c r="B858" s="1832">
        <f>'Expenditures 15-22'!E63</f>
        <v>14010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28488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217836</v>
      </c>
      <c r="C871" s="2" t="s">
        <v>569</v>
      </c>
      <c r="D871" s="2" t="str">
        <f t="shared" si="12"/>
        <v>Error?</v>
      </c>
    </row>
    <row r="872" spans="1:4" x14ac:dyDescent="0.2">
      <c r="A872" s="5">
        <v>811</v>
      </c>
      <c r="B872" s="1832">
        <f>'Expenditures 15-22'!E75</f>
        <v>27824</v>
      </c>
      <c r="D872" s="2" t="str">
        <f t="shared" si="12"/>
        <v>Error?</v>
      </c>
    </row>
    <row r="873" spans="1:4" x14ac:dyDescent="0.2">
      <c r="A873" s="5">
        <v>812</v>
      </c>
      <c r="B873" s="1832">
        <f>'Expenditures 15-22'!E114</f>
        <v>421926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345765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5005</v>
      </c>
      <c r="D891" s="2" t="str">
        <f t="shared" si="12"/>
        <v>Error?</v>
      </c>
    </row>
    <row r="892" spans="1:4" x14ac:dyDescent="0.2">
      <c r="A892" s="5">
        <v>831</v>
      </c>
      <c r="B892" s="1832">
        <f>'Expenditures 15-22'!F14</f>
        <v>41846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411441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5509</v>
      </c>
      <c r="D896" s="2" t="str">
        <f t="shared" si="13"/>
        <v>Error?</v>
      </c>
    </row>
    <row r="897" spans="1:4" x14ac:dyDescent="0.2">
      <c r="A897" s="5">
        <v>836</v>
      </c>
      <c r="B897" s="1832">
        <f>'Expenditures 15-22'!F38</f>
        <v>5027</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10536</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11523</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11523</v>
      </c>
      <c r="C905" s="2" t="s">
        <v>569</v>
      </c>
      <c r="D905" s="2" t="str">
        <f t="shared" si="13"/>
        <v>Error?</v>
      </c>
    </row>
    <row r="906" spans="1:4" x14ac:dyDescent="0.2">
      <c r="A906" s="5">
        <v>845</v>
      </c>
      <c r="B906" s="1832">
        <f>'Expenditures 15-22'!F49</f>
        <v>2452</v>
      </c>
      <c r="D906" s="2" t="str">
        <f t="shared" si="13"/>
        <v>Error?</v>
      </c>
    </row>
    <row r="907" spans="1:4" x14ac:dyDescent="0.2">
      <c r="A907" s="5">
        <v>846</v>
      </c>
      <c r="B907" s="1832">
        <f>'Expenditures 15-22'!F50</f>
        <v>10435</v>
      </c>
      <c r="D907" s="2" t="str">
        <f t="shared" si="13"/>
        <v>Error?</v>
      </c>
    </row>
    <row r="908" spans="1:4" x14ac:dyDescent="0.2">
      <c r="A908" s="5">
        <v>847</v>
      </c>
      <c r="B908" s="1832">
        <f>'Expenditures 15-22'!F53</f>
        <v>13118</v>
      </c>
      <c r="C908" s="2" t="s">
        <v>569</v>
      </c>
      <c r="D908" s="2" t="str">
        <f t="shared" si="13"/>
        <v>Error?</v>
      </c>
    </row>
    <row r="909" spans="1:4" x14ac:dyDescent="0.2">
      <c r="A909" s="5">
        <v>848</v>
      </c>
      <c r="B909" s="1832">
        <f>'Expenditures 15-22'!F55</f>
        <v>11054</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11054</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359778</v>
      </c>
      <c r="D914" s="2" t="str">
        <f t="shared" si="13"/>
        <v>Error?</v>
      </c>
    </row>
    <row r="915" spans="1:4" x14ac:dyDescent="0.2">
      <c r="A915" s="5">
        <v>854</v>
      </c>
      <c r="B915" s="1832">
        <f>'Expenditures 15-22'!F62</f>
        <v>546</v>
      </c>
      <c r="D915" s="2" t="str">
        <f t="shared" si="13"/>
        <v>Error?</v>
      </c>
    </row>
    <row r="916" spans="1:4" x14ac:dyDescent="0.2">
      <c r="A916" s="5">
        <v>855</v>
      </c>
      <c r="B916" s="1832">
        <f>'Expenditures 15-22'!F63</f>
        <v>513631</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873955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920186</v>
      </c>
      <c r="C929" s="2" t="s">
        <v>569</v>
      </c>
      <c r="D929" s="2" t="str">
        <f t="shared" si="13"/>
        <v>Error?</v>
      </c>
    </row>
    <row r="930" spans="1:4" x14ac:dyDescent="0.2">
      <c r="A930" s="5">
        <v>869</v>
      </c>
      <c r="B930" s="1832">
        <f>'Expenditures 15-22'!F75</f>
        <v>1632</v>
      </c>
      <c r="D930" s="2" t="str">
        <f t="shared" si="13"/>
        <v>Error?</v>
      </c>
    </row>
    <row r="931" spans="1:4" x14ac:dyDescent="0.2">
      <c r="A931" s="5">
        <v>870</v>
      </c>
      <c r="B931" s="1832">
        <f>'Expenditures 15-22'!F114</f>
        <v>1333259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48756</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3656</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52412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1764</v>
      </c>
      <c r="D965" s="2" t="str">
        <f t="shared" si="14"/>
        <v>Error?</v>
      </c>
    </row>
    <row r="966" spans="1:4" x14ac:dyDescent="0.2">
      <c r="A966" s="5">
        <v>905</v>
      </c>
      <c r="B966" s="1832">
        <f>'Expenditures 15-22'!G53</f>
        <v>2317</v>
      </c>
      <c r="C966" s="2" t="s">
        <v>569</v>
      </c>
      <c r="D966" s="2" t="str">
        <f t="shared" si="14"/>
        <v>Error?</v>
      </c>
    </row>
    <row r="967" spans="1:4" x14ac:dyDescent="0.2">
      <c r="A967" s="5">
        <v>906</v>
      </c>
      <c r="B967" s="1832">
        <f>'Expenditures 15-22'!G55</f>
        <v>4424</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4424</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1251941</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39502</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1291443</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1298184</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1350596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9909</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12671</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22601</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525</v>
      </c>
      <c r="D1012" s="2" t="str">
        <f t="shared" si="14"/>
        <v>Error?</v>
      </c>
    </row>
    <row r="1013" spans="1:4" x14ac:dyDescent="0.2">
      <c r="A1013" s="5">
        <v>952</v>
      </c>
      <c r="B1013" s="1832">
        <f>'Expenditures 15-22'!H38</f>
        <v>426</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1500</v>
      </c>
      <c r="D1016" s="2" t="str">
        <f t="shared" si="14"/>
        <v>Error?</v>
      </c>
    </row>
    <row r="1017" spans="1:4" x14ac:dyDescent="0.2">
      <c r="A1017" s="5">
        <v>956</v>
      </c>
      <c r="B1017" s="1832">
        <f>'Expenditures 15-22'!H42</f>
        <v>2451</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8617</v>
      </c>
      <c r="D1022" s="2" t="str">
        <f t="shared" si="14"/>
        <v>Error?</v>
      </c>
    </row>
    <row r="1023" spans="1:4" x14ac:dyDescent="0.2">
      <c r="A1023" s="5">
        <v>962</v>
      </c>
      <c r="B1023" s="1832">
        <f>'Expenditures 15-22'!H50</f>
        <v>8945</v>
      </c>
      <c r="D1023" s="2" t="str">
        <f t="shared" ref="D1023:D1086" si="15">IF(ISBLANK(B1023),"OK",IF(A1023-B1023=0,"OK","Error?"))</f>
        <v>Error?</v>
      </c>
    </row>
    <row r="1024" spans="1:4" x14ac:dyDescent="0.2">
      <c r="A1024" s="5">
        <v>963</v>
      </c>
      <c r="B1024" s="1832">
        <f>'Expenditures 15-22'!H53</f>
        <v>17562</v>
      </c>
      <c r="C1024" s="2" t="s">
        <v>569</v>
      </c>
      <c r="D1024" s="2" t="str">
        <f t="shared" si="15"/>
        <v>Error?</v>
      </c>
    </row>
    <row r="1025" spans="1:4" x14ac:dyDescent="0.2">
      <c r="A1025" s="5">
        <v>964</v>
      </c>
      <c r="B1025" s="1832">
        <f>'Expenditures 15-22'!H55</f>
        <v>5295</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5295</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561</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561</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25869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1773805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1833080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1996</v>
      </c>
      <c r="E1056" s="4" t="s">
        <v>1995</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7812970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301206</v>
      </c>
      <c r="C1105" s="2" t="s">
        <v>569</v>
      </c>
      <c r="D1105" s="2" t="str">
        <f t="shared" si="16"/>
        <v>Error?</v>
      </c>
    </row>
    <row r="1106" spans="1:4" x14ac:dyDescent="0.2">
      <c r="A1106" s="5">
        <v>1045</v>
      </c>
      <c r="B1106" s="1832">
        <f>'Expenditures 15-22'!K14</f>
        <v>336710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9237150</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590261</v>
      </c>
      <c r="C1110" s="2" t="s">
        <v>569</v>
      </c>
      <c r="D1110" s="2" t="str">
        <f t="shared" si="16"/>
        <v>Error?</v>
      </c>
    </row>
    <row r="1111" spans="1:4" x14ac:dyDescent="0.2">
      <c r="A1111" s="5">
        <v>1050</v>
      </c>
      <c r="B1111" s="1832">
        <f>'Expenditures 15-22'!K38</f>
        <v>185003</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1500</v>
      </c>
      <c r="C1114" s="2" t="s">
        <v>569</v>
      </c>
      <c r="D1114" s="2" t="str">
        <f t="shared" si="16"/>
        <v>Error?</v>
      </c>
    </row>
    <row r="1115" spans="1:4" x14ac:dyDescent="0.2">
      <c r="A1115" s="5">
        <v>1054</v>
      </c>
      <c r="B1115" s="1832">
        <f>'Expenditures 15-22'!K42</f>
        <v>776764</v>
      </c>
      <c r="C1115" s="2" t="s">
        <v>569</v>
      </c>
      <c r="D1115" s="2" t="str">
        <f t="shared" si="16"/>
        <v>Error?</v>
      </c>
    </row>
    <row r="1116" spans="1:4" x14ac:dyDescent="0.2">
      <c r="A1116" s="5">
        <v>1055</v>
      </c>
      <c r="B1116" s="1832">
        <f>'Expenditures 15-22'!K44</f>
        <v>24312</v>
      </c>
      <c r="C1116" s="2" t="s">
        <v>569</v>
      </c>
      <c r="D1116" s="2" t="str">
        <f t="shared" si="16"/>
        <v>Error?</v>
      </c>
    </row>
    <row r="1117" spans="1:4" x14ac:dyDescent="0.2">
      <c r="A1117" s="5">
        <v>1056</v>
      </c>
      <c r="B1117" s="1832">
        <f>'Expenditures 15-22'!K45</f>
        <v>146880</v>
      </c>
      <c r="C1117" s="2" t="s">
        <v>569</v>
      </c>
      <c r="D1117" s="2" t="str">
        <f t="shared" si="16"/>
        <v>Error?</v>
      </c>
    </row>
    <row r="1118" spans="1:4" x14ac:dyDescent="0.2">
      <c r="A1118" s="5">
        <v>1057</v>
      </c>
      <c r="B1118" s="1832">
        <f>'Expenditures 15-22'!K46</f>
        <v>18295</v>
      </c>
      <c r="C1118" s="2" t="s">
        <v>569</v>
      </c>
      <c r="D1118" s="2" t="str">
        <f t="shared" si="16"/>
        <v>Error?</v>
      </c>
    </row>
    <row r="1119" spans="1:4" x14ac:dyDescent="0.2">
      <c r="A1119" s="5">
        <v>1058</v>
      </c>
      <c r="B1119" s="1832">
        <f>'Expenditures 15-22'!K47</f>
        <v>189487</v>
      </c>
      <c r="C1119" s="2" t="s">
        <v>569</v>
      </c>
      <c r="D1119" s="2" t="str">
        <f t="shared" si="16"/>
        <v>Error?</v>
      </c>
    </row>
    <row r="1120" spans="1:4" x14ac:dyDescent="0.2">
      <c r="A1120" s="5">
        <v>1059</v>
      </c>
      <c r="B1120" s="1832">
        <f>'Expenditures 15-22'!K49</f>
        <v>156612</v>
      </c>
      <c r="C1120" s="2" t="s">
        <v>569</v>
      </c>
      <c r="D1120" s="2" t="str">
        <f t="shared" si="16"/>
        <v>Error?</v>
      </c>
    </row>
    <row r="1121" spans="1:4" x14ac:dyDescent="0.2">
      <c r="A1121" s="5">
        <v>1060</v>
      </c>
      <c r="B1121" s="1832">
        <f>'Expenditures 15-22'!K50</f>
        <v>311865</v>
      </c>
      <c r="C1121" s="2" t="s">
        <v>569</v>
      </c>
      <c r="D1121" s="2" t="str">
        <f t="shared" si="16"/>
        <v>Error?</v>
      </c>
    </row>
    <row r="1122" spans="1:4" x14ac:dyDescent="0.2">
      <c r="A1122" s="5">
        <v>1061</v>
      </c>
      <c r="B1122" s="1832">
        <f>'Expenditures 15-22'!K53</f>
        <v>613539</v>
      </c>
      <c r="C1122" s="2" t="s">
        <v>569</v>
      </c>
      <c r="D1122" s="2" t="str">
        <f t="shared" si="16"/>
        <v>Error?</v>
      </c>
    </row>
    <row r="1123" spans="1:4" x14ac:dyDescent="0.2">
      <c r="A1123" s="5">
        <v>1062</v>
      </c>
      <c r="B1123" s="1832">
        <f>'Expenditures 15-22'!K55</f>
        <v>1247064</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1247064</v>
      </c>
      <c r="C1125" s="2" t="s">
        <v>569</v>
      </c>
      <c r="D1125" s="2" t="str">
        <f t="shared" si="16"/>
        <v>Error?</v>
      </c>
    </row>
    <row r="1126" spans="1:4" x14ac:dyDescent="0.2">
      <c r="A1126" s="5">
        <v>1065</v>
      </c>
      <c r="B1126" s="1832">
        <f>'Expenditures 15-22'!K59</f>
        <v>80257</v>
      </c>
      <c r="C1126" s="2" t="s">
        <v>569</v>
      </c>
      <c r="D1126" s="2" t="str">
        <f t="shared" si="16"/>
        <v>Error?</v>
      </c>
    </row>
    <row r="1127" spans="1:4" x14ac:dyDescent="0.2">
      <c r="A1127" s="5">
        <v>1066</v>
      </c>
      <c r="B1127" s="1832">
        <f>'Expenditures 15-22'!K60</f>
        <v>1308884</v>
      </c>
      <c r="C1127" s="2" t="s">
        <v>569</v>
      </c>
      <c r="D1127" s="2" t="str">
        <f t="shared" si="16"/>
        <v>Error?</v>
      </c>
    </row>
    <row r="1128" spans="1:4" x14ac:dyDescent="0.2">
      <c r="A1128" s="5">
        <v>1067</v>
      </c>
      <c r="B1128" s="1832">
        <f>'Expenditures 15-22'!K61</f>
        <v>374121</v>
      </c>
      <c r="C1128" s="2" t="s">
        <v>569</v>
      </c>
      <c r="D1128" s="2" t="str">
        <f t="shared" si="16"/>
        <v>Error?</v>
      </c>
    </row>
    <row r="1129" spans="1:4" x14ac:dyDescent="0.2">
      <c r="A1129" s="5">
        <v>1068</v>
      </c>
      <c r="B1129" s="1832">
        <f>'Expenditures 15-22'!K62</f>
        <v>681</v>
      </c>
      <c r="C1129" s="2" t="s">
        <v>569</v>
      </c>
      <c r="D1129" s="2" t="str">
        <f t="shared" si="16"/>
        <v>Error?</v>
      </c>
    </row>
    <row r="1130" spans="1:4" x14ac:dyDescent="0.2">
      <c r="A1130" s="5">
        <v>1069</v>
      </c>
      <c r="B1130" s="1832">
        <f>'Expenditures 15-22'!K63</f>
        <v>992709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2756652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5583506</v>
      </c>
      <c r="C1143" s="2" t="s">
        <v>569</v>
      </c>
      <c r="D1143" s="2" t="str">
        <f t="shared" si="16"/>
        <v>Error?</v>
      </c>
    </row>
    <row r="1144" spans="1:4" x14ac:dyDescent="0.2">
      <c r="A1144" s="5">
        <v>1083</v>
      </c>
      <c r="B1144" s="1832">
        <f>'Expenditures 15-22'!K75</f>
        <v>29456</v>
      </c>
      <c r="C1144" s="2" t="s">
        <v>569</v>
      </c>
      <c r="D1144" s="2" t="str">
        <f t="shared" si="16"/>
        <v>Error?</v>
      </c>
    </row>
    <row r="1145" spans="1:4" x14ac:dyDescent="0.2">
      <c r="A1145" s="5">
        <v>1084</v>
      </c>
      <c r="B1145" s="1832">
        <f>'Expenditures 15-22'!K102</f>
        <v>1773805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16634722</v>
      </c>
      <c r="C1152" s="2" t="s">
        <v>569</v>
      </c>
      <c r="D1152" s="2" t="str">
        <f t="shared" si="17"/>
        <v>Error?</v>
      </c>
    </row>
    <row r="1153" spans="1:4" x14ac:dyDescent="0.2">
      <c r="A1153" s="5">
        <v>1092</v>
      </c>
      <c r="B1153" s="1832">
        <f>'Expenditures 15-22'!K115</f>
        <v>-839343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609355</v>
      </c>
      <c r="D1221" s="2" t="str">
        <f t="shared" si="18"/>
        <v>Error?</v>
      </c>
    </row>
    <row r="1222" spans="1:4" x14ac:dyDescent="0.2">
      <c r="A1222" s="10">
        <v>1161</v>
      </c>
      <c r="B1222" s="1832"/>
      <c r="D1222" s="2" t="str">
        <f t="shared" si="18"/>
        <v>OK</v>
      </c>
    </row>
    <row r="1223" spans="1:4" x14ac:dyDescent="0.2">
      <c r="A1223" s="5">
        <v>1162</v>
      </c>
      <c r="B1223" s="1832">
        <f>'Expenditures 15-22'!C127</f>
        <v>609355</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609355</v>
      </c>
      <c r="C1225" s="2" t="s">
        <v>569</v>
      </c>
      <c r="D1225" s="2" t="str">
        <f t="shared" si="18"/>
        <v>Error?</v>
      </c>
    </row>
    <row r="1226" spans="1:4" x14ac:dyDescent="0.2">
      <c r="A1226" s="5">
        <v>1165</v>
      </c>
      <c r="B1226" s="1832">
        <f>'Expenditures 15-22'!C151</f>
        <v>609355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190940</v>
      </c>
      <c r="D1229" s="2" t="str">
        <f t="shared" si="18"/>
        <v>Error?</v>
      </c>
    </row>
    <row r="1230" spans="1:4" x14ac:dyDescent="0.2">
      <c r="A1230" s="10">
        <v>1169</v>
      </c>
      <c r="B1230" s="1832"/>
      <c r="D1230" s="2" t="str">
        <f t="shared" si="18"/>
        <v>OK</v>
      </c>
    </row>
    <row r="1231" spans="1:4" x14ac:dyDescent="0.2">
      <c r="A1231" s="5">
        <v>1170</v>
      </c>
      <c r="B1231" s="1832">
        <f>'Expenditures 15-22'!D127</f>
        <v>190940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190940</v>
      </c>
      <c r="C1233" s="2" t="s">
        <v>569</v>
      </c>
      <c r="D1233" s="2" t="str">
        <f t="shared" si="18"/>
        <v>Error?</v>
      </c>
    </row>
    <row r="1234" spans="1:4" x14ac:dyDescent="0.2">
      <c r="A1234" s="5">
        <v>1173</v>
      </c>
      <c r="B1234" s="1832">
        <f>'Expenditures 15-22'!D151</f>
        <v>190940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67735</v>
      </c>
      <c r="D1236" s="2" t="str">
        <f t="shared" si="18"/>
        <v>Error?</v>
      </c>
    </row>
    <row r="1237" spans="1:4" x14ac:dyDescent="0.2">
      <c r="A1237" s="5">
        <v>1176</v>
      </c>
      <c r="B1237" s="1832">
        <f>'Expenditures 15-22'!E124</f>
        <v>399953</v>
      </c>
      <c r="D1237" s="2" t="str">
        <f t="shared" si="18"/>
        <v>Error?</v>
      </c>
    </row>
    <row r="1238" spans="1:4" x14ac:dyDescent="0.2">
      <c r="A1238" s="10">
        <v>1177</v>
      </c>
      <c r="B1238" s="1832"/>
      <c r="D1238" s="2" t="str">
        <f t="shared" si="18"/>
        <v>OK</v>
      </c>
    </row>
    <row r="1239" spans="1:4" x14ac:dyDescent="0.2">
      <c r="A1239" s="5">
        <v>1178</v>
      </c>
      <c r="B1239" s="1832">
        <f>'Expenditures 15-22'!E127</f>
        <v>467688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467688</v>
      </c>
      <c r="C1241" s="2" t="s">
        <v>569</v>
      </c>
      <c r="D1241" s="2" t="str">
        <f t="shared" si="18"/>
        <v>Error?</v>
      </c>
    </row>
    <row r="1242" spans="1:4" x14ac:dyDescent="0.2">
      <c r="A1242" s="5">
        <v>1181</v>
      </c>
      <c r="B1242" s="1832">
        <f>'Expenditures 15-22'!E151</f>
        <v>467688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137934</v>
      </c>
      <c r="D1245" s="2" t="str">
        <f t="shared" si="18"/>
        <v>Error?</v>
      </c>
    </row>
    <row r="1246" spans="1:4" x14ac:dyDescent="0.2">
      <c r="A1246" s="10">
        <v>1185</v>
      </c>
      <c r="B1246" s="1832"/>
      <c r="D1246" s="2" t="str">
        <f t="shared" si="18"/>
        <v>OK</v>
      </c>
    </row>
    <row r="1247" spans="1:4" x14ac:dyDescent="0.2">
      <c r="A1247" s="5">
        <v>1186</v>
      </c>
      <c r="B1247" s="1832">
        <f>'Expenditures 15-22'!F127</f>
        <v>137934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137934</v>
      </c>
      <c r="C1249" s="2" t="s">
        <v>569</v>
      </c>
      <c r="D1249" s="2" t="str">
        <f t="shared" si="18"/>
        <v>Error?</v>
      </c>
    </row>
    <row r="1250" spans="1:4" x14ac:dyDescent="0.2">
      <c r="A1250" s="5">
        <v>1189</v>
      </c>
      <c r="B1250" s="1832">
        <f>'Expenditures 15-22'!F151</f>
        <v>137934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596866</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596866</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596866</v>
      </c>
      <c r="C1258" s="2" t="s">
        <v>569</v>
      </c>
      <c r="D1258" s="2" t="str">
        <f t="shared" si="18"/>
        <v>Error?</v>
      </c>
    </row>
    <row r="1259" spans="1:4" x14ac:dyDescent="0.2">
      <c r="A1259" s="5">
        <v>1198</v>
      </c>
      <c r="B1259" s="1832">
        <f>'Expenditures 15-22'!G151</f>
        <v>596866</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1539</v>
      </c>
      <c r="D1262" s="2" t="str">
        <f t="shared" si="18"/>
        <v>Error?</v>
      </c>
    </row>
    <row r="1263" spans="1:4" x14ac:dyDescent="0.2">
      <c r="A1263" s="10">
        <v>1202</v>
      </c>
      <c r="B1263" s="1832"/>
      <c r="D1263" s="2" t="str">
        <f t="shared" si="18"/>
        <v>OK</v>
      </c>
    </row>
    <row r="1264" spans="1:4" x14ac:dyDescent="0.2">
      <c r="A1264" s="5">
        <v>1203</v>
      </c>
      <c r="B1264" s="1832">
        <f>'Expenditures 15-22'!H127</f>
        <v>1539</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1539</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1539</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67735</v>
      </c>
      <c r="C1275" s="2" t="s">
        <v>569</v>
      </c>
      <c r="D1275" s="2" t="str">
        <f t="shared" si="18"/>
        <v>Error?</v>
      </c>
    </row>
    <row r="1276" spans="1:4" x14ac:dyDescent="0.2">
      <c r="A1276" s="5">
        <v>1215</v>
      </c>
      <c r="B1276" s="1832">
        <f>'Expenditures 15-22'!K124</f>
        <v>1936587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2004322</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2004322</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2004322</v>
      </c>
      <c r="C1288" s="2" t="s">
        <v>569</v>
      </c>
      <c r="D1288" s="2" t="str">
        <f t="shared" si="19"/>
        <v>Error?</v>
      </c>
    </row>
    <row r="1289" spans="1:4" x14ac:dyDescent="0.2">
      <c r="A1289" s="5">
        <v>1228</v>
      </c>
      <c r="B1289" s="1832">
        <f>'Expenditures 15-22'!K152</f>
        <v>-471455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1478473</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975000</v>
      </c>
      <c r="D1315" s="2" t="str">
        <f t="shared" si="19"/>
        <v>Error?</v>
      </c>
    </row>
    <row r="1316" spans="1:4" x14ac:dyDescent="0.2">
      <c r="A1316" s="5">
        <v>1255</v>
      </c>
      <c r="B1316" s="1832">
        <f>'Expenditures 15-22'!H171</f>
        <v>4749</v>
      </c>
      <c r="D1316" s="2" t="str">
        <f t="shared" si="19"/>
        <v>Error?</v>
      </c>
    </row>
    <row r="1317" spans="1:4" x14ac:dyDescent="0.2">
      <c r="A1317" s="5">
        <v>1256</v>
      </c>
      <c r="B1317" s="1832">
        <f>'Expenditures 15-22'!H172</f>
        <v>2458222</v>
      </c>
      <c r="C1317" s="2" t="s">
        <v>569</v>
      </c>
      <c r="D1317" s="2" t="str">
        <f t="shared" si="19"/>
        <v>Error?</v>
      </c>
    </row>
    <row r="1318" spans="1:4" x14ac:dyDescent="0.2">
      <c r="A1318" s="5">
        <v>1257</v>
      </c>
      <c r="B1318" s="1832">
        <f>'Expenditures 15-22'!H174</f>
        <v>2458222</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1478473</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975000</v>
      </c>
      <c r="C1329" s="2" t="s">
        <v>569</v>
      </c>
      <c r="D1329" s="2" t="str">
        <f t="shared" si="19"/>
        <v>Error?</v>
      </c>
    </row>
    <row r="1330" spans="1:4" x14ac:dyDescent="0.2">
      <c r="A1330" s="5">
        <v>1269</v>
      </c>
      <c r="B1330" s="1832">
        <f>'Expenditures 15-22'!K171</f>
        <v>4749</v>
      </c>
      <c r="C1330" s="2" t="s">
        <v>569</v>
      </c>
      <c r="D1330" s="2" t="str">
        <f t="shared" si="19"/>
        <v>Error?</v>
      </c>
    </row>
    <row r="1331" spans="1:4" x14ac:dyDescent="0.2">
      <c r="A1331" s="5">
        <v>1270</v>
      </c>
      <c r="B1331" s="1832">
        <f>'Expenditures 15-22'!K172</f>
        <v>2458222</v>
      </c>
      <c r="C1331" s="2" t="s">
        <v>569</v>
      </c>
      <c r="D1331" s="2" t="str">
        <f t="shared" si="19"/>
        <v>Error?</v>
      </c>
    </row>
    <row r="1332" spans="1:4" x14ac:dyDescent="0.2">
      <c r="A1332" s="5">
        <v>1271</v>
      </c>
      <c r="B1332" s="1832">
        <f>'Expenditures 15-22'!K174</f>
        <v>2458222</v>
      </c>
      <c r="C1332" s="2" t="s">
        <v>569</v>
      </c>
      <c r="D1332" s="2" t="str">
        <f t="shared" si="19"/>
        <v>Error?</v>
      </c>
    </row>
    <row r="1333" spans="1:4" x14ac:dyDescent="0.2">
      <c r="A1333" s="5">
        <v>1272</v>
      </c>
      <c r="B1333" s="1832">
        <f>'Expenditures 15-22'!K175</f>
        <v>-1301737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273834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273834</v>
      </c>
      <c r="C1339" s="2" t="s">
        <v>569</v>
      </c>
      <c r="D1339" s="2" t="str">
        <f t="shared" si="19"/>
        <v>Error?</v>
      </c>
    </row>
    <row r="1340" spans="1:4" x14ac:dyDescent="0.2">
      <c r="A1340" s="5">
        <v>1279</v>
      </c>
      <c r="B1340" s="1832">
        <f>'Expenditures 15-22'!C210</f>
        <v>273834</v>
      </c>
      <c r="C1340" s="2" t="s">
        <v>569</v>
      </c>
      <c r="D1340" s="2" t="str">
        <f t="shared" si="19"/>
        <v>Error?</v>
      </c>
    </row>
    <row r="1341" spans="1:4" x14ac:dyDescent="0.2">
      <c r="A1341" s="5">
        <v>1280</v>
      </c>
      <c r="B1341" s="1832">
        <f>'Expenditures 15-22'!D182</f>
        <v>10687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10687</v>
      </c>
      <c r="C1345" s="2" t="s">
        <v>569</v>
      </c>
      <c r="D1345" s="2" t="str">
        <f t="shared" si="20"/>
        <v>Error?</v>
      </c>
    </row>
    <row r="1346" spans="1:4" x14ac:dyDescent="0.2">
      <c r="A1346" s="5">
        <v>1285</v>
      </c>
      <c r="B1346" s="1832">
        <f>'Expenditures 15-22'!D210</f>
        <v>10687</v>
      </c>
      <c r="C1346" s="2" t="s">
        <v>569</v>
      </c>
      <c r="D1346" s="2" t="str">
        <f t="shared" si="20"/>
        <v>Error?</v>
      </c>
    </row>
    <row r="1347" spans="1:4" x14ac:dyDescent="0.2">
      <c r="A1347" s="5">
        <v>1286</v>
      </c>
      <c r="B1347" s="1832">
        <f>'Expenditures 15-22'!E182</f>
        <v>76461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76461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76461</v>
      </c>
      <c r="C1353" s="2" t="s">
        <v>569</v>
      </c>
      <c r="D1353" s="2" t="str">
        <f t="shared" si="20"/>
        <v>Error?</v>
      </c>
    </row>
    <row r="1354" spans="1:4" x14ac:dyDescent="0.2">
      <c r="A1354" s="5">
        <v>1293</v>
      </c>
      <c r="B1354" s="1832">
        <f>'Expenditures 15-22'!F182</f>
        <v>49803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49803</v>
      </c>
      <c r="C1358" s="2" t="s">
        <v>569</v>
      </c>
      <c r="D1358" s="2" t="str">
        <f t="shared" si="20"/>
        <v>Error?</v>
      </c>
    </row>
    <row r="1359" spans="1:4" x14ac:dyDescent="0.2">
      <c r="A1359" s="5">
        <v>1298</v>
      </c>
      <c r="B1359" s="1832">
        <f>'Expenditures 15-22'!F210</f>
        <v>49803</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1398</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1398</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192741</v>
      </c>
      <c r="C1375" s="2" t="s">
        <v>569</v>
      </c>
      <c r="D1375" s="2" t="str">
        <f t="shared" si="20"/>
        <v>Error?</v>
      </c>
    </row>
    <row r="1376" spans="1:4" x14ac:dyDescent="0.2">
      <c r="A1376" s="5">
        <v>1315</v>
      </c>
      <c r="B1376" s="1832">
        <f>'Expenditures 15-22'!H210</f>
        <v>292980</v>
      </c>
      <c r="C1376" s="2" t="s">
        <v>569</v>
      </c>
      <c r="D1376" s="2" t="str">
        <f t="shared" si="20"/>
        <v>Error?</v>
      </c>
    </row>
    <row r="1377" spans="1:4" x14ac:dyDescent="0.2">
      <c r="A1377" s="5">
        <v>1316</v>
      </c>
      <c r="B1377" s="1832">
        <f>'Expenditures 15-22'!K182</f>
        <v>412183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412183</v>
      </c>
      <c r="C1381" s="2" t="s">
        <v>569</v>
      </c>
      <c r="D1381" s="2" t="str">
        <f t="shared" si="20"/>
        <v>Error?</v>
      </c>
    </row>
    <row r="1382" spans="1:4" x14ac:dyDescent="0.2">
      <c r="A1382" s="5">
        <v>1321</v>
      </c>
      <c r="B1382" s="1832">
        <f>'Expenditures 15-22'!K196</f>
        <v>98841</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192741</v>
      </c>
      <c r="C1387" s="2" t="s">
        <v>569</v>
      </c>
      <c r="D1387" s="2" t="str">
        <f t="shared" si="20"/>
        <v>Error?</v>
      </c>
    </row>
    <row r="1388" spans="1:4" x14ac:dyDescent="0.2">
      <c r="A1388" s="5">
        <v>1327</v>
      </c>
      <c r="B1388" s="1832">
        <f>'Expenditures 15-22'!K210</f>
        <v>703765</v>
      </c>
      <c r="C1388" s="2" t="s">
        <v>569</v>
      </c>
      <c r="D1388" s="2" t="str">
        <f t="shared" si="20"/>
        <v>Error?</v>
      </c>
    </row>
    <row r="1389" spans="1:4" x14ac:dyDescent="0.2">
      <c r="A1389" s="5">
        <v>1328</v>
      </c>
      <c r="B1389" s="1832">
        <f>'Expenditures 15-22'!K211</f>
        <v>183792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2715</v>
      </c>
      <c r="D1407" s="2" t="str">
        <f t="shared" ref="D1407:D1470" si="21">IF(ISBLANK(B1407),"OK",IF(A1407-B1407=0,"OK","Error?"))</f>
        <v>Error?</v>
      </c>
    </row>
    <row r="1408" spans="1:4" x14ac:dyDescent="0.2">
      <c r="A1408" s="5">
        <v>1347</v>
      </c>
      <c r="B1408" s="1832">
        <f>'Expenditures 15-22'!D223</f>
        <v>7192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142787</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6333</v>
      </c>
      <c r="D1412" s="2" t="str">
        <f t="shared" si="21"/>
        <v>Error?</v>
      </c>
    </row>
    <row r="1413" spans="1:4" x14ac:dyDescent="0.2">
      <c r="A1413" s="5">
        <v>1352</v>
      </c>
      <c r="B1413" s="1832">
        <f>'Expenditures 15-22'!D234</f>
        <v>14518</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20851</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15240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15240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13260</v>
      </c>
      <c r="D1423" s="2" t="str">
        <f t="shared" si="21"/>
        <v>Error?</v>
      </c>
    </row>
    <row r="1424" spans="1:4" x14ac:dyDescent="0.2">
      <c r="A1424" s="5">
        <v>1363</v>
      </c>
      <c r="B1424" s="1832">
        <f>'Expenditures 15-22'!D257</f>
        <v>13271</v>
      </c>
      <c r="C1424" s="2" t="s">
        <v>569</v>
      </c>
      <c r="D1424" s="2" t="str">
        <f t="shared" si="21"/>
        <v>Error?</v>
      </c>
    </row>
    <row r="1425" spans="1:4" x14ac:dyDescent="0.2">
      <c r="A1425" s="5">
        <v>1364</v>
      </c>
      <c r="B1425" s="1832">
        <f>'Expenditures 15-22'!D259</f>
        <v>49607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49607</v>
      </c>
      <c r="C1427" s="2" t="s">
        <v>569</v>
      </c>
      <c r="D1427" s="2" t="str">
        <f t="shared" si="21"/>
        <v>Error?</v>
      </c>
    </row>
    <row r="1428" spans="1:4" x14ac:dyDescent="0.2">
      <c r="A1428" s="5">
        <v>1367</v>
      </c>
      <c r="B1428" s="1832">
        <f>'Expenditures 15-22'!D263</f>
        <v>11373</v>
      </c>
      <c r="D1428" s="2" t="str">
        <f t="shared" si="21"/>
        <v>Error?</v>
      </c>
    </row>
    <row r="1429" spans="1:4" x14ac:dyDescent="0.2">
      <c r="A1429" s="5">
        <v>1368</v>
      </c>
      <c r="B1429" s="1832">
        <f>'Expenditures 15-22'!D264</f>
        <v>8153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106411</v>
      </c>
      <c r="D1431" s="2" t="str">
        <f t="shared" si="21"/>
        <v>Error?</v>
      </c>
    </row>
    <row r="1432" spans="1:4" x14ac:dyDescent="0.2">
      <c r="A1432" s="5">
        <v>1371</v>
      </c>
      <c r="B1432" s="1832">
        <f>'Expenditures 15-22'!D267</f>
        <v>36813</v>
      </c>
      <c r="D1432" s="2" t="str">
        <f t="shared" si="21"/>
        <v>Error?</v>
      </c>
    </row>
    <row r="1433" spans="1:4" x14ac:dyDescent="0.2">
      <c r="A1433" s="5">
        <v>1372</v>
      </c>
      <c r="B1433" s="1832">
        <f>'Expenditures 15-22'!D268</f>
        <v>52704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215454</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314423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457210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2715</v>
      </c>
      <c r="C1471" s="2" t="s">
        <v>569</v>
      </c>
      <c r="D1471" s="2" t="str">
        <f t="shared" ref="D1471:D1534" si="22">IF(ISBLANK(B1471),"OK",IF(A1471-B1471=0,"OK","Error?"))</f>
        <v>Error?</v>
      </c>
    </row>
    <row r="1472" spans="1:4" x14ac:dyDescent="0.2">
      <c r="A1472" s="5">
        <v>1411</v>
      </c>
      <c r="B1472" s="1832">
        <f>'Expenditures 15-22'!K223</f>
        <v>7192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142787</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6333</v>
      </c>
      <c r="C1476" s="2" t="s">
        <v>569</v>
      </c>
      <c r="D1476" s="2" t="str">
        <f t="shared" si="22"/>
        <v>Error?</v>
      </c>
    </row>
    <row r="1477" spans="1:4" x14ac:dyDescent="0.2">
      <c r="A1477" s="5">
        <v>1416</v>
      </c>
      <c r="B1477" s="1832">
        <f>'Expenditures 15-22'!K234</f>
        <v>14518</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20851</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15240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15240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13260</v>
      </c>
      <c r="C1487" s="2" t="s">
        <v>569</v>
      </c>
      <c r="D1487" s="2" t="str">
        <f t="shared" si="22"/>
        <v>Error?</v>
      </c>
    </row>
    <row r="1488" spans="1:4" x14ac:dyDescent="0.2">
      <c r="A1488" s="5">
        <v>1427</v>
      </c>
      <c r="B1488" s="1832">
        <f>'Expenditures 15-22'!K257</f>
        <v>13271</v>
      </c>
      <c r="C1488" s="2" t="s">
        <v>569</v>
      </c>
      <c r="D1488" s="2" t="str">
        <f t="shared" si="22"/>
        <v>Error?</v>
      </c>
    </row>
    <row r="1489" spans="1:4" x14ac:dyDescent="0.2">
      <c r="A1489" s="5">
        <v>1428</v>
      </c>
      <c r="B1489" s="1832">
        <f>'Expenditures 15-22'!K259</f>
        <v>49607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49607</v>
      </c>
      <c r="C1491" s="2" t="s">
        <v>569</v>
      </c>
      <c r="D1491" s="2" t="str">
        <f t="shared" si="22"/>
        <v>Error?</v>
      </c>
    </row>
    <row r="1492" spans="1:4" x14ac:dyDescent="0.2">
      <c r="A1492" s="5">
        <v>1431</v>
      </c>
      <c r="B1492" s="1832">
        <f>'Expenditures 15-22'!K263</f>
        <v>11373</v>
      </c>
      <c r="C1492" s="2" t="s">
        <v>569</v>
      </c>
      <c r="D1492" s="2" t="str">
        <f t="shared" si="22"/>
        <v>Error?</v>
      </c>
    </row>
    <row r="1493" spans="1:4" x14ac:dyDescent="0.2">
      <c r="A1493" s="5">
        <v>1432</v>
      </c>
      <c r="B1493" s="1832">
        <f>'Expenditures 15-22'!K264</f>
        <v>8153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106411</v>
      </c>
      <c r="C1495" s="2" t="s">
        <v>569</v>
      </c>
      <c r="D1495" s="2" t="str">
        <f t="shared" si="22"/>
        <v>Error?</v>
      </c>
    </row>
    <row r="1496" spans="1:4" x14ac:dyDescent="0.2">
      <c r="A1496" s="5">
        <v>1435</v>
      </c>
      <c r="B1496" s="1832">
        <f>'Expenditures 15-22'!K267</f>
        <v>36813</v>
      </c>
      <c r="C1496" s="2" t="s">
        <v>569</v>
      </c>
      <c r="D1496" s="2" t="str">
        <f t="shared" si="22"/>
        <v>Error?</v>
      </c>
    </row>
    <row r="1497" spans="1:4" x14ac:dyDescent="0.2">
      <c r="A1497" s="5">
        <v>1436</v>
      </c>
      <c r="B1497" s="1832">
        <f>'Expenditures 15-22'!K268</f>
        <v>52704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215454</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314423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457210</v>
      </c>
      <c r="C1517" s="2" t="s">
        <v>569</v>
      </c>
      <c r="D1517" s="2" t="str">
        <f t="shared" si="22"/>
        <v>Error?</v>
      </c>
    </row>
    <row r="1518" spans="1:4" x14ac:dyDescent="0.2">
      <c r="A1518" s="5">
        <v>1457</v>
      </c>
      <c r="B1518" s="1832">
        <f>'Expenditures 15-22'!K296</f>
        <v>47242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1548629</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5037205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4948355</v>
      </c>
      <c r="C1630" s="2" t="s">
        <v>569</v>
      </c>
      <c r="D1630" s="2" t="str">
        <f t="shared" si="24"/>
        <v>Error?</v>
      </c>
    </row>
    <row r="1631" spans="1:4" x14ac:dyDescent="0.2">
      <c r="A1631" s="5">
        <v>1570</v>
      </c>
      <c r="B1631" s="1832">
        <f>'Acct Summary 7-8'!D79</f>
        <v>662353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684898</v>
      </c>
      <c r="C1644" s="2" t="s">
        <v>569</v>
      </c>
      <c r="D1644" s="2" t="str">
        <f t="shared" si="24"/>
        <v>Error?</v>
      </c>
    </row>
    <row r="1645" spans="1:4" x14ac:dyDescent="0.2">
      <c r="A1645" s="5">
        <v>1584</v>
      </c>
      <c r="B1645" s="1832">
        <f>'Acct Summary 7-8'!E79</f>
        <v>51678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53003</v>
      </c>
      <c r="C1658" s="2" t="s">
        <v>569</v>
      </c>
      <c r="D1658" s="2" t="str">
        <f t="shared" si="24"/>
        <v>Error?</v>
      </c>
    </row>
    <row r="1659" spans="1:4" x14ac:dyDescent="0.2">
      <c r="A1659" s="5">
        <v>1598</v>
      </c>
      <c r="B1659" s="1832">
        <f>'Acct Summary 7-8'!F79</f>
        <v>362460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546252</v>
      </c>
      <c r="C1672" s="2" t="s">
        <v>569</v>
      </c>
      <c r="D1672" s="2" t="str">
        <f t="shared" si="25"/>
        <v>Error?</v>
      </c>
    </row>
    <row r="1673" spans="1:4" x14ac:dyDescent="0.2">
      <c r="A1673" s="5">
        <v>1612</v>
      </c>
      <c r="B1673" s="1832">
        <f>'Acct Summary 7-8'!G79</f>
        <v>320252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367494</v>
      </c>
      <c r="C1686" s="2" t="s">
        <v>569</v>
      </c>
      <c r="D1686" s="2" t="str">
        <f t="shared" si="25"/>
        <v>Error?</v>
      </c>
    </row>
    <row r="1687" spans="1:4" x14ac:dyDescent="0.2">
      <c r="A1687" s="5">
        <v>1626</v>
      </c>
      <c r="B1687" s="1832">
        <f>'Acct Summary 7-8'!H79</f>
        <v>1718016</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1469582</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4335466</v>
      </c>
      <c r="C1744" s="2" t="s">
        <v>569</v>
      </c>
      <c r="D1744" s="2" t="str">
        <f t="shared" si="26"/>
        <v>Error?</v>
      </c>
    </row>
    <row r="1745" spans="1:5" x14ac:dyDescent="0.2">
      <c r="A1745" s="5">
        <v>1684</v>
      </c>
      <c r="B1745" s="1832">
        <f>'Tax Sched 23'!B5</f>
        <v>982881</v>
      </c>
      <c r="C1745" s="2" t="s">
        <v>569</v>
      </c>
      <c r="D1745" s="2" t="str">
        <f t="shared" si="26"/>
        <v>Error?</v>
      </c>
    </row>
    <row r="1746" spans="1:5" x14ac:dyDescent="0.2">
      <c r="A1746" s="5">
        <v>1685</v>
      </c>
      <c r="B1746" s="1832">
        <f>'Tax Sched 23'!B6</f>
        <v>1147924</v>
      </c>
      <c r="C1746" s="2" t="s">
        <v>569</v>
      </c>
      <c r="D1746" s="2" t="str">
        <f t="shared" si="26"/>
        <v>Error?</v>
      </c>
    </row>
    <row r="1747" spans="1:5" x14ac:dyDescent="0.2">
      <c r="A1747" s="5">
        <v>1686</v>
      </c>
      <c r="B1747" s="1832">
        <f>'Tax Sched 23'!B7</f>
        <v>536119</v>
      </c>
      <c r="C1747" s="2" t="s">
        <v>569</v>
      </c>
      <c r="D1747" s="2" t="str">
        <f t="shared" si="26"/>
        <v>Error?</v>
      </c>
    </row>
    <row r="1748" spans="1:5" x14ac:dyDescent="0.2">
      <c r="A1748" s="5">
        <v>1687</v>
      </c>
      <c r="B1748" s="1832">
        <f>'Tax Sched 23'!B8</f>
        <v>214440</v>
      </c>
      <c r="C1748" s="2" t="s">
        <v>569</v>
      </c>
      <c r="D1748" s="2" t="str">
        <f t="shared" si="26"/>
        <v>Error?</v>
      </c>
    </row>
    <row r="1749" spans="1:5" x14ac:dyDescent="0.2">
      <c r="A1749" s="5">
        <v>1688</v>
      </c>
      <c r="B1749" s="1832">
        <f>'Tax Sched 23'!B10</f>
        <v>1331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580787</v>
      </c>
      <c r="C1752" s="2" t="s">
        <v>569</v>
      </c>
      <c r="D1752" s="2" t="str">
        <f t="shared" si="26"/>
        <v>Error?</v>
      </c>
    </row>
    <row r="1753" spans="1:5" x14ac:dyDescent="0.2">
      <c r="A1753" s="5">
        <v>1692</v>
      </c>
      <c r="B1753" s="1832">
        <f>'Tax Sched 23'!B12</f>
        <v>4471</v>
      </c>
      <c r="C1753" s="2" t="s">
        <v>569</v>
      </c>
      <c r="D1753" s="2" t="str">
        <f t="shared" si="26"/>
        <v>Error?</v>
      </c>
    </row>
    <row r="1754" spans="1:5" x14ac:dyDescent="0.2">
      <c r="A1754" s="5">
        <v>1693</v>
      </c>
      <c r="B1754" s="1832">
        <f>'Tax Sched 23'!B14</f>
        <v>71473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8265143</v>
      </c>
      <c r="C1759" s="2" t="s">
        <v>569</v>
      </c>
      <c r="D1759" s="2" t="str">
        <f t="shared" si="26"/>
        <v>Error?</v>
      </c>
    </row>
    <row r="1760" spans="1:5" x14ac:dyDescent="0.2">
      <c r="A1760" s="5">
        <v>1699</v>
      </c>
      <c r="B1760" s="1832">
        <f>'Tax Sched 23'!D4</f>
        <v>4335466</v>
      </c>
      <c r="C1760" s="2" t="s">
        <v>569</v>
      </c>
      <c r="D1760" s="2" t="str">
        <f t="shared" si="26"/>
        <v>Error?</v>
      </c>
    </row>
    <row r="1761" spans="1:7" x14ac:dyDescent="0.2">
      <c r="A1761" s="5">
        <v>1700</v>
      </c>
      <c r="B1761" s="1832">
        <f>'Tax Sched 23'!D5</f>
        <v>982881</v>
      </c>
      <c r="C1761" s="2" t="s">
        <v>569</v>
      </c>
      <c r="D1761" s="2" t="str">
        <f t="shared" si="26"/>
        <v>Error?</v>
      </c>
    </row>
    <row r="1762" spans="1:7" s="8" customFormat="1" x14ac:dyDescent="0.2">
      <c r="A1762" s="5">
        <v>1701</v>
      </c>
      <c r="B1762" s="1832">
        <f>'Tax Sched 23'!D6</f>
        <v>1147924</v>
      </c>
      <c r="C1762" s="2" t="s">
        <v>569</v>
      </c>
      <c r="D1762" s="2" t="str">
        <f t="shared" si="26"/>
        <v>Error?</v>
      </c>
      <c r="E1762" s="9"/>
      <c r="G1762"/>
    </row>
    <row r="1763" spans="1:7" x14ac:dyDescent="0.2">
      <c r="A1763" s="5">
        <v>1702</v>
      </c>
      <c r="B1763" s="1832">
        <f>'Tax Sched 23'!D7</f>
        <v>536119</v>
      </c>
      <c r="C1763" s="2" t="s">
        <v>569</v>
      </c>
      <c r="D1763" s="2" t="str">
        <f t="shared" si="26"/>
        <v>Error?</v>
      </c>
    </row>
    <row r="1764" spans="1:7" x14ac:dyDescent="0.2">
      <c r="A1764" s="5">
        <v>1703</v>
      </c>
      <c r="B1764" s="1832">
        <f>'Tax Sched 23'!D8</f>
        <v>214440</v>
      </c>
      <c r="C1764" s="2" t="s">
        <v>569</v>
      </c>
      <c r="D1764" s="2" t="str">
        <f t="shared" si="26"/>
        <v>Error?</v>
      </c>
    </row>
    <row r="1765" spans="1:7" x14ac:dyDescent="0.2">
      <c r="A1765" s="5">
        <v>1704</v>
      </c>
      <c r="B1765" s="1832">
        <f>'Tax Sched 23'!D10</f>
        <v>1331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580787</v>
      </c>
      <c r="C1768" s="2" t="s">
        <v>569</v>
      </c>
      <c r="D1768" s="2" t="str">
        <f t="shared" si="26"/>
        <v>Error?</v>
      </c>
    </row>
    <row r="1769" spans="1:7" x14ac:dyDescent="0.2">
      <c r="A1769" s="5">
        <v>1708</v>
      </c>
      <c r="B1769" s="1832">
        <f>'Tax Sched 23'!D12</f>
        <v>4471</v>
      </c>
      <c r="C1769" s="2" t="s">
        <v>569</v>
      </c>
      <c r="D1769" s="2" t="str">
        <f t="shared" si="26"/>
        <v>Error?</v>
      </c>
    </row>
    <row r="1770" spans="1:7" x14ac:dyDescent="0.2">
      <c r="A1770" s="5">
        <v>1709</v>
      </c>
      <c r="B1770" s="1832">
        <f>'Tax Sched 23'!D14</f>
        <v>71473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8265143</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4543411</v>
      </c>
      <c r="C1792" s="2" t="s">
        <v>569</v>
      </c>
      <c r="D1792" s="2" t="str">
        <f t="shared" si="27"/>
        <v>Error?</v>
      </c>
    </row>
    <row r="1793" spans="1:4" x14ac:dyDescent="0.2">
      <c r="A1793" s="5">
        <v>1732</v>
      </c>
      <c r="B1793" s="1832">
        <f>'Tax Sched 23'!F5</f>
        <v>1053780</v>
      </c>
      <c r="C1793" s="2" t="s">
        <v>569</v>
      </c>
      <c r="D1793" s="2" t="str">
        <f t="shared" si="27"/>
        <v>Error?</v>
      </c>
    </row>
    <row r="1794" spans="1:4" x14ac:dyDescent="0.2">
      <c r="A1794" s="5">
        <v>1733</v>
      </c>
      <c r="B1794" s="1832">
        <f>'Tax Sched 23'!F6</f>
        <v>1241980</v>
      </c>
      <c r="C1794" s="2" t="s">
        <v>569</v>
      </c>
      <c r="D1794" s="2" t="str">
        <f t="shared" si="27"/>
        <v>Error?</v>
      </c>
    </row>
    <row r="1795" spans="1:4" x14ac:dyDescent="0.2">
      <c r="A1795" s="5">
        <v>1734</v>
      </c>
      <c r="B1795" s="1832">
        <f>'Tax Sched 23'!F7</f>
        <v>578176</v>
      </c>
      <c r="C1795" s="2" t="s">
        <v>569</v>
      </c>
      <c r="D1795" s="2" t="str">
        <f t="shared" si="27"/>
        <v>Error?</v>
      </c>
    </row>
    <row r="1796" spans="1:4" x14ac:dyDescent="0.2">
      <c r="A1796" s="5">
        <v>1735</v>
      </c>
      <c r="B1796" s="1832">
        <f>'Tax Sched 23'!F8</f>
        <v>195825</v>
      </c>
      <c r="C1796" s="2" t="s">
        <v>569</v>
      </c>
      <c r="D1796" s="2" t="str">
        <f t="shared" si="27"/>
        <v>Error?</v>
      </c>
    </row>
    <row r="1797" spans="1:4" x14ac:dyDescent="0.2">
      <c r="A1797" s="5">
        <v>1736</v>
      </c>
      <c r="B1797" s="1832">
        <f>'Tax Sched 23'!F10</f>
        <v>1392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582836</v>
      </c>
      <c r="C1800" s="2" t="s">
        <v>569</v>
      </c>
      <c r="D1800" s="2" t="str">
        <f t="shared" si="27"/>
        <v>Error?</v>
      </c>
    </row>
    <row r="1801" spans="1:4" x14ac:dyDescent="0.2">
      <c r="A1801" s="5">
        <v>1740</v>
      </c>
      <c r="B1801" s="1832">
        <f>'Tax Sched 23'!F12</f>
        <v>4639</v>
      </c>
      <c r="C1801" s="2" t="s">
        <v>569</v>
      </c>
      <c r="D1801" s="2" t="str">
        <f t="shared" si="27"/>
        <v>Error?</v>
      </c>
    </row>
    <row r="1802" spans="1:4" x14ac:dyDescent="0.2">
      <c r="A1802" s="5">
        <v>1741</v>
      </c>
      <c r="B1802" s="1832">
        <f>'Tax Sched 23'!F14</f>
        <v>74594</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8567123</v>
      </c>
      <c r="C1807" s="2" t="s">
        <v>569</v>
      </c>
      <c r="D1807" s="2" t="str">
        <f t="shared" si="27"/>
        <v>Error?</v>
      </c>
    </row>
    <row r="1808" spans="1:4" x14ac:dyDescent="0.2">
      <c r="A1808" s="5">
        <v>1747</v>
      </c>
      <c r="B1808" s="1832">
        <f>'Tax Sched 23'!E4</f>
        <v>4543411</v>
      </c>
      <c r="D1808" s="2" t="str">
        <f t="shared" si="27"/>
        <v>Error?</v>
      </c>
    </row>
    <row r="1809" spans="1:4" x14ac:dyDescent="0.2">
      <c r="A1809" s="5">
        <v>1748</v>
      </c>
      <c r="B1809" s="1832">
        <f>'Tax Sched 23'!E5</f>
        <v>1053780</v>
      </c>
      <c r="D1809" s="2" t="str">
        <f t="shared" si="27"/>
        <v>Error?</v>
      </c>
    </row>
    <row r="1810" spans="1:4" x14ac:dyDescent="0.2">
      <c r="A1810" s="5">
        <v>1749</v>
      </c>
      <c r="B1810" s="1832">
        <f>'Tax Sched 23'!E6</f>
        <v>1241980</v>
      </c>
      <c r="D1810" s="2" t="str">
        <f t="shared" si="27"/>
        <v>Error?</v>
      </c>
    </row>
    <row r="1811" spans="1:4" x14ac:dyDescent="0.2">
      <c r="A1811" s="5">
        <v>1750</v>
      </c>
      <c r="B1811" s="1832">
        <f>'Tax Sched 23'!E7</f>
        <v>578176</v>
      </c>
      <c r="D1811" s="2" t="str">
        <f t="shared" si="27"/>
        <v>Error?</v>
      </c>
    </row>
    <row r="1812" spans="1:4" x14ac:dyDescent="0.2">
      <c r="A1812" s="5">
        <v>1751</v>
      </c>
      <c r="B1812" s="1832">
        <f>'Tax Sched 23'!E8</f>
        <v>195825</v>
      </c>
      <c r="D1812" s="2" t="str">
        <f t="shared" si="27"/>
        <v>Error?</v>
      </c>
    </row>
    <row r="1813" spans="1:4" x14ac:dyDescent="0.2">
      <c r="A1813" s="5">
        <v>1752</v>
      </c>
      <c r="B1813" s="1832">
        <f>'Tax Sched 23'!E10</f>
        <v>1392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582836</v>
      </c>
      <c r="D1816" s="2" t="str">
        <f t="shared" si="27"/>
        <v>Error?</v>
      </c>
    </row>
    <row r="1817" spans="1:4" x14ac:dyDescent="0.2">
      <c r="A1817" s="5">
        <v>1756</v>
      </c>
      <c r="B1817" s="1832">
        <f>'Tax Sched 23'!E12</f>
        <v>4639</v>
      </c>
      <c r="D1817" s="2" t="str">
        <f t="shared" si="27"/>
        <v>Error?</v>
      </c>
    </row>
    <row r="1818" spans="1:4" x14ac:dyDescent="0.2">
      <c r="A1818" s="5">
        <v>1757</v>
      </c>
      <c r="B1818" s="1832">
        <f>'Tax Sched 23'!E14</f>
        <v>74594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8567123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38338843</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1198590</v>
      </c>
      <c r="D2008" s="2" t="str">
        <f t="shared" si="30"/>
        <v>Error?</v>
      </c>
    </row>
    <row r="2009" spans="1:4" x14ac:dyDescent="0.2">
      <c r="A2009" s="5">
        <v>1948</v>
      </c>
      <c r="B2009" s="1832">
        <f>'Cap Outlay Deprec 26'!C8</f>
        <v>76578291</v>
      </c>
      <c r="D2009" s="2" t="str">
        <f t="shared" si="30"/>
        <v>Error?</v>
      </c>
    </row>
    <row r="2010" spans="1:4" x14ac:dyDescent="0.2">
      <c r="A2010" s="5">
        <v>1949</v>
      </c>
      <c r="B2010" s="1832">
        <f>'Cap Outlay Deprec 26'!C10</f>
        <v>1768844</v>
      </c>
      <c r="D2010" s="2" t="str">
        <f t="shared" si="30"/>
        <v>Error?</v>
      </c>
    </row>
    <row r="2011" spans="1:4" x14ac:dyDescent="0.2">
      <c r="A2011" s="5">
        <v>1950</v>
      </c>
      <c r="B2011" s="1832">
        <f>'Cap Outlay Deprec 26'!C12</f>
        <v>4653811</v>
      </c>
      <c r="D2011" s="2" t="str">
        <f t="shared" si="30"/>
        <v>Error?</v>
      </c>
    </row>
    <row r="2012" spans="1:4" x14ac:dyDescent="0.2">
      <c r="A2012" s="5">
        <v>1951</v>
      </c>
      <c r="B2012" s="1832">
        <f>'Cap Outlay Deprec 26'!C13</f>
        <v>1105392</v>
      </c>
      <c r="D2012" s="2" t="str">
        <f t="shared" si="30"/>
        <v>Error?</v>
      </c>
    </row>
    <row r="2013" spans="1:4" x14ac:dyDescent="0.2">
      <c r="A2013" s="5">
        <v>1952</v>
      </c>
      <c r="B2013" s="1832">
        <f>'Cap Outlay Deprec 26'!C16</f>
        <v>85304928</v>
      </c>
      <c r="C2013" s="2" t="s">
        <v>569</v>
      </c>
      <c r="D2013" s="2" t="str">
        <f t="shared" si="30"/>
        <v>Error?</v>
      </c>
    </row>
    <row r="2014" spans="1:4" x14ac:dyDescent="0.2">
      <c r="A2014" s="5">
        <v>1953</v>
      </c>
      <c r="B2014" s="1832">
        <f>'Cap Outlay Deprec 26'!D5</f>
        <v>412156</v>
      </c>
      <c r="D2014" s="2" t="str">
        <f t="shared" si="30"/>
        <v>Error?</v>
      </c>
    </row>
    <row r="2015" spans="1:4" x14ac:dyDescent="0.2">
      <c r="A2015" s="5">
        <v>1954</v>
      </c>
      <c r="B2015" s="1832">
        <f>'Cap Outlay Deprec 26'!D8</f>
        <v>1384414</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150890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1947460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1610746</v>
      </c>
      <c r="C2026" s="2" t="s">
        <v>569</v>
      </c>
      <c r="D2026" s="2" t="str">
        <f t="shared" si="30"/>
        <v>Error?</v>
      </c>
    </row>
    <row r="2027" spans="1:4" x14ac:dyDescent="0.2">
      <c r="A2027" s="5">
        <v>1966</v>
      </c>
      <c r="B2027" s="1832">
        <f>'Cap Outlay Deprec 26'!F8</f>
        <v>77962705</v>
      </c>
      <c r="C2027" s="2" t="s">
        <v>569</v>
      </c>
      <c r="D2027" s="2" t="str">
        <f t="shared" si="30"/>
        <v>Error?</v>
      </c>
    </row>
    <row r="2028" spans="1:4" x14ac:dyDescent="0.2">
      <c r="A2028" s="5">
        <v>1967</v>
      </c>
      <c r="B2028" s="1832">
        <f>'Cap Outlay Deprec 26'!F10</f>
        <v>1768844</v>
      </c>
      <c r="C2028" s="2" t="s">
        <v>569</v>
      </c>
      <c r="D2028" s="2" t="str">
        <f t="shared" si="30"/>
        <v>Error?</v>
      </c>
    </row>
    <row r="2029" spans="1:4" x14ac:dyDescent="0.2">
      <c r="A2029" s="5">
        <v>1968</v>
      </c>
      <c r="B2029" s="1832">
        <f>'Cap Outlay Deprec 26'!F12</f>
        <v>4804701</v>
      </c>
      <c r="C2029" s="2" t="s">
        <v>569</v>
      </c>
      <c r="D2029" s="2" t="str">
        <f t="shared" si="30"/>
        <v>Error?</v>
      </c>
    </row>
    <row r="2030" spans="1:4" x14ac:dyDescent="0.2">
      <c r="A2030" s="5">
        <v>1969</v>
      </c>
      <c r="B2030" s="1832">
        <f>'Cap Outlay Deprec 26'!F13</f>
        <v>1105392</v>
      </c>
      <c r="C2030" s="2" t="s">
        <v>569</v>
      </c>
      <c r="D2030" s="2" t="str">
        <f t="shared" si="30"/>
        <v>Error?</v>
      </c>
    </row>
    <row r="2031" spans="1:4" x14ac:dyDescent="0.2">
      <c r="A2031" s="5">
        <v>1970</v>
      </c>
      <c r="B2031" s="1832">
        <f>'Cap Outlay Deprec 26'!F16</f>
        <v>87252388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17325676</v>
      </c>
      <c r="D2033" s="2" t="str">
        <f t="shared" si="30"/>
        <v>Error?</v>
      </c>
    </row>
    <row r="2034" spans="1:4" x14ac:dyDescent="0.2">
      <c r="A2034" s="5">
        <v>1973</v>
      </c>
      <c r="B2034" s="1832">
        <f>'Cap Outlay Deprec 26'!H10</f>
        <v>923041</v>
      </c>
      <c r="D2034" s="2" t="str">
        <f t="shared" si="30"/>
        <v>Error?</v>
      </c>
    </row>
    <row r="2035" spans="1:4" x14ac:dyDescent="0.2">
      <c r="A2035" s="5">
        <v>1974</v>
      </c>
      <c r="B2035" s="1832">
        <f>'Cap Outlay Deprec 26'!H12</f>
        <v>3597161</v>
      </c>
      <c r="D2035" s="2" t="str">
        <f t="shared" si="30"/>
        <v>Error?</v>
      </c>
    </row>
    <row r="2036" spans="1:4" x14ac:dyDescent="0.2">
      <c r="A2036" s="5">
        <v>1975</v>
      </c>
      <c r="B2036" s="1832">
        <f>'Cap Outlay Deprec 26'!H13</f>
        <v>1097319</v>
      </c>
      <c r="D2036" s="2" t="str">
        <f t="shared" si="30"/>
        <v>Error?</v>
      </c>
    </row>
    <row r="2037" spans="1:4" x14ac:dyDescent="0.2">
      <c r="A2037" s="5">
        <v>1976</v>
      </c>
      <c r="B2037" s="1832">
        <f>'Cap Outlay Deprec 26'!H16</f>
        <v>22943197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1561207</v>
      </c>
      <c r="D2039" s="2" t="str">
        <f t="shared" si="30"/>
        <v>Error?</v>
      </c>
    </row>
    <row r="2040" spans="1:4" x14ac:dyDescent="0.2">
      <c r="A2040" s="5">
        <v>1979</v>
      </c>
      <c r="B2040" s="1832">
        <f>'Cap Outlay Deprec 26'!I10</f>
        <v>84201</v>
      </c>
      <c r="D2040" s="2" t="str">
        <f t="shared" si="30"/>
        <v>Error?</v>
      </c>
    </row>
    <row r="2041" spans="1:4" x14ac:dyDescent="0.2">
      <c r="A2041" s="5">
        <v>1980</v>
      </c>
      <c r="B2041" s="1832">
        <f>'Cap Outlay Deprec 26'!I12</f>
        <v>305015</v>
      </c>
      <c r="D2041" s="2" t="str">
        <f t="shared" si="30"/>
        <v>Error?</v>
      </c>
    </row>
    <row r="2042" spans="1:4" x14ac:dyDescent="0.2">
      <c r="A2042" s="5">
        <v>1981</v>
      </c>
      <c r="B2042" s="1832">
        <f>'Cap Outlay Deprec 26'!I13</f>
        <v>843</v>
      </c>
      <c r="D2042" s="2" t="str">
        <f t="shared" si="30"/>
        <v>Error?</v>
      </c>
    </row>
    <row r="2043" spans="1:4" x14ac:dyDescent="0.2">
      <c r="A2043" s="5">
        <v>1982</v>
      </c>
      <c r="B2043" s="1832">
        <f>'Cap Outlay Deprec 26'!I16</f>
        <v>1951266</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18886883</v>
      </c>
      <c r="C2051" s="2" t="s">
        <v>569</v>
      </c>
      <c r="D2051" s="2" t="str">
        <f t="shared" si="31"/>
        <v>Error?</v>
      </c>
    </row>
    <row r="2052" spans="1:4" x14ac:dyDescent="0.2">
      <c r="A2052" s="5">
        <v>1991</v>
      </c>
      <c r="B2052" s="1832">
        <f>'Cap Outlay Deprec 26'!K10</f>
        <v>1007242</v>
      </c>
      <c r="C2052" s="2" t="s">
        <v>569</v>
      </c>
      <c r="D2052" s="2" t="str">
        <f t="shared" si="31"/>
        <v>Error?</v>
      </c>
    </row>
    <row r="2053" spans="1:4" x14ac:dyDescent="0.2">
      <c r="A2053" s="5">
        <v>1992</v>
      </c>
      <c r="B2053" s="1832">
        <f>'Cap Outlay Deprec 26'!K12</f>
        <v>3902176</v>
      </c>
      <c r="C2053" s="2" t="s">
        <v>569</v>
      </c>
      <c r="D2053" s="2" t="str">
        <f t="shared" si="31"/>
        <v>Error?</v>
      </c>
    </row>
    <row r="2054" spans="1:4" x14ac:dyDescent="0.2">
      <c r="A2054" s="5">
        <v>1993</v>
      </c>
      <c r="B2054" s="1832">
        <f>'Cap Outlay Deprec 26'!K13</f>
        <v>1098162</v>
      </c>
      <c r="C2054" s="2" t="s">
        <v>569</v>
      </c>
      <c r="D2054" s="2" t="str">
        <f t="shared" si="31"/>
        <v>Error?</v>
      </c>
    </row>
    <row r="2055" spans="1:4" x14ac:dyDescent="0.2">
      <c r="A2055" s="5">
        <v>1994</v>
      </c>
      <c r="B2055" s="1832">
        <f>'Cap Outlay Deprec 26'!K16</f>
        <v>24894463</v>
      </c>
      <c r="C2055" s="2" t="s">
        <v>569</v>
      </c>
      <c r="D2055" s="2" t="str">
        <f t="shared" si="31"/>
        <v>Error?</v>
      </c>
    </row>
    <row r="2056" spans="1:4" x14ac:dyDescent="0.2">
      <c r="A2056" s="5">
        <v>1995</v>
      </c>
      <c r="B2056" s="1832">
        <f>'Cap Outlay Deprec 26'!L5</f>
        <v>1610746</v>
      </c>
      <c r="C2056" s="2" t="s">
        <v>569</v>
      </c>
      <c r="D2056" s="2" t="str">
        <f t="shared" si="31"/>
        <v>Error?</v>
      </c>
    </row>
    <row r="2057" spans="1:4" x14ac:dyDescent="0.2">
      <c r="A2057" s="5">
        <v>1996</v>
      </c>
      <c r="B2057" s="1832">
        <f>'Cap Outlay Deprec 26'!L8</f>
        <v>59075822</v>
      </c>
      <c r="C2057" s="2" t="s">
        <v>569</v>
      </c>
      <c r="D2057" s="2" t="str">
        <f t="shared" si="31"/>
        <v>Error?</v>
      </c>
    </row>
    <row r="2058" spans="1:4" x14ac:dyDescent="0.2">
      <c r="A2058" s="5">
        <v>1997</v>
      </c>
      <c r="B2058" s="1832">
        <f>'Cap Outlay Deprec 26'!L10</f>
        <v>761602</v>
      </c>
      <c r="C2058" s="2" t="s">
        <v>569</v>
      </c>
      <c r="D2058" s="2" t="str">
        <f t="shared" si="31"/>
        <v>Error?</v>
      </c>
    </row>
    <row r="2059" spans="1:4" x14ac:dyDescent="0.2">
      <c r="A2059" s="5">
        <v>1998</v>
      </c>
      <c r="B2059" s="1832">
        <f>'Cap Outlay Deprec 26'!L12</f>
        <v>902525</v>
      </c>
      <c r="C2059" s="2" t="s">
        <v>569</v>
      </c>
      <c r="D2059" s="2" t="str">
        <f t="shared" si="31"/>
        <v>Error?</v>
      </c>
    </row>
    <row r="2060" spans="1:4" x14ac:dyDescent="0.2">
      <c r="A2060" s="5">
        <v>1999</v>
      </c>
      <c r="B2060" s="1832">
        <f>'Cap Outlay Deprec 26'!L13</f>
        <v>7230</v>
      </c>
      <c r="C2060" s="2" t="s">
        <v>569</v>
      </c>
      <c r="D2060" s="2" t="str">
        <f t="shared" si="31"/>
        <v>Error?</v>
      </c>
    </row>
    <row r="2061" spans="1:4" x14ac:dyDescent="0.2">
      <c r="A2061" s="5">
        <v>2000</v>
      </c>
      <c r="B2061" s="1832">
        <f>'Cap Outlay Deprec 26'!L16</f>
        <v>62357925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1773805</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1773805</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33000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5256150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9215120</v>
      </c>
      <c r="C2553" s="2" t="s">
        <v>569</v>
      </c>
      <c r="D2553" s="2" t="str">
        <f t="shared" si="38"/>
        <v>Error?</v>
      </c>
    </row>
    <row r="2554" spans="1:4" x14ac:dyDescent="0.2">
      <c r="A2554" s="5">
        <v>2493</v>
      </c>
      <c r="B2554" s="1832">
        <f>'Acct Summary 7-8'!C7</f>
        <v>1324109</v>
      </c>
      <c r="C2554" s="2" t="s">
        <v>569</v>
      </c>
      <c r="D2554" s="2" t="str">
        <f t="shared" si="38"/>
        <v>Error?</v>
      </c>
    </row>
    <row r="2555" spans="1:4" x14ac:dyDescent="0.2">
      <c r="A2555" s="5">
        <v>2494</v>
      </c>
      <c r="B2555" s="1832">
        <f>'Acct Summary 7-8'!C8</f>
        <v>15795379</v>
      </c>
      <c r="C2555" s="2" t="s">
        <v>569</v>
      </c>
      <c r="D2555" s="2" t="str">
        <f t="shared" si="38"/>
        <v>Error?</v>
      </c>
    </row>
    <row r="2556" spans="1:4" x14ac:dyDescent="0.2">
      <c r="A2556" s="5">
        <v>2495</v>
      </c>
      <c r="B2556" s="1832">
        <f>'Acct Summary 7-8'!C12</f>
        <v>9237150</v>
      </c>
      <c r="C2556" s="2" t="s">
        <v>569</v>
      </c>
      <c r="D2556" s="2" t="str">
        <f t="shared" si="38"/>
        <v>Error?</v>
      </c>
    </row>
    <row r="2557" spans="1:4" x14ac:dyDescent="0.2">
      <c r="A2557" s="5">
        <v>2496</v>
      </c>
      <c r="B2557" s="1832">
        <f>'Acct Summary 7-8'!C13</f>
        <v>5583506</v>
      </c>
      <c r="C2557" s="2" t="s">
        <v>569</v>
      </c>
      <c r="D2557" s="2" t="str">
        <f t="shared" si="38"/>
        <v>Error?</v>
      </c>
    </row>
    <row r="2558" spans="1:4" x14ac:dyDescent="0.2">
      <c r="A2558" s="5">
        <v>2497</v>
      </c>
      <c r="B2558" s="1832">
        <f>'Acct Summary 7-8'!C14</f>
        <v>29456</v>
      </c>
      <c r="C2558" s="2" t="s">
        <v>569</v>
      </c>
      <c r="D2558" s="2" t="str">
        <f t="shared" si="38"/>
        <v>Error?</v>
      </c>
    </row>
    <row r="2559" spans="1:4" x14ac:dyDescent="0.2">
      <c r="A2559" s="5">
        <v>2498</v>
      </c>
      <c r="B2559" s="1832">
        <f>'Acct Summary 7-8'!C15</f>
        <v>1773805</v>
      </c>
      <c r="C2559" s="2" t="s">
        <v>569</v>
      </c>
      <c r="D2559" s="2" t="str">
        <f t="shared" ref="D2559:D2622" si="39">IF(ISBLANK(B2559),"OK",IF(A2559-B2559=0,"OK","Error?"))</f>
        <v>Error?</v>
      </c>
    </row>
    <row r="2560" spans="1:4" x14ac:dyDescent="0.2">
      <c r="A2560" s="5">
        <v>2499</v>
      </c>
      <c r="B2560" s="1832">
        <f>'Acct Summary 7-8'!C16</f>
        <v>10805</v>
      </c>
      <c r="C2560" s="2" t="s">
        <v>569</v>
      </c>
      <c r="D2560" s="2" t="str">
        <f t="shared" si="39"/>
        <v>Error?</v>
      </c>
    </row>
    <row r="2561" spans="1:4" x14ac:dyDescent="0.2">
      <c r="A2561" s="5">
        <v>2500</v>
      </c>
      <c r="B2561" s="1832">
        <f>'Acct Summary 7-8'!C17</f>
        <v>16634722</v>
      </c>
      <c r="C2561" s="2" t="s">
        <v>569</v>
      </c>
      <c r="D2561" s="2" t="str">
        <f t="shared" si="39"/>
        <v>Error?</v>
      </c>
    </row>
    <row r="2562" spans="1:4" x14ac:dyDescent="0.2">
      <c r="A2562" s="5">
        <v>2501</v>
      </c>
      <c r="B2562" s="1832">
        <f>'Acct Summary 7-8'!C20</f>
        <v>-839343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1093928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438939</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1532867</v>
      </c>
      <c r="C2568" s="2" t="s">
        <v>569</v>
      </c>
      <c r="D2568" s="2" t="str">
        <f t="shared" si="39"/>
        <v>Error?</v>
      </c>
    </row>
    <row r="2569" spans="1:4" x14ac:dyDescent="0.2">
      <c r="A2569" s="5">
        <v>2508</v>
      </c>
      <c r="B2569" s="1832">
        <f>'Acct Summary 7-8'!D13</f>
        <v>2004322</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2004322</v>
      </c>
      <c r="C2573" s="2" t="s">
        <v>569</v>
      </c>
      <c r="D2573" s="2" t="str">
        <f t="shared" si="39"/>
        <v>Error?</v>
      </c>
    </row>
    <row r="2574" spans="1:4" x14ac:dyDescent="0.2">
      <c r="A2574" s="5">
        <v>2513</v>
      </c>
      <c r="B2574" s="1832">
        <f>'Acct Summary 7-8'!D20</f>
        <v>-471455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545998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341559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887557</v>
      </c>
      <c r="C2595" s="2" t="s">
        <v>569</v>
      </c>
      <c r="D2595" s="2" t="str">
        <f t="shared" si="39"/>
        <v>Error?</v>
      </c>
    </row>
    <row r="2596" spans="1:4" x14ac:dyDescent="0.2">
      <c r="A2596" s="5">
        <v>2535</v>
      </c>
      <c r="B2596" s="1832">
        <f>'Acct Summary 7-8'!F13</f>
        <v>412183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98841</v>
      </c>
      <c r="C2598" s="2" t="s">
        <v>569</v>
      </c>
      <c r="D2598" s="2" t="str">
        <f t="shared" si="39"/>
        <v>Error?</v>
      </c>
    </row>
    <row r="2599" spans="1:4" x14ac:dyDescent="0.2">
      <c r="A2599" s="5">
        <v>2538</v>
      </c>
      <c r="B2599" s="1832">
        <f>'Acct Summary 7-8'!F16</f>
        <v>192741</v>
      </c>
      <c r="C2599" s="2" t="s">
        <v>569</v>
      </c>
      <c r="D2599" s="2" t="str">
        <f t="shared" si="39"/>
        <v>Error?</v>
      </c>
    </row>
    <row r="2600" spans="1:4" x14ac:dyDescent="0.2">
      <c r="A2600" s="5">
        <v>2539</v>
      </c>
      <c r="B2600" s="1832">
        <f>'Acct Summary 7-8'!F17</f>
        <v>703765</v>
      </c>
      <c r="C2600" s="2" t="s">
        <v>569</v>
      </c>
      <c r="D2600" s="2" t="str">
        <f t="shared" si="39"/>
        <v>Error?</v>
      </c>
    </row>
    <row r="2601" spans="1:4" x14ac:dyDescent="0.2">
      <c r="A2601" s="5">
        <v>2540</v>
      </c>
      <c r="B2601" s="1832">
        <f>'Acct Summary 7-8'!F20</f>
        <v>183792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504452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504452</v>
      </c>
      <c r="C2606" s="2" t="s">
        <v>569</v>
      </c>
      <c r="D2606" s="2" t="str">
        <f t="shared" si="39"/>
        <v>Error?</v>
      </c>
    </row>
    <row r="2607" spans="1:4" x14ac:dyDescent="0.2">
      <c r="A2607" s="5">
        <v>2546</v>
      </c>
      <c r="B2607" s="1832">
        <f>'Acct Summary 7-8'!G12</f>
        <v>142787</v>
      </c>
      <c r="C2607" s="2" t="s">
        <v>569</v>
      </c>
      <c r="D2607" s="2" t="str">
        <f t="shared" si="39"/>
        <v>Error?</v>
      </c>
    </row>
    <row r="2608" spans="1:4" x14ac:dyDescent="0.2">
      <c r="A2608" s="5">
        <v>2547</v>
      </c>
      <c r="B2608" s="1832">
        <f>'Acct Summary 7-8'!G13</f>
        <v>314423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457210</v>
      </c>
      <c r="C2612" s="2" t="s">
        <v>569</v>
      </c>
      <c r="D2612" s="2" t="str">
        <f t="shared" si="39"/>
        <v>Error?</v>
      </c>
    </row>
    <row r="2613" spans="1:4" x14ac:dyDescent="0.2">
      <c r="A2613" s="5">
        <v>2552</v>
      </c>
      <c r="B2613" s="1832">
        <f>'Acct Summary 7-8'!G20</f>
        <v>47242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1156485</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1156485</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2458222</v>
      </c>
      <c r="C2634" s="2" t="s">
        <v>569</v>
      </c>
      <c r="D2634" s="2" t="str">
        <f t="shared" si="40"/>
        <v>Error?</v>
      </c>
    </row>
    <row r="2635" spans="1:4" x14ac:dyDescent="0.2">
      <c r="A2635" s="5">
        <v>2574</v>
      </c>
      <c r="B2635" s="1832">
        <f>'Acct Summary 7-8'!E17</f>
        <v>2458222</v>
      </c>
      <c r="C2635" s="2" t="s">
        <v>569</v>
      </c>
      <c r="D2635" s="2" t="str">
        <f t="shared" si="40"/>
        <v>Error?</v>
      </c>
    </row>
    <row r="2636" spans="1:4" x14ac:dyDescent="0.2">
      <c r="A2636" s="5">
        <v>2575</v>
      </c>
      <c r="B2636" s="1832">
        <f>'Acct Summary 7-8'!E20</f>
        <v>-1301737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1548629</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1548629</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1548629</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118125</v>
      </c>
      <c r="D2718" s="2" t="str">
        <f t="shared" si="41"/>
        <v>Error?</v>
      </c>
    </row>
    <row r="2719" spans="1:4" x14ac:dyDescent="0.2">
      <c r="A2719" s="5">
        <v>2658</v>
      </c>
      <c r="B2719" s="1832">
        <f>'Expenditures 15-22'!D51</f>
        <v>26078</v>
      </c>
      <c r="D2719" s="2" t="str">
        <f t="shared" si="41"/>
        <v>Error?</v>
      </c>
    </row>
    <row r="2720" spans="1:4" x14ac:dyDescent="0.2">
      <c r="A2720" s="5">
        <v>2659</v>
      </c>
      <c r="B2720" s="1832">
        <f>'Expenditures 15-22'!E51</f>
        <v>75</v>
      </c>
      <c r="D2720" s="2" t="str">
        <f t="shared" si="41"/>
        <v>Error?</v>
      </c>
    </row>
    <row r="2721" spans="1:4" x14ac:dyDescent="0.2">
      <c r="A2721" s="5">
        <v>2660</v>
      </c>
      <c r="B2721" s="1832">
        <f>'Expenditures 15-22'!F51</f>
        <v>231</v>
      </c>
      <c r="D2721" s="2" t="str">
        <f t="shared" si="41"/>
        <v>Error?</v>
      </c>
    </row>
    <row r="2722" spans="1:4" x14ac:dyDescent="0.2">
      <c r="A2722" s="5">
        <v>2661</v>
      </c>
      <c r="B2722" s="1832">
        <f>'Expenditures 15-22'!G51</f>
        <v>553</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145062</v>
      </c>
      <c r="C2724" s="2" t="s">
        <v>569</v>
      </c>
      <c r="D2724" s="2" t="str">
        <f t="shared" si="41"/>
        <v>Error?</v>
      </c>
    </row>
    <row r="2725" spans="1:4" x14ac:dyDescent="0.2">
      <c r="A2725" s="5">
        <v>2664</v>
      </c>
      <c r="B2725" s="1832">
        <f>'Expenditures 15-22'!D247</f>
        <v>11</v>
      </c>
      <c r="D2725" s="2" t="str">
        <f t="shared" si="41"/>
        <v>Error?</v>
      </c>
    </row>
    <row r="2726" spans="1:4" x14ac:dyDescent="0.2">
      <c r="A2726" s="5">
        <v>2665</v>
      </c>
      <c r="B2726" s="1832">
        <f>'Expenditures 15-22'!K247</f>
        <v>11</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98841</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98841</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98841</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1705455</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1731415</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206428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1731415</v>
      </c>
      <c r="D2912" s="2" t="str">
        <f t="shared" si="44"/>
        <v>Error?</v>
      </c>
    </row>
    <row r="2913" spans="1:4" x14ac:dyDescent="0.2">
      <c r="A2913" s="5">
        <v>2852</v>
      </c>
      <c r="B2913" s="1832">
        <f>'Assets-Liab 5-6'!I41</f>
        <v>1731415</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206428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1773805</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1773805</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5494</v>
      </c>
      <c r="D2995" s="2" t="str">
        <f t="shared" si="45"/>
        <v>Error?</v>
      </c>
    </row>
    <row r="2996" spans="1:4" x14ac:dyDescent="0.2">
      <c r="A2996" s="5">
        <v>2935</v>
      </c>
      <c r="B2996" s="1832">
        <f>'Expenditures 15-22'!H189</f>
        <v>93347</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5494</v>
      </c>
      <c r="C3007" s="2" t="s">
        <v>569</v>
      </c>
      <c r="D3007" s="2" t="str">
        <f t="shared" ref="D3007:D3070" si="46">IF(ISBLANK(B3007),"OK",IF(A3007-B3007=0,"OK","Error?"))</f>
        <v>Error?</v>
      </c>
    </row>
    <row r="3008" spans="1:4" x14ac:dyDescent="0.2">
      <c r="A3008" s="5">
        <v>2947</v>
      </c>
      <c r="B3008" s="1832">
        <f>'Expenditures 15-22'!K189</f>
        <v>93347</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435695</v>
      </c>
      <c r="D3055" s="2" t="str">
        <f t="shared" si="46"/>
        <v>Error?</v>
      </c>
    </row>
    <row r="3056" spans="1:4" x14ac:dyDescent="0.2">
      <c r="A3056" s="5">
        <v>2995</v>
      </c>
      <c r="B3056" s="1832">
        <f>'Expenditures 15-22'!D10</f>
        <v>174028</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16838</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626561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12870</v>
      </c>
      <c r="D3064" s="2" t="str">
        <f t="shared" si="46"/>
        <v>Error?</v>
      </c>
    </row>
    <row r="3065" spans="1:4" x14ac:dyDescent="0.2">
      <c r="A3065" s="5">
        <v>3004</v>
      </c>
      <c r="B3065" s="1832">
        <f>'Expenditures 15-22'!K219</f>
        <v>12870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206428</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494000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494000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34734</v>
      </c>
      <c r="C3225" s="2" t="s">
        <v>569</v>
      </c>
      <c r="D3225" s="2" t="str">
        <f t="shared" si="49"/>
        <v>Error?</v>
      </c>
    </row>
    <row r="3226" spans="1:4" x14ac:dyDescent="0.2">
      <c r="A3226" s="5">
        <v>3165</v>
      </c>
      <c r="B3226" s="1832">
        <f>'Acct Summary 7-8'!I8</f>
        <v>34734</v>
      </c>
      <c r="C3226" s="2" t="s">
        <v>569</v>
      </c>
      <c r="D3226" s="2" t="str">
        <f t="shared" si="49"/>
        <v>Error?</v>
      </c>
    </row>
    <row r="3227" spans="1:4" x14ac:dyDescent="0.2">
      <c r="A3227" s="5">
        <v>3166</v>
      </c>
      <c r="B3227" s="1832">
        <f>'Acct Summary 7-8'!I20</f>
        <v>34734</v>
      </c>
      <c r="C3227" s="2" t="s">
        <v>569</v>
      </c>
      <c r="D3227" s="2" t="str">
        <f t="shared" si="49"/>
        <v>Error?</v>
      </c>
    </row>
    <row r="3228" spans="1:4" x14ac:dyDescent="0.2">
      <c r="A3228" s="5">
        <v>3167</v>
      </c>
      <c r="B3228" s="1832">
        <f>'Acct Summary 7-8'!C43</f>
        <v>750000</v>
      </c>
      <c r="D3228" s="2" t="str">
        <f t="shared" si="49"/>
        <v>Error?</v>
      </c>
    </row>
    <row r="3229" spans="1:4" x14ac:dyDescent="0.2">
      <c r="A3229" s="5">
        <v>3168</v>
      </c>
      <c r="B3229" s="1832">
        <f>'Acct Summary 7-8'!C44</f>
        <v>783000</v>
      </c>
      <c r="C3229" s="2" t="s">
        <v>569</v>
      </c>
      <c r="D3229" s="2" t="str">
        <f t="shared" si="49"/>
        <v>Error?</v>
      </c>
    </row>
    <row r="3230" spans="1:4" x14ac:dyDescent="0.2">
      <c r="A3230" s="5">
        <v>3169</v>
      </c>
      <c r="B3230" s="1832">
        <f>'Acct Summary 7-8'!C75</f>
        <v>32507</v>
      </c>
      <c r="D3230" s="2" t="str">
        <f t="shared" si="49"/>
        <v>Error?</v>
      </c>
    </row>
    <row r="3231" spans="1:4" x14ac:dyDescent="0.2">
      <c r="A3231" s="5">
        <v>3170</v>
      </c>
      <c r="B3231" s="1832">
        <f>'Acct Summary 7-8'!C76</f>
        <v>32507</v>
      </c>
      <c r="C3231" s="2" t="s">
        <v>569</v>
      </c>
      <c r="D3231" s="2" t="str">
        <f t="shared" si="49"/>
        <v>Error?</v>
      </c>
    </row>
    <row r="3232" spans="1:4" x14ac:dyDescent="0.2">
      <c r="A3232" s="5">
        <v>3171</v>
      </c>
      <c r="B3232" s="1832">
        <f>'Acct Summary 7-8'!C77</f>
        <v>750493</v>
      </c>
      <c r="C3232" s="2" t="s">
        <v>569</v>
      </c>
      <c r="D3232" s="2" t="str">
        <f t="shared" si="49"/>
        <v>Error?</v>
      </c>
    </row>
    <row r="3233" spans="1:4" x14ac:dyDescent="0.2">
      <c r="A3233" s="5">
        <v>3172</v>
      </c>
      <c r="B3233" s="1832">
        <f>'Acct Summary 7-8'!C78</f>
        <v>-88850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494000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494000</v>
      </c>
      <c r="C3238" s="2" t="s">
        <v>569</v>
      </c>
      <c r="D3238" s="2" t="str">
        <f t="shared" si="49"/>
        <v>Error?</v>
      </c>
    </row>
    <row r="3239" spans="1:4" x14ac:dyDescent="0.2">
      <c r="A3239" s="5">
        <v>3178</v>
      </c>
      <c r="B3239" s="1832">
        <f>'Acct Summary 7-8'!D78</f>
        <v>22545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183792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47242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1303062</v>
      </c>
      <c r="D3273" s="2" t="str">
        <f t="shared" si="50"/>
        <v>Error?</v>
      </c>
    </row>
    <row r="3274" spans="1:4" x14ac:dyDescent="0.2">
      <c r="A3274" s="5">
        <v>3213</v>
      </c>
      <c r="B3274" s="1832">
        <f>'Acct Summary 7-8'!E44</f>
        <v>1303062</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1303062</v>
      </c>
      <c r="C3277" s="2" t="s">
        <v>569</v>
      </c>
      <c r="D3277" s="2" t="str">
        <f t="shared" si="50"/>
        <v>Error?</v>
      </c>
    </row>
    <row r="3278" spans="1:4" x14ac:dyDescent="0.2">
      <c r="A3278" s="5">
        <v>3217</v>
      </c>
      <c r="B3278" s="1832">
        <f>'Acct Summary 7-8'!E78</f>
        <v>1325</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1303063</v>
      </c>
      <c r="D3297" s="2" t="str">
        <f t="shared" si="50"/>
        <v>Error?</v>
      </c>
    </row>
    <row r="3298" spans="1:4" x14ac:dyDescent="0.2">
      <c r="A3298" s="5">
        <v>3237</v>
      </c>
      <c r="B3298" s="1832">
        <f>'Acct Summary 7-8'!H76</f>
        <v>1797063</v>
      </c>
      <c r="C3298" s="2" t="s">
        <v>569</v>
      </c>
      <c r="D3298" s="2" t="str">
        <f t="shared" si="50"/>
        <v>Error?</v>
      </c>
    </row>
    <row r="3299" spans="1:4" x14ac:dyDescent="0.2">
      <c r="A3299" s="5">
        <v>3238</v>
      </c>
      <c r="B3299" s="1832">
        <f>'Acct Summary 7-8'!H77</f>
        <v>-1797063</v>
      </c>
      <c r="C3299" s="2" t="s">
        <v>569</v>
      </c>
      <c r="D3299" s="2" t="str">
        <f t="shared" si="50"/>
        <v>Error?</v>
      </c>
    </row>
    <row r="3300" spans="1:4" x14ac:dyDescent="0.2">
      <c r="A3300" s="5">
        <v>3239</v>
      </c>
      <c r="B3300" s="1832">
        <f>'Acct Summary 7-8'!H78</f>
        <v>-248434</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33000</v>
      </c>
      <c r="C3318" s="2" t="s">
        <v>569</v>
      </c>
      <c r="D3318" s="2" t="str">
        <f t="shared" si="50"/>
        <v>Error?</v>
      </c>
    </row>
    <row r="3319" spans="1:4" x14ac:dyDescent="0.2">
      <c r="A3319" s="5">
        <v>3258</v>
      </c>
      <c r="B3319" s="1832">
        <f>'Acct Summary 7-8'!I77</f>
        <v>-33000</v>
      </c>
      <c r="C3319" s="2" t="s">
        <v>569</v>
      </c>
      <c r="D3319" s="2" t="str">
        <f t="shared" si="50"/>
        <v>Error?</v>
      </c>
    </row>
    <row r="3320" spans="1:4" x14ac:dyDescent="0.2">
      <c r="A3320" s="5">
        <v>3259</v>
      </c>
      <c r="B3320" s="1832">
        <f>'Acct Summary 7-8'!I78</f>
        <v>1734</v>
      </c>
      <c r="C3320" s="2" t="s">
        <v>569</v>
      </c>
      <c r="D3320" s="2" t="str">
        <f t="shared" si="50"/>
        <v>Error?</v>
      </c>
    </row>
    <row r="3321" spans="1:4" x14ac:dyDescent="0.2">
      <c r="A3321" s="5">
        <v>3260</v>
      </c>
      <c r="B3321" s="1832">
        <f>'Acct Summary 7-8'!I79</f>
        <v>1729681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1731415</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118348</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118348</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3642145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219620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53003</v>
      </c>
      <c r="D3417" s="2" t="str">
        <f t="shared" si="52"/>
        <v>Error?</v>
      </c>
    </row>
    <row r="3418" spans="1:4" x14ac:dyDescent="0.2">
      <c r="A3418" s="10">
        <v>3357</v>
      </c>
      <c r="B3418" s="1832"/>
      <c r="D3418" s="2" t="str">
        <f t="shared" si="52"/>
        <v>OK</v>
      </c>
    </row>
    <row r="3419" spans="1:4" x14ac:dyDescent="0.2">
      <c r="A3419" s="5">
        <v>3358</v>
      </c>
      <c r="B3419" s="1832">
        <f>'Assets-Liab 5-6'!F4</f>
        <v>546252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367494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860902</v>
      </c>
      <c r="D3425" s="2" t="str">
        <f t="shared" si="52"/>
        <v>Error?</v>
      </c>
    </row>
    <row r="3426" spans="1:4" x14ac:dyDescent="0.2">
      <c r="A3426" s="10">
        <v>3365</v>
      </c>
      <c r="B3426" s="1832"/>
      <c r="D3426" s="2" t="str">
        <f t="shared" si="52"/>
        <v>OK</v>
      </c>
    </row>
    <row r="3427" spans="1:4" x14ac:dyDescent="0.2">
      <c r="A3427" s="5">
        <v>3366</v>
      </c>
      <c r="B3427" s="1832">
        <f>'Assets-Liab 5-6'!I4</f>
        <v>25960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206428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285913</v>
      </c>
      <c r="C3446" s="2" t="s">
        <v>569</v>
      </c>
      <c r="D3446" s="2" t="str">
        <f t="shared" si="52"/>
        <v>Error?</v>
      </c>
    </row>
    <row r="3447" spans="1:4" x14ac:dyDescent="0.2">
      <c r="A3447" s="5">
        <v>3386</v>
      </c>
      <c r="B3447" s="1832">
        <f>'Tax Sched 23'!D16</f>
        <v>285913</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289098</v>
      </c>
      <c r="C3449" s="2" t="s">
        <v>569</v>
      </c>
      <c r="D3449" s="2" t="str">
        <f t="shared" si="52"/>
        <v>Error?</v>
      </c>
    </row>
    <row r="3450" spans="1:4" x14ac:dyDescent="0.2">
      <c r="A3450" s="5">
        <v>3389</v>
      </c>
      <c r="B3450" s="1832">
        <f>'Tax Sched 23'!E16</f>
        <v>289098</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35572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35572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35572</v>
      </c>
      <c r="D3567" s="2" t="str">
        <f t="shared" si="54"/>
        <v>Error?</v>
      </c>
    </row>
    <row r="3568" spans="1:4" x14ac:dyDescent="0.2">
      <c r="A3568" s="5">
        <v>3507</v>
      </c>
      <c r="B3568" s="1832">
        <f>'Assets-Liab 5-6'!K41</f>
        <v>35572</v>
      </c>
      <c r="C3568" s="2" t="s">
        <v>569</v>
      </c>
      <c r="D3568" s="2" t="str">
        <f t="shared" si="54"/>
        <v>Error?</v>
      </c>
    </row>
    <row r="3569" spans="1:4" x14ac:dyDescent="0.2">
      <c r="A3569" s="5">
        <v>3508</v>
      </c>
      <c r="B3569" s="1832">
        <f>'Acct Summary 7-8'!K4</f>
        <v>4540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4540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4540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4540</v>
      </c>
      <c r="C3588" s="2" t="s">
        <v>569</v>
      </c>
      <c r="D3588" s="2" t="str">
        <f t="shared" si="55"/>
        <v>Error?</v>
      </c>
    </row>
    <row r="3589" spans="1:4" x14ac:dyDescent="0.2">
      <c r="A3589" s="5">
        <v>3528</v>
      </c>
      <c r="B3589" s="1832">
        <f>'Acct Summary 7-8'!K79</f>
        <v>31032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35572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4540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1331</v>
      </c>
      <c r="C3725" s="2" t="s">
        <v>569</v>
      </c>
      <c r="D3725" s="2" t="str">
        <f t="shared" si="57"/>
        <v>Error?</v>
      </c>
    </row>
    <row r="3726" spans="1:4" x14ac:dyDescent="0.2">
      <c r="A3726" s="5">
        <v>3665</v>
      </c>
      <c r="B3726" s="1832">
        <f>'Tax Sched 23'!D13</f>
        <v>1331</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1392</v>
      </c>
      <c r="C3728" s="2" t="s">
        <v>569</v>
      </c>
      <c r="D3728" s="2" t="str">
        <f t="shared" si="57"/>
        <v>Error?</v>
      </c>
    </row>
    <row r="3729" spans="1:4" x14ac:dyDescent="0.2">
      <c r="A3729" s="5">
        <v>3668</v>
      </c>
      <c r="B3729" s="1832">
        <f>'Tax Sched 23'!E13</f>
        <v>1392</v>
      </c>
      <c r="D3729" s="2" t="str">
        <f t="shared" si="57"/>
        <v>Error?</v>
      </c>
    </row>
    <row r="3730" spans="1:4" x14ac:dyDescent="0.2">
      <c r="A3730" s="5">
        <v>3669</v>
      </c>
      <c r="B3730" s="1832">
        <f>'ICR Computation 30'!E10</f>
        <v>331445</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103007</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103007</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1015254.97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16810633.969999999</v>
      </c>
      <c r="C4122" s="2" t="s">
        <v>569</v>
      </c>
      <c r="D4122" s="2" t="str">
        <f t="shared" si="63"/>
        <v>Error?</v>
      </c>
    </row>
    <row r="4123" spans="1:4" x14ac:dyDescent="0.2">
      <c r="A4123" s="5">
        <v>4062</v>
      </c>
      <c r="B4123" s="1832">
        <f>'Acct Summary 7-8'!D10</f>
        <v>1532867</v>
      </c>
      <c r="C4123" s="2" t="s">
        <v>569</v>
      </c>
      <c r="D4123" s="2" t="str">
        <f t="shared" si="63"/>
        <v>Error?</v>
      </c>
    </row>
    <row r="4124" spans="1:4" x14ac:dyDescent="0.2">
      <c r="A4124" s="5">
        <v>4063</v>
      </c>
      <c r="B4124" s="1832">
        <f>'Acct Summary 7-8'!E10</f>
        <v>1156485</v>
      </c>
      <c r="C4124" s="2" t="s">
        <v>569</v>
      </c>
      <c r="D4124" s="2" t="str">
        <f t="shared" si="63"/>
        <v>Error?</v>
      </c>
    </row>
    <row r="4125" spans="1:4" x14ac:dyDescent="0.2">
      <c r="A4125" s="5">
        <v>4064</v>
      </c>
      <c r="B4125" s="1832">
        <f>'Acct Summary 7-8'!F10</f>
        <v>887557</v>
      </c>
      <c r="C4125" s="2" t="s">
        <v>569</v>
      </c>
      <c r="D4125" s="2" t="str">
        <f t="shared" si="63"/>
        <v>Error?</v>
      </c>
    </row>
    <row r="4126" spans="1:4" x14ac:dyDescent="0.2">
      <c r="A4126" s="5">
        <v>4065</v>
      </c>
      <c r="B4126" s="1832">
        <f>'Acct Summary 7-8'!G10</f>
        <v>504452</v>
      </c>
      <c r="C4126" s="2" t="s">
        <v>569</v>
      </c>
      <c r="D4126" s="2" t="str">
        <f t="shared" si="63"/>
        <v>Error?</v>
      </c>
    </row>
    <row r="4127" spans="1:4" x14ac:dyDescent="0.2">
      <c r="A4127" s="5">
        <v>4066</v>
      </c>
      <c r="B4127" s="1832">
        <f>'Acct Summary 7-8'!H10</f>
        <v>1548629</v>
      </c>
      <c r="C4127" s="2" t="s">
        <v>569</v>
      </c>
      <c r="D4127" s="2" t="str">
        <f t="shared" si="63"/>
        <v>Error?</v>
      </c>
    </row>
    <row r="4128" spans="1:4" x14ac:dyDescent="0.2">
      <c r="A4128" s="5">
        <v>4067</v>
      </c>
      <c r="B4128" s="1832">
        <f>'Acct Summary 7-8'!I10</f>
        <v>34734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4540</v>
      </c>
      <c r="C4130" s="2" t="s">
        <v>569</v>
      </c>
      <c r="D4130" s="2" t="str">
        <f t="shared" si="63"/>
        <v>Error?</v>
      </c>
    </row>
    <row r="4131" spans="1:4" x14ac:dyDescent="0.2">
      <c r="A4131" s="5">
        <v>4070</v>
      </c>
      <c r="B4131" s="1832">
        <f>'Acct Summary 7-8'!C18</f>
        <v>1015254.97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17649976.969999999</v>
      </c>
      <c r="C4136" s="2" t="s">
        <v>569</v>
      </c>
      <c r="D4136" s="2" t="str">
        <f t="shared" si="63"/>
        <v>Error?</v>
      </c>
    </row>
    <row r="4137" spans="1:4" x14ac:dyDescent="0.2">
      <c r="A4137" s="5">
        <v>4076</v>
      </c>
      <c r="B4137" s="1832">
        <f>'Acct Summary 7-8'!D19</f>
        <v>2004322</v>
      </c>
      <c r="C4137" s="2" t="s">
        <v>569</v>
      </c>
      <c r="D4137" s="2" t="str">
        <f t="shared" si="63"/>
        <v>Error?</v>
      </c>
    </row>
    <row r="4138" spans="1:4" x14ac:dyDescent="0.2">
      <c r="A4138" s="5">
        <v>4077</v>
      </c>
      <c r="B4138" s="1832">
        <f>'Acct Summary 7-8'!E19</f>
        <v>2458222</v>
      </c>
      <c r="C4138" s="2" t="s">
        <v>569</v>
      </c>
      <c r="D4138" s="2" t="str">
        <f t="shared" si="63"/>
        <v>Error?</v>
      </c>
    </row>
    <row r="4139" spans="1:4" x14ac:dyDescent="0.2">
      <c r="A4139" s="5">
        <v>4078</v>
      </c>
      <c r="B4139" s="1832">
        <f>'Acct Summary 7-8'!F19</f>
        <v>703765</v>
      </c>
      <c r="C4139" s="2" t="s">
        <v>569</v>
      </c>
      <c r="D4139" s="2" t="str">
        <f t="shared" si="63"/>
        <v>Error?</v>
      </c>
    </row>
    <row r="4140" spans="1:4" x14ac:dyDescent="0.2">
      <c r="A4140" s="5">
        <v>4079</v>
      </c>
      <c r="B4140" s="1832">
        <f>'Acct Summary 7-8'!G19</f>
        <v>457210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37363843</v>
      </c>
      <c r="C4171" s="2" t="s">
        <v>569</v>
      </c>
      <c r="D4171" s="2" t="str">
        <f t="shared" si="64"/>
        <v>Error?</v>
      </c>
    </row>
    <row r="4172" spans="1:4" x14ac:dyDescent="0.2">
      <c r="A4172" s="5">
        <v>4111</v>
      </c>
      <c r="B4172" s="1832">
        <f>'Short-Term Long-Term Debt 24'!J49</f>
        <v>37310840</v>
      </c>
      <c r="C4172" s="2" t="s">
        <v>569</v>
      </c>
      <c r="D4172" s="2" t="str">
        <f t="shared" si="64"/>
        <v>Error?</v>
      </c>
    </row>
    <row r="4173" spans="1:4" x14ac:dyDescent="0.2">
      <c r="A4173" s="5">
        <v>4112</v>
      </c>
      <c r="B4173" s="1832">
        <f>'Short-Term Long-Term Debt 24'!H49</f>
        <v>975000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192741</v>
      </c>
      <c r="D4210" s="2" t="str">
        <f t="shared" si="64"/>
        <v>Error?</v>
      </c>
    </row>
    <row r="4211" spans="1:4" x14ac:dyDescent="0.2">
      <c r="A4211" s="5">
        <v>4150</v>
      </c>
      <c r="B4211" s="1832">
        <f>'Expenditures 15-22'!K206</f>
        <v>192741</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2252.39</v>
      </c>
      <c r="C4265" s="2" t="s">
        <v>569</v>
      </c>
      <c r="D4265" s="2" t="str">
        <f t="shared" si="65"/>
        <v>Error?</v>
      </c>
      <c r="E4265" s="125"/>
    </row>
    <row r="4266" spans="1:5" x14ac:dyDescent="0.2">
      <c r="A4266" s="12">
        <v>4205</v>
      </c>
      <c r="B4266" s="1832">
        <f>('FP Info 3'!F10)*100000</f>
        <v>522.41</v>
      </c>
      <c r="C4266" s="2" t="s">
        <v>569</v>
      </c>
      <c r="D4266" s="2" t="str">
        <f t="shared" si="65"/>
        <v>Error?</v>
      </c>
      <c r="E4266" s="125"/>
    </row>
    <row r="4267" spans="1:5" x14ac:dyDescent="0.2">
      <c r="A4267" s="12">
        <v>4206</v>
      </c>
      <c r="B4267" s="1832">
        <f>('FP Info 3'!H10)*100000</f>
        <v>286.63</v>
      </c>
      <c r="C4267" s="2" t="s">
        <v>569</v>
      </c>
      <c r="D4267" s="2" t="str">
        <f t="shared" si="65"/>
        <v>Error?</v>
      </c>
      <c r="E4267" s="125"/>
    </row>
    <row r="4268" spans="1:5" x14ac:dyDescent="0.2">
      <c r="A4268" s="12">
        <v>4207</v>
      </c>
      <c r="B4268" s="1832">
        <f>('FP Info 3'!J10)*100000</f>
        <v>3061</v>
      </c>
      <c r="C4268" s="2" t="s">
        <v>569</v>
      </c>
      <c r="D4268" s="2" t="str">
        <f t="shared" si="65"/>
        <v>Error?</v>
      </c>
    </row>
    <row r="4269" spans="1:5" x14ac:dyDescent="0.2">
      <c r="A4269" s="12">
        <v>4208</v>
      </c>
      <c r="B4269" s="1832">
        <f>'FP Info 3'!J16</f>
        <v>7910920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38939</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20576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1768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88690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0.69</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1000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201715110</v>
      </c>
      <c r="D4995" s="2" t="str">
        <f t="shared" si="77"/>
        <v>Error?</v>
      </c>
    </row>
    <row r="4996" spans="1:4" x14ac:dyDescent="0.2">
      <c r="A4996" s="12">
        <v>4935</v>
      </c>
      <c r="B4996" s="1832">
        <f>'FP Info 3'!H31</f>
        <v>27836685.180000003</v>
      </c>
      <c r="D4996" s="2" t="str">
        <f t="shared" si="77"/>
        <v>Error?</v>
      </c>
    </row>
    <row r="4997" spans="1:4" x14ac:dyDescent="0.2">
      <c r="A4997" s="12">
        <v>4936</v>
      </c>
      <c r="B4997" s="1832">
        <f>'FP Info 3'!H37</f>
        <v>37363843</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1331</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4335466</v>
      </c>
      <c r="D5061" s="2" t="str">
        <f t="shared" si="78"/>
        <v>Error?</v>
      </c>
    </row>
    <row r="5062" spans="1:4" x14ac:dyDescent="0.2">
      <c r="A5062" s="10">
        <v>5001</v>
      </c>
      <c r="B5062" s="1832"/>
      <c r="D5062" s="2" t="str">
        <f t="shared" si="78"/>
        <v>OK</v>
      </c>
    </row>
    <row r="5063" spans="1:4" x14ac:dyDescent="0.2">
      <c r="A5063" s="5">
        <v>5002</v>
      </c>
      <c r="B5063" s="1832">
        <f>'Revenues 9-14'!C7</f>
        <v>71473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4408270</v>
      </c>
      <c r="C5066" s="2" t="s">
        <v>569</v>
      </c>
      <c r="D5066" s="2" t="str">
        <f t="shared" si="78"/>
        <v>Error?</v>
      </c>
    </row>
    <row r="5067" spans="1:4" x14ac:dyDescent="0.2">
      <c r="A5067" s="5">
        <v>5006</v>
      </c>
      <c r="B5067" s="1832">
        <f>'Revenues 9-14'!C14</f>
        <v>7297</v>
      </c>
      <c r="D5067" s="2" t="str">
        <f t="shared" si="78"/>
        <v>Error?</v>
      </c>
    </row>
    <row r="5068" spans="1:4" x14ac:dyDescent="0.2">
      <c r="A5068" s="5">
        <v>5007</v>
      </c>
      <c r="B5068" s="1832">
        <f>'Revenues 9-14'!C15</f>
        <v>4479</v>
      </c>
      <c r="D5068" s="2" t="str">
        <f t="shared" si="78"/>
        <v>Error?</v>
      </c>
    </row>
    <row r="5069" spans="1:4" x14ac:dyDescent="0.2">
      <c r="A5069" s="5">
        <v>5008</v>
      </c>
      <c r="B5069" s="1832">
        <f>'Revenues 9-14'!C16</f>
        <v>211437</v>
      </c>
      <c r="D5069" s="2" t="str">
        <f t="shared" si="78"/>
        <v>Error?</v>
      </c>
    </row>
    <row r="5070" spans="1:4" x14ac:dyDescent="0.2">
      <c r="A5070" s="5">
        <v>5009</v>
      </c>
      <c r="B5070" s="1832">
        <f>'Revenues 9-14'!C17</f>
        <v>19724</v>
      </c>
      <c r="D5070" s="2" t="str">
        <f t="shared" si="78"/>
        <v>Error?</v>
      </c>
    </row>
    <row r="5071" spans="1:4" x14ac:dyDescent="0.2">
      <c r="A5071" s="5">
        <v>5010</v>
      </c>
      <c r="B5071" s="1832">
        <f>'Revenues 9-14'!C18</f>
        <v>242937</v>
      </c>
      <c r="C5071" s="2" t="s">
        <v>569</v>
      </c>
      <c r="D5071" s="2" t="str">
        <f t="shared" si="78"/>
        <v>Error?</v>
      </c>
    </row>
    <row r="5072" spans="1:4" x14ac:dyDescent="0.2">
      <c r="A5072" s="5">
        <v>5011</v>
      </c>
      <c r="B5072" s="1832">
        <f>'Revenues 9-14'!C20</f>
        <v>9491</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9491</v>
      </c>
      <c r="C5087" s="2" t="s">
        <v>569</v>
      </c>
      <c r="D5087" s="2" t="str">
        <f t="shared" si="78"/>
        <v>Error?</v>
      </c>
    </row>
    <row r="5088" spans="1:4" x14ac:dyDescent="0.2">
      <c r="A5088" s="5">
        <v>5027</v>
      </c>
      <c r="B5088" s="1832">
        <f>'Revenues 9-14'!C65</f>
        <v>24028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24028</v>
      </c>
      <c r="C5090" s="2" t="s">
        <v>569</v>
      </c>
      <c r="D5090" s="2" t="str">
        <f t="shared" si="78"/>
        <v>Error?</v>
      </c>
    </row>
    <row r="5091" spans="1:4" x14ac:dyDescent="0.2">
      <c r="A5091" s="5">
        <v>5030</v>
      </c>
      <c r="B5091" s="1832">
        <f>'Revenues 9-14'!C70</f>
        <v>54021</v>
      </c>
      <c r="D5091" s="2" t="str">
        <f t="shared" si="78"/>
        <v>Error?</v>
      </c>
    </row>
    <row r="5092" spans="1:4" x14ac:dyDescent="0.2">
      <c r="A5092" s="5">
        <v>5031</v>
      </c>
      <c r="B5092" s="1832">
        <f>'Revenues 9-14'!C71</f>
        <v>28537</v>
      </c>
      <c r="D5092" s="2" t="str">
        <f t="shared" si="78"/>
        <v>Error?</v>
      </c>
    </row>
    <row r="5093" spans="1:4" x14ac:dyDescent="0.2">
      <c r="A5093" s="5">
        <v>5032</v>
      </c>
      <c r="B5093" s="1832">
        <f>'Revenues 9-14'!C72</f>
        <v>363</v>
      </c>
      <c r="D5093" s="2" t="str">
        <f t="shared" si="78"/>
        <v>Error?</v>
      </c>
    </row>
    <row r="5094" spans="1:4" x14ac:dyDescent="0.2">
      <c r="A5094" s="5">
        <v>5033</v>
      </c>
      <c r="B5094" s="1832">
        <f>'Revenues 9-14'!C73</f>
        <v>4391</v>
      </c>
      <c r="D5094" s="2" t="str">
        <f t="shared" si="78"/>
        <v>Error?</v>
      </c>
    </row>
    <row r="5095" spans="1:4" x14ac:dyDescent="0.2">
      <c r="A5095" s="5">
        <v>5034</v>
      </c>
      <c r="B5095" s="1832">
        <f>'Revenues 9-14'!C74</f>
        <v>4398</v>
      </c>
      <c r="D5095" s="2" t="str">
        <f t="shared" si="78"/>
        <v>Error?</v>
      </c>
    </row>
    <row r="5096" spans="1:4" x14ac:dyDescent="0.2">
      <c r="A5096" s="5">
        <v>5035</v>
      </c>
      <c r="B5096" s="1832">
        <f>'Revenues 9-14'!C75</f>
        <v>317586</v>
      </c>
      <c r="C5096" s="2" t="s">
        <v>569</v>
      </c>
      <c r="D5096" s="2" t="str">
        <f t="shared" si="78"/>
        <v>Error?</v>
      </c>
    </row>
    <row r="5097" spans="1:4" x14ac:dyDescent="0.2">
      <c r="A5097" s="5">
        <v>5036</v>
      </c>
      <c r="B5097" s="1832">
        <f>'Revenues 9-14'!C77</f>
        <v>48592</v>
      </c>
      <c r="D5097" s="2" t="str">
        <f t="shared" si="78"/>
        <v>Error?</v>
      </c>
    </row>
    <row r="5098" spans="1:4" x14ac:dyDescent="0.2">
      <c r="A5098" s="5">
        <v>5037</v>
      </c>
      <c r="B5098" s="1832">
        <f>'Revenues 9-14'!C78</f>
        <v>2300</v>
      </c>
      <c r="D5098" s="2" t="str">
        <f t="shared" si="78"/>
        <v>Error?</v>
      </c>
    </row>
    <row r="5099" spans="1:4" x14ac:dyDescent="0.2">
      <c r="A5099" s="5">
        <v>5038</v>
      </c>
      <c r="B5099" s="1832">
        <f>'Revenues 9-14'!C79</f>
        <v>9927</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74856</v>
      </c>
      <c r="D5101" s="2" t="str">
        <f t="shared" si="78"/>
        <v>Error?</v>
      </c>
    </row>
    <row r="5102" spans="1:4" x14ac:dyDescent="0.2">
      <c r="A5102" s="5">
        <v>5041</v>
      </c>
      <c r="B5102" s="1832">
        <f>'Revenues 9-14'!C82</f>
        <v>135675</v>
      </c>
      <c r="C5102" s="2" t="s">
        <v>569</v>
      </c>
      <c r="D5102" s="2" t="str">
        <f t="shared" si="78"/>
        <v>Error?</v>
      </c>
    </row>
    <row r="5103" spans="1:4" x14ac:dyDescent="0.2">
      <c r="A5103" s="5">
        <v>5042</v>
      </c>
      <c r="B5103" s="1832">
        <f>'Revenues 9-14'!C84</f>
        <v>68543</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207</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68750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20138</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15840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2040</v>
      </c>
      <c r="D5119" s="2" t="str">
        <f t="shared" ref="D5119:D5182" si="79">IF(ISBLANK(B5119),"OK",IF(A5119-B5119=0,"OK","Error?"))</f>
        <v>Error?</v>
      </c>
    </row>
    <row r="5120" spans="1:4" x14ac:dyDescent="0.2">
      <c r="A5120" s="5">
        <v>5059</v>
      </c>
      <c r="B5120" s="1832">
        <f>'Revenues 9-14'!C108</f>
        <v>49413</v>
      </c>
      <c r="C5120" s="2" t="s">
        <v>569</v>
      </c>
      <c r="D5120" s="2" t="str">
        <f t="shared" si="79"/>
        <v>Error?</v>
      </c>
    </row>
    <row r="5121" spans="1:4" x14ac:dyDescent="0.2">
      <c r="A5121" s="5">
        <v>5060</v>
      </c>
      <c r="B5121" s="1832">
        <f>'Revenues 9-14'!C109</f>
        <v>5256150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9166381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9166381</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23758</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23758</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5038</v>
      </c>
      <c r="D5167" s="2" t="str">
        <f t="shared" si="79"/>
        <v>Error?</v>
      </c>
    </row>
    <row r="5168" spans="1:4" x14ac:dyDescent="0.2">
      <c r="A5168" s="5">
        <v>5107</v>
      </c>
      <c r="B5168" s="1832">
        <f>'Revenues 9-14'!C148</f>
        <v>18943</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48739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9215120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280978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90163</v>
      </c>
      <c r="D5241" s="2" t="str">
        <f t="shared" si="80"/>
        <v>Error?</v>
      </c>
    </row>
    <row r="5242" spans="1:4" x14ac:dyDescent="0.2">
      <c r="A5242" s="5">
        <v>5181</v>
      </c>
      <c r="B5242" s="1832">
        <f>'Revenues 9-14'!C194</f>
        <v>148736</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519877</v>
      </c>
      <c r="C5246" s="2" t="s">
        <v>569</v>
      </c>
      <c r="D5246" s="2" t="str">
        <f t="shared" si="80"/>
        <v>Error?</v>
      </c>
    </row>
    <row r="5247" spans="1:4" x14ac:dyDescent="0.2">
      <c r="A5247" s="5">
        <v>5186</v>
      </c>
      <c r="B5247" s="1832">
        <f>'Revenues 9-14'!C200</f>
        <v>688613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688613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4585</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4585</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1324109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1324109</v>
      </c>
      <c r="C5326" s="2" t="s">
        <v>569</v>
      </c>
      <c r="D5326" s="2" t="str">
        <f t="shared" si="82"/>
        <v>Error?</v>
      </c>
    </row>
    <row r="5327" spans="1:5" x14ac:dyDescent="0.2">
      <c r="A5327" s="5">
        <v>5266</v>
      </c>
      <c r="B5327" s="1832">
        <f>'Revenues 9-14'!C268</f>
        <v>15795379</v>
      </c>
      <c r="C5327" s="2" t="s">
        <v>569</v>
      </c>
      <c r="D5327" s="2" t="str">
        <f t="shared" si="82"/>
        <v>Error?</v>
      </c>
    </row>
    <row r="5328" spans="1:5" x14ac:dyDescent="0.2">
      <c r="A5328" s="5">
        <v>5267</v>
      </c>
      <c r="B5328" s="1832">
        <f>'Revenues 9-14'!D5</f>
        <v>982881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103007</v>
      </c>
      <c r="D5333" s="2" t="str">
        <f t="shared" si="82"/>
        <v>Error?</v>
      </c>
    </row>
    <row r="5334" spans="1:4" x14ac:dyDescent="0.2">
      <c r="A5334" s="5">
        <v>5273</v>
      </c>
      <c r="B5334" s="1832">
        <f>'Revenues 9-14'!D12</f>
        <v>1085888</v>
      </c>
      <c r="C5334" s="2" t="s">
        <v>569</v>
      </c>
      <c r="D5334" s="2" t="str">
        <f t="shared" si="82"/>
        <v>Error?</v>
      </c>
    </row>
    <row r="5335" spans="1:4" x14ac:dyDescent="0.2">
      <c r="A5335" s="5">
        <v>5274</v>
      </c>
      <c r="B5335" s="1832">
        <f>'Revenues 9-14'!D14</f>
        <v>1627</v>
      </c>
      <c r="D5335" s="2" t="str">
        <f t="shared" si="82"/>
        <v>Error?</v>
      </c>
    </row>
    <row r="5336" spans="1:4" x14ac:dyDescent="0.2">
      <c r="A5336" s="5">
        <v>5275</v>
      </c>
      <c r="B5336" s="1832">
        <f>'Revenues 9-14'!D15</f>
        <v>998</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4398</v>
      </c>
      <c r="D5338" s="2" t="str">
        <f t="shared" si="82"/>
        <v>Error?</v>
      </c>
    </row>
    <row r="5339" spans="1:4" x14ac:dyDescent="0.2">
      <c r="A5339" s="5">
        <v>5278</v>
      </c>
      <c r="B5339" s="1832">
        <f>'Revenues 9-14'!D18</f>
        <v>7023</v>
      </c>
      <c r="C5339" s="2" t="s">
        <v>569</v>
      </c>
      <c r="D5339" s="2" t="str">
        <f t="shared" si="82"/>
        <v>Error?</v>
      </c>
    </row>
    <row r="5340" spans="1:4" x14ac:dyDescent="0.2">
      <c r="A5340" s="5">
        <v>5279</v>
      </c>
      <c r="B5340" s="1832">
        <f>'Revenues 9-14'!D65</f>
        <v>1017</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1017</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1093928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400000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400000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38939</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438939</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1532867</v>
      </c>
      <c r="C5508" s="2" t="s">
        <v>569</v>
      </c>
      <c r="D5508" s="2" t="str">
        <f t="shared" si="85"/>
        <v>Error?</v>
      </c>
    </row>
    <row r="5509" spans="1:4" x14ac:dyDescent="0.2">
      <c r="A5509" s="5">
        <v>5448</v>
      </c>
      <c r="B5509" s="1832">
        <f>'Revenues 9-14'!E5</f>
        <v>1147924</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1147924</v>
      </c>
      <c r="C5513" s="2" t="s">
        <v>569</v>
      </c>
      <c r="D5513" s="2" t="str">
        <f t="shared" si="85"/>
        <v>Error?</v>
      </c>
    </row>
    <row r="5514" spans="1:4" x14ac:dyDescent="0.2">
      <c r="A5514" s="5">
        <v>5453</v>
      </c>
      <c r="B5514" s="1832">
        <f>'Revenues 9-14'!E14</f>
        <v>1900</v>
      </c>
      <c r="D5514" s="2" t="str">
        <f t="shared" si="85"/>
        <v>Error?</v>
      </c>
    </row>
    <row r="5515" spans="1:4" x14ac:dyDescent="0.2">
      <c r="A5515" s="5">
        <v>5454</v>
      </c>
      <c r="B5515" s="1832">
        <f>'Revenues 9-14'!E15</f>
        <v>1166</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5136</v>
      </c>
      <c r="D5517" s="2" t="str">
        <f t="shared" si="85"/>
        <v>Error?</v>
      </c>
    </row>
    <row r="5518" spans="1:4" x14ac:dyDescent="0.2">
      <c r="A5518" s="5">
        <v>5457</v>
      </c>
      <c r="B5518" s="1832">
        <f>'Revenues 9-14'!E18</f>
        <v>8202</v>
      </c>
      <c r="C5518" s="2" t="s">
        <v>569</v>
      </c>
      <c r="D5518" s="2" t="str">
        <f t="shared" si="85"/>
        <v>Error?</v>
      </c>
    </row>
    <row r="5519" spans="1:4" x14ac:dyDescent="0.2">
      <c r="A5519" s="5">
        <v>5458</v>
      </c>
      <c r="B5519" s="1832">
        <f>'Revenues 9-14'!E65</f>
        <v>359</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359</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1156485</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1156485</v>
      </c>
      <c r="C5552" s="2" t="s">
        <v>569</v>
      </c>
      <c r="D5552" s="2" t="str">
        <f t="shared" si="85"/>
        <v>Error?</v>
      </c>
    </row>
    <row r="5553" spans="1:4" x14ac:dyDescent="0.2">
      <c r="A5553" s="5">
        <v>5492</v>
      </c>
      <c r="B5553" s="1832">
        <f>'Revenues 9-14'!F5</f>
        <v>536119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536119</v>
      </c>
      <c r="C5557" s="2" t="s">
        <v>569</v>
      </c>
      <c r="D5557" s="2" t="str">
        <f t="shared" si="85"/>
        <v>Error?</v>
      </c>
    </row>
    <row r="5558" spans="1:4" x14ac:dyDescent="0.2">
      <c r="A5558" s="5">
        <v>5497</v>
      </c>
      <c r="B5558" s="1832">
        <f>'Revenues 9-14'!F14</f>
        <v>887</v>
      </c>
      <c r="D5558" s="2" t="str">
        <f t="shared" si="85"/>
        <v>Error?</v>
      </c>
    </row>
    <row r="5559" spans="1:4" x14ac:dyDescent="0.2">
      <c r="A5559" s="5">
        <v>5498</v>
      </c>
      <c r="B5559" s="1832">
        <f>'Revenues 9-14'!F15</f>
        <v>545</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2399</v>
      </c>
      <c r="D5561" s="2" t="str">
        <f t="shared" si="85"/>
        <v>Error?</v>
      </c>
    </row>
    <row r="5562" spans="1:4" x14ac:dyDescent="0.2">
      <c r="A5562" s="5">
        <v>5501</v>
      </c>
      <c r="B5562" s="1832">
        <f>'Revenues 9-14'!F18</f>
        <v>3831</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548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548</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5500</v>
      </c>
      <c r="D5586" s="2" t="str">
        <f t="shared" si="86"/>
        <v>Error?</v>
      </c>
    </row>
    <row r="5587" spans="1:4" x14ac:dyDescent="0.2">
      <c r="A5587" s="5">
        <v>5526</v>
      </c>
      <c r="B5587" s="1832">
        <f>'Revenues 9-14'!F108</f>
        <v>5500</v>
      </c>
      <c r="C5587" s="2" t="s">
        <v>569</v>
      </c>
      <c r="D5587" s="2" t="str">
        <f t="shared" si="86"/>
        <v>Error?</v>
      </c>
    </row>
    <row r="5588" spans="1:4" x14ac:dyDescent="0.2">
      <c r="A5588" s="5">
        <v>5527</v>
      </c>
      <c r="B5588" s="1832">
        <f>'Revenues 9-14'!F109</f>
        <v>545998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135000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135000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206559</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206559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206559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341559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887557</v>
      </c>
      <c r="C5720" s="2" t="s">
        <v>569</v>
      </c>
      <c r="D5720" s="2" t="str">
        <f t="shared" si="88"/>
        <v>Error?</v>
      </c>
    </row>
    <row r="5721" spans="1:4" x14ac:dyDescent="0.2">
      <c r="A5721" s="5">
        <v>5660</v>
      </c>
      <c r="B5721" s="1832">
        <f>'Revenues 9-14'!G5</f>
        <v>214440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285913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500353</v>
      </c>
      <c r="C5725" s="2" t="s">
        <v>569</v>
      </c>
      <c r="D5725" s="2" t="str">
        <f t="shared" si="88"/>
        <v>Error?</v>
      </c>
    </row>
    <row r="5726" spans="1:4" x14ac:dyDescent="0.2">
      <c r="A5726" s="5">
        <v>5665</v>
      </c>
      <c r="B5726" s="1832">
        <f>'Revenues 9-14'!G14</f>
        <v>828</v>
      </c>
      <c r="D5726" s="2" t="str">
        <f t="shared" si="88"/>
        <v>Error?</v>
      </c>
    </row>
    <row r="5727" spans="1:4" x14ac:dyDescent="0.2">
      <c r="A5727" s="5">
        <v>5666</v>
      </c>
      <c r="B5727" s="1832">
        <f>'Revenues 9-14'!G15</f>
        <v>508</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2238</v>
      </c>
      <c r="D5729" s="2" t="str">
        <f t="shared" si="88"/>
        <v>Error?</v>
      </c>
    </row>
    <row r="5730" spans="1:4" x14ac:dyDescent="0.2">
      <c r="A5730" s="5">
        <v>5669</v>
      </c>
      <c r="B5730" s="1832">
        <f>'Revenues 9-14'!G18</f>
        <v>3574</v>
      </c>
      <c r="C5730" s="2" t="s">
        <v>569</v>
      </c>
      <c r="D5730" s="2" t="str">
        <f t="shared" si="88"/>
        <v>Error?</v>
      </c>
    </row>
    <row r="5731" spans="1:4" x14ac:dyDescent="0.2">
      <c r="A5731" s="5">
        <v>5670</v>
      </c>
      <c r="B5731" s="1832">
        <f>'Revenues 9-14'!G65</f>
        <v>525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525</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504452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22699</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22699</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1525930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1548629</v>
      </c>
      <c r="C5915" s="2" t="s">
        <v>569</v>
      </c>
      <c r="D5915" s="2" t="str">
        <f t="shared" si="91"/>
        <v>Error?</v>
      </c>
    </row>
    <row r="5916" spans="1:4" x14ac:dyDescent="0.2">
      <c r="A5916" s="5">
        <v>5855</v>
      </c>
      <c r="B5916" s="1832">
        <f>'Revenues 9-14'!I5</f>
        <v>1331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1331</v>
      </c>
      <c r="C5918" s="2" t="s">
        <v>569</v>
      </c>
      <c r="D5918" s="2" t="str">
        <f t="shared" si="91"/>
        <v>Error?</v>
      </c>
    </row>
    <row r="5919" spans="1:4" x14ac:dyDescent="0.2">
      <c r="A5919" s="5">
        <v>5858</v>
      </c>
      <c r="B5919" s="1832">
        <f>'Revenues 9-14'!I14</f>
        <v>2</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6</v>
      </c>
      <c r="D5922" s="2" t="str">
        <f t="shared" si="91"/>
        <v>Error?</v>
      </c>
    </row>
    <row r="5923" spans="1:4" x14ac:dyDescent="0.2">
      <c r="A5923" s="5">
        <v>5862</v>
      </c>
      <c r="B5923" s="1832">
        <f>'Revenues 9-14'!I18</f>
        <v>8</v>
      </c>
      <c r="C5923" s="2" t="s">
        <v>569</v>
      </c>
      <c r="D5923" s="2" t="str">
        <f t="shared" si="91"/>
        <v>Error?</v>
      </c>
    </row>
    <row r="5924" spans="1:4" x14ac:dyDescent="0.2">
      <c r="A5924" s="5">
        <v>5863</v>
      </c>
      <c r="B5924" s="1832">
        <f>'Revenues 9-14'!I65</f>
        <v>33395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33395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34734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4471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4471</v>
      </c>
      <c r="C5987" s="2" t="s">
        <v>569</v>
      </c>
      <c r="D5987" s="2" t="str">
        <f t="shared" si="92"/>
        <v>Error?</v>
      </c>
    </row>
    <row r="5988" spans="1:4" x14ac:dyDescent="0.2">
      <c r="A5988" s="5">
        <v>5927</v>
      </c>
      <c r="B5988" s="1832">
        <f>'Revenues 9-14'!K14</f>
        <v>7</v>
      </c>
      <c r="D5988" s="2" t="str">
        <f t="shared" si="92"/>
        <v>Error?</v>
      </c>
    </row>
    <row r="5989" spans="1:4" x14ac:dyDescent="0.2">
      <c r="A5989" s="5">
        <v>5928</v>
      </c>
      <c r="B5989" s="1832">
        <f>'Revenues 9-14'!K15</f>
        <v>5</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20</v>
      </c>
      <c r="D5991" s="2" t="str">
        <f t="shared" si="92"/>
        <v>Error?</v>
      </c>
    </row>
    <row r="5992" spans="1:4" x14ac:dyDescent="0.2">
      <c r="A5992" s="5">
        <v>5931</v>
      </c>
      <c r="B5992" s="1832">
        <f>'Revenues 9-14'!K18</f>
        <v>32</v>
      </c>
      <c r="C5992" s="2" t="s">
        <v>569</v>
      </c>
      <c r="D5992" s="2" t="str">
        <f t="shared" si="92"/>
        <v>Error?</v>
      </c>
    </row>
    <row r="5993" spans="1:4" x14ac:dyDescent="0.2">
      <c r="A5993" s="5">
        <v>5932</v>
      </c>
      <c r="B5993" s="1832">
        <f>'Revenues 9-14'!K65</f>
        <v>37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4540</v>
      </c>
      <c r="C6023" s="2" t="s">
        <v>569</v>
      </c>
      <c r="D6023" s="2" t="str">
        <f t="shared" si="93"/>
        <v>Error?</v>
      </c>
    </row>
    <row r="6024" spans="1:5" x14ac:dyDescent="0.2">
      <c r="A6024" s="5">
        <v>5963</v>
      </c>
      <c r="B6024" s="1832">
        <f>'Revenues 9-14'!G109</f>
        <v>504452</v>
      </c>
      <c r="C6024" s="2" t="s">
        <v>569</v>
      </c>
      <c r="D6024" s="2" t="str">
        <f t="shared" si="93"/>
        <v>Error?</v>
      </c>
    </row>
    <row r="6025" spans="1:5" x14ac:dyDescent="0.2">
      <c r="A6025" s="5">
        <v>5964</v>
      </c>
      <c r="B6025" s="1832">
        <f>'Revenues 9-14'!H109</f>
        <v>1548629</v>
      </c>
      <c r="C6025" s="2" t="s">
        <v>569</v>
      </c>
      <c r="D6025" s="2" t="str">
        <f t="shared" si="93"/>
        <v>Error?</v>
      </c>
    </row>
    <row r="6026" spans="1:5" x14ac:dyDescent="0.2">
      <c r="A6026" s="5">
        <v>5965</v>
      </c>
      <c r="B6026" s="1832">
        <f>'Revenues 9-14'!I109</f>
        <v>34734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4540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225876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62542</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2029.3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302489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302489</v>
      </c>
      <c r="D6215" s="2" t="str">
        <f t="shared" si="96"/>
        <v>Error?</v>
      </c>
      <c r="E6215" s="2" t="s">
        <v>189</v>
      </c>
    </row>
    <row r="6216" spans="1:5" x14ac:dyDescent="0.2">
      <c r="A6216">
        <v>6155</v>
      </c>
      <c r="B6216" s="1832">
        <f>'Assets-Liab 5-6'!J41</f>
        <v>302489</v>
      </c>
      <c r="D6216" s="2" t="str">
        <f t="shared" si="96"/>
        <v>Error?</v>
      </c>
      <c r="E6216" s="2" t="s">
        <v>189</v>
      </c>
    </row>
    <row r="6217" spans="1:5" x14ac:dyDescent="0.2">
      <c r="A6217">
        <v>6156</v>
      </c>
      <c r="B6217" s="1832">
        <f>'Assets-Liab 5-6'!J4</f>
        <v>286190</v>
      </c>
      <c r="D6217" s="2" t="str">
        <f t="shared" si="96"/>
        <v>Error?</v>
      </c>
      <c r="E6217" s="2" t="s">
        <v>189</v>
      </c>
    </row>
    <row r="6218" spans="1:5" x14ac:dyDescent="0.2">
      <c r="A6218">
        <v>6157</v>
      </c>
      <c r="B6218" s="1832">
        <f>'Assets-Liab 5-6'!J5</f>
        <v>16299</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585177</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585177</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585177</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495784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495784</v>
      </c>
      <c r="D6229" s="2" t="str">
        <f t="shared" si="96"/>
        <v>Error?</v>
      </c>
      <c r="E6229" s="2" t="s">
        <v>189</v>
      </c>
    </row>
    <row r="6230" spans="1:5" x14ac:dyDescent="0.2">
      <c r="A6230">
        <v>6169</v>
      </c>
      <c r="B6230" s="1832">
        <f>'Acct Summary 7-8'!J20</f>
        <v>89393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89393</v>
      </c>
      <c r="D6263" s="2" t="str">
        <f t="shared" si="96"/>
        <v>Error?</v>
      </c>
      <c r="E6263" s="2" t="s">
        <v>189</v>
      </c>
    </row>
    <row r="6264" spans="1:5" x14ac:dyDescent="0.2">
      <c r="A6264">
        <v>6203</v>
      </c>
      <c r="B6264" s="1832">
        <f>'Acct Summary 7-8'!J79</f>
        <v>213096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302489</v>
      </c>
      <c r="D6266" s="2" t="str">
        <f t="shared" si="96"/>
        <v>Error?</v>
      </c>
      <c r="E6266" s="2" t="s">
        <v>189</v>
      </c>
    </row>
    <row r="6267" spans="1:5" x14ac:dyDescent="0.2">
      <c r="A6267">
        <v>6206</v>
      </c>
      <c r="B6267" s="1832">
        <f>'Acct Summary 7-8'!C82</f>
        <v>-88850</v>
      </c>
      <c r="D6267" s="2" t="str">
        <f t="shared" si="96"/>
        <v>Error?</v>
      </c>
      <c r="E6267" s="2" t="s">
        <v>189</v>
      </c>
    </row>
    <row r="6268" spans="1:5" x14ac:dyDescent="0.2">
      <c r="A6268">
        <v>6207</v>
      </c>
      <c r="B6268" s="1832">
        <f>'Acct Summary 7-8'!D82</f>
        <v>22545</v>
      </c>
      <c r="D6268" s="2" t="str">
        <f t="shared" si="96"/>
        <v>Error?</v>
      </c>
      <c r="E6268" s="2" t="s">
        <v>189</v>
      </c>
    </row>
    <row r="6269" spans="1:5" x14ac:dyDescent="0.2">
      <c r="A6269">
        <v>6208</v>
      </c>
      <c r="B6269" s="1832">
        <f>'Acct Summary 7-8'!E82</f>
        <v>1325</v>
      </c>
      <c r="D6269" s="2" t="str">
        <f t="shared" si="96"/>
        <v>Error?</v>
      </c>
      <c r="E6269" s="2" t="s">
        <v>189</v>
      </c>
    </row>
    <row r="6270" spans="1:5" x14ac:dyDescent="0.2">
      <c r="A6270">
        <v>6209</v>
      </c>
      <c r="B6270" s="1832">
        <f>'Acct Summary 7-8'!F82</f>
        <v>183792</v>
      </c>
      <c r="D6270" s="2" t="str">
        <f t="shared" si="96"/>
        <v>Error?</v>
      </c>
      <c r="E6270" s="2" t="s">
        <v>189</v>
      </c>
    </row>
    <row r="6271" spans="1:5" x14ac:dyDescent="0.2">
      <c r="A6271">
        <v>6210</v>
      </c>
      <c r="B6271" s="1832">
        <f>'Acct Summary 7-8'!G82</f>
        <v>47242</v>
      </c>
      <c r="D6271" s="2" t="str">
        <f t="shared" ref="D6271:D6334" si="97">IF(ISBLANK(B6271),"OK",IF(A6271-B6271=0,"OK","Error?"))</f>
        <v>Error?</v>
      </c>
      <c r="E6271" s="2" t="s">
        <v>189</v>
      </c>
    </row>
    <row r="6272" spans="1:5" x14ac:dyDescent="0.2">
      <c r="A6272">
        <v>6211</v>
      </c>
      <c r="B6272" s="1832">
        <f>'Acct Summary 7-8'!H82</f>
        <v>-248434</v>
      </c>
      <c r="D6272" s="2" t="str">
        <f t="shared" si="97"/>
        <v>Error?</v>
      </c>
      <c r="E6272" s="2" t="s">
        <v>189</v>
      </c>
    </row>
    <row r="6273" spans="1:5" x14ac:dyDescent="0.2">
      <c r="A6273">
        <v>6212</v>
      </c>
      <c r="B6273" s="1832">
        <f>'Acct Summary 7-8'!I82</f>
        <v>1734</v>
      </c>
      <c r="D6273" s="2" t="str">
        <f t="shared" si="97"/>
        <v>Error?</v>
      </c>
      <c r="E6273" s="2" t="s">
        <v>189</v>
      </c>
    </row>
    <row r="6274" spans="1:5" x14ac:dyDescent="0.2">
      <c r="A6274">
        <v>6213</v>
      </c>
      <c r="B6274" s="1832">
        <f>'Acct Summary 7-8'!J82</f>
        <v>89393</v>
      </c>
      <c r="D6274" s="2" t="str">
        <f t="shared" si="97"/>
        <v>Error?</v>
      </c>
      <c r="E6274" s="2" t="s">
        <v>189</v>
      </c>
    </row>
    <row r="6275" spans="1:5" x14ac:dyDescent="0.2">
      <c r="A6275">
        <v>6214</v>
      </c>
      <c r="B6275" s="1832">
        <f>'Acct Summary 7-8'!K82</f>
        <v>4540</v>
      </c>
      <c r="D6275" s="2" t="str">
        <f t="shared" si="97"/>
        <v>Error?</v>
      </c>
      <c r="E6275" s="2" t="s">
        <v>189</v>
      </c>
    </row>
    <row r="6276" spans="1:5" x14ac:dyDescent="0.2">
      <c r="A6276">
        <v>6215</v>
      </c>
      <c r="B6276" s="1832">
        <f>'Acct Summary 7-8'!C83</f>
        <v>-1.7955461966653565E-2</v>
      </c>
      <c r="D6276" s="2" t="str">
        <f t="shared" si="97"/>
        <v>Error?</v>
      </c>
      <c r="E6276" s="2" t="s">
        <v>189</v>
      </c>
    </row>
    <row r="6277" spans="1:5" x14ac:dyDescent="0.2">
      <c r="A6277">
        <v>6216</v>
      </c>
      <c r="B6277" s="1832">
        <f>'Acct Summary 7-8'!D83</f>
        <v>3.2917310314820598E-2</v>
      </c>
      <c r="D6277" s="2" t="str">
        <f t="shared" si="97"/>
        <v>Error?</v>
      </c>
      <c r="E6277" s="2" t="s">
        <v>189</v>
      </c>
    </row>
    <row r="6278" spans="1:5" x14ac:dyDescent="0.2">
      <c r="A6278">
        <v>6217</v>
      </c>
      <c r="B6278" s="1832">
        <f>'Acct Summary 7-8'!E83</f>
        <v>2.4998584985755523E-2</v>
      </c>
      <c r="D6278" s="2" t="str">
        <f t="shared" si="97"/>
        <v>Error?</v>
      </c>
      <c r="E6278" s="2" t="s">
        <v>189</v>
      </c>
    </row>
    <row r="6279" spans="1:5" x14ac:dyDescent="0.2">
      <c r="A6279">
        <v>6218</v>
      </c>
      <c r="B6279" s="1832">
        <f>'Acct Summary 7-8'!F83</f>
        <v>0.336460095340612</v>
      </c>
      <c r="D6279" s="2" t="str">
        <f t="shared" si="97"/>
        <v>Error?</v>
      </c>
      <c r="E6279" s="2" t="s">
        <v>189</v>
      </c>
    </row>
    <row r="6280" spans="1:5" x14ac:dyDescent="0.2">
      <c r="A6280">
        <v>6219</v>
      </c>
      <c r="B6280" s="1832">
        <f>'Acct Summary 7-8'!G83</f>
        <v>0.12855175866816873</v>
      </c>
      <c r="D6280" s="2" t="str">
        <f t="shared" si="97"/>
        <v>Error?</v>
      </c>
      <c r="E6280" s="2" t="s">
        <v>189</v>
      </c>
    </row>
    <row r="6281" spans="1:5" x14ac:dyDescent="0.2">
      <c r="A6281">
        <v>6220</v>
      </c>
      <c r="B6281" s="1832">
        <f>'Acct Summary 7-8'!H83</f>
        <v>-0.1690507913134483</v>
      </c>
      <c r="D6281" s="2" t="str">
        <f t="shared" si="97"/>
        <v>Error?</v>
      </c>
      <c r="E6281" s="2" t="s">
        <v>189</v>
      </c>
    </row>
    <row r="6282" spans="1:5" x14ac:dyDescent="0.2">
      <c r="A6282">
        <v>6221</v>
      </c>
      <c r="B6282" s="1832">
        <f>'Acct Summary 7-8'!I83</f>
        <v>1.0014929985012258E-3</v>
      </c>
      <c r="D6282" s="2" t="str">
        <f t="shared" si="97"/>
        <v>Error?</v>
      </c>
      <c r="E6282" s="2" t="s">
        <v>189</v>
      </c>
    </row>
    <row r="6283" spans="1:5" x14ac:dyDescent="0.2">
      <c r="A6283">
        <v>6222</v>
      </c>
      <c r="B6283" s="1832">
        <f>'Acct Summary 7-8'!J83</f>
        <v>0.29552479594299297</v>
      </c>
      <c r="D6283" s="2" t="str">
        <f t="shared" si="97"/>
        <v>Error?</v>
      </c>
      <c r="E6283" s="2" t="s">
        <v>189</v>
      </c>
    </row>
    <row r="6284" spans="1:5" x14ac:dyDescent="0.2">
      <c r="A6284">
        <v>6223</v>
      </c>
      <c r="B6284" s="1832">
        <f>'Acct Summary 7-8'!K83</f>
        <v>0.12762847183177781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580787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580787</v>
      </c>
      <c r="D6301" s="2" t="str">
        <f t="shared" si="97"/>
        <v>Error?</v>
      </c>
      <c r="E6301" s="2" t="s">
        <v>189</v>
      </c>
    </row>
    <row r="6302" spans="1:5" x14ac:dyDescent="0.2">
      <c r="A6302">
        <v>6241</v>
      </c>
      <c r="B6302" s="1832">
        <f>'Revenues 9-14'!J14</f>
        <v>961</v>
      </c>
      <c r="D6302" s="2" t="str">
        <f t="shared" si="97"/>
        <v>Error?</v>
      </c>
      <c r="E6302" s="2" t="s">
        <v>189</v>
      </c>
    </row>
    <row r="6303" spans="1:5" x14ac:dyDescent="0.2">
      <c r="A6303">
        <v>6242</v>
      </c>
      <c r="B6303" s="1832">
        <f>'Revenues 9-14'!J15</f>
        <v>590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2599</v>
      </c>
      <c r="D6305" s="2" t="str">
        <f t="shared" si="97"/>
        <v>Error?</v>
      </c>
      <c r="E6305" s="2" t="s">
        <v>189</v>
      </c>
    </row>
    <row r="6306" spans="1:5" x14ac:dyDescent="0.2">
      <c r="A6306">
        <v>6245</v>
      </c>
      <c r="B6306" s="1832">
        <f>'Revenues 9-14'!J18</f>
        <v>4150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240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240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11395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585177</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159703</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10805</v>
      </c>
      <c r="D7016" s="2" t="str">
        <f t="shared" si="108"/>
        <v>Error?</v>
      </c>
    </row>
    <row r="7017" spans="1:4" x14ac:dyDescent="0.2">
      <c r="A7017">
        <v>6956</v>
      </c>
      <c r="B7017" s="1832">
        <f>'Expenditures 15-22'!K111</f>
        <v>10805</v>
      </c>
      <c r="D7017" s="2" t="str">
        <f t="shared" si="108"/>
        <v>Error?</v>
      </c>
    </row>
    <row r="7018" spans="1:4" x14ac:dyDescent="0.2">
      <c r="A7018">
        <v>6957</v>
      </c>
      <c r="B7018" s="1832">
        <f>'Expenditures 15-22'!H112</f>
        <v>10805</v>
      </c>
      <c r="D7018" s="2" t="str">
        <f t="shared" si="108"/>
        <v>Error?</v>
      </c>
    </row>
    <row r="7019" spans="1:4" x14ac:dyDescent="0.2">
      <c r="A7019">
        <v>6958</v>
      </c>
      <c r="B7019" s="1832">
        <f>'Expenditures 15-22'!K112</f>
        <v>10805</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495784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585177</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1662</v>
      </c>
      <c r="D7079" s="2" t="str">
        <f t="shared" si="109"/>
        <v>Error?</v>
      </c>
    </row>
    <row r="7080" spans="1:4" x14ac:dyDescent="0.2">
      <c r="A7080">
        <v>7019</v>
      </c>
      <c r="B7080" s="1832">
        <f>'Expenditures 15-22'!K226</f>
        <v>1662</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103612</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103612</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17557</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17557</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266913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266913</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2000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50000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52000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55702</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55702</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445784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50000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495784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445784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50000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495784</v>
      </c>
      <c r="D7224" s="2" t="str">
        <f t="shared" si="111"/>
        <v>Error?</v>
      </c>
    </row>
    <row r="7225" spans="1:4" x14ac:dyDescent="0.2">
      <c r="A7225">
        <v>7164</v>
      </c>
      <c r="B7225" s="1832">
        <f>'Expenditures 15-22'!K343</f>
        <v>89393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110628</v>
      </c>
      <c r="D7263" s="2" t="str">
        <f t="shared" si="112"/>
        <v>Error?</v>
      </c>
    </row>
    <row r="7264" spans="1:4" x14ac:dyDescent="0.2">
      <c r="A7264">
        <f t="shared" si="113"/>
        <v>7203</v>
      </c>
      <c r="B7264" s="1832">
        <f>'Expenditures 15-22'!D17</f>
        <v>33125</v>
      </c>
      <c r="D7264" s="2" t="str">
        <f t="shared" si="112"/>
        <v>Error?</v>
      </c>
    </row>
    <row r="7265" spans="1:5" x14ac:dyDescent="0.2">
      <c r="A7265">
        <f t="shared" si="113"/>
        <v>7204</v>
      </c>
      <c r="B7265" s="1832">
        <f>'Expenditures 15-22'!E17</f>
        <v>13942</v>
      </c>
      <c r="D7265" s="2" t="str">
        <f t="shared" si="112"/>
        <v>Error?</v>
      </c>
    </row>
    <row r="7266" spans="1:5" x14ac:dyDescent="0.2">
      <c r="A7266">
        <f t="shared" si="113"/>
        <v>7205</v>
      </c>
      <c r="B7266" s="1832">
        <f>'Expenditures 15-22'!F17</f>
        <v>1987</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21</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1951266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1237816</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48817</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1525930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1574747</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1478473</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1478473</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1478473</v>
      </c>
      <c r="D7730" s="2" t="str">
        <f t="shared" si="126"/>
        <v>Error?</v>
      </c>
      <c r="E7730" s="2" t="s">
        <v>822</v>
      </c>
    </row>
    <row r="7731" spans="1:6" x14ac:dyDescent="0.2">
      <c r="A7731">
        <v>7670</v>
      </c>
      <c r="B7731" s="1832">
        <f>'Revenues 9-14'!H103</f>
        <v>1525930</v>
      </c>
      <c r="D7731" s="2" t="str">
        <f t="shared" si="126"/>
        <v>Error?</v>
      </c>
      <c r="E7731" s="2" t="s">
        <v>822</v>
      </c>
    </row>
    <row r="7732" spans="1:6" x14ac:dyDescent="0.2">
      <c r="A7732">
        <v>7671</v>
      </c>
      <c r="B7732" s="1832">
        <f>'Rest Tax Levies-Tort Im 25'!J24</f>
        <v>1334090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1334090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33000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1996</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0</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40718843</v>
      </c>
      <c r="D7817" s="2" t="str">
        <f t="shared" si="128"/>
        <v>Error?</v>
      </c>
      <c r="E7817" s="4" t="s">
        <v>1965</v>
      </c>
    </row>
    <row r="7818" spans="1:5" x14ac:dyDescent="0.2">
      <c r="A7818">
        <v>7757</v>
      </c>
      <c r="B7818" s="1832">
        <f>'PCTC-OEPP 27-28'!F172</f>
        <v>410040</v>
      </c>
      <c r="D7818" s="2" t="str">
        <f t="shared" si="128"/>
        <v>Error?</v>
      </c>
      <c r="E7818" s="4" t="s">
        <v>1979</v>
      </c>
    </row>
    <row r="7819" spans="1:5" x14ac:dyDescent="0.2">
      <c r="A7819">
        <v>7758</v>
      </c>
      <c r="B7819" s="1832">
        <f>'PCTC-OEPP 27-28'!F173</f>
        <v>1033</v>
      </c>
      <c r="D7819" s="2" t="str">
        <f t="shared" si="128"/>
        <v>Error?</v>
      </c>
      <c r="E7819" s="4" t="s">
        <v>1979</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22754025</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0</v>
      </c>
      <c r="D7826" s="2" t="str">
        <f t="shared" si="129"/>
        <v>Error?</v>
      </c>
      <c r="E7826" s="4" t="s">
        <v>1997</v>
      </c>
    </row>
    <row r="7827" spans="1:5" x14ac:dyDescent="0.2">
      <c r="A7827">
        <v>7766</v>
      </c>
      <c r="B7827" s="1832">
        <f>'PCTC-OEPP 27-28'!F35</f>
        <v>0</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0</v>
      </c>
      <c r="D7830" s="2" t="str">
        <f t="shared" si="129"/>
        <v>Error?</v>
      </c>
      <c r="E7830" s="4" t="s">
        <v>1997</v>
      </c>
    </row>
    <row r="7831" spans="1:5" x14ac:dyDescent="0.2">
      <c r="A7831">
        <v>7770</v>
      </c>
      <c r="B7831" s="1832">
        <f>'PCTC-OEPP 27-28'!F52</f>
        <v>29456</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5017305</v>
      </c>
      <c r="D7834" s="2" t="str">
        <f t="shared" si="129"/>
        <v>Error?</v>
      </c>
      <c r="E7834" s="4" t="s">
        <v>1997</v>
      </c>
    </row>
    <row r="7835" spans="1:5" x14ac:dyDescent="0.2">
      <c r="A7835">
        <v>7774</v>
      </c>
      <c r="B7835" s="1832">
        <f>'PCTC-OEPP 27-28'!F78</f>
        <v>17736720</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8740.3143941260532</v>
      </c>
      <c r="D7837" s="2" t="str">
        <f t="shared" si="129"/>
        <v>Error?</v>
      </c>
      <c r="E7837" s="4" t="s">
        <v>1997</v>
      </c>
    </row>
    <row r="7838" spans="1:5" x14ac:dyDescent="0.2">
      <c r="A7838">
        <v>7777</v>
      </c>
      <c r="B7838" s="1832">
        <f>'PCTC-OEPP 27-28'!F96</f>
        <v>135675</v>
      </c>
      <c r="D7838" s="2" t="str">
        <f t="shared" si="129"/>
        <v>Error?</v>
      </c>
      <c r="E7838" s="4" t="s">
        <v>1997</v>
      </c>
    </row>
    <row r="7839" spans="1:5" x14ac:dyDescent="0.2">
      <c r="A7839">
        <v>7778</v>
      </c>
      <c r="B7839" s="1832">
        <f>'PCTC-OEPP 27-28'!F102</f>
        <v>0</v>
      </c>
      <c r="D7839" s="2" t="str">
        <f t="shared" si="129"/>
        <v>Error?</v>
      </c>
      <c r="E7839" s="4" t="s">
        <v>1997</v>
      </c>
    </row>
    <row r="7840" spans="1:5" x14ac:dyDescent="0.2">
      <c r="A7840">
        <v>7779</v>
      </c>
      <c r="B7840" s="1832">
        <f>'PCTC-OEPP 27-28'!F103</f>
        <v>0</v>
      </c>
      <c r="D7840" s="2" t="str">
        <f t="shared" si="129"/>
        <v>Error?</v>
      </c>
      <c r="E7840" s="4" t="s">
        <v>1997</v>
      </c>
    </row>
    <row r="7841" spans="1:5" x14ac:dyDescent="0.2">
      <c r="A7841">
        <v>7780</v>
      </c>
      <c r="B7841" s="1832">
        <f>'PCTC-OEPP 27-28'!F104</f>
        <v>0</v>
      </c>
      <c r="D7841" s="2" t="str">
        <f t="shared" si="129"/>
        <v>Error?</v>
      </c>
      <c r="E7841" s="4" t="s">
        <v>1997</v>
      </c>
    </row>
    <row r="7842" spans="1:5" x14ac:dyDescent="0.2">
      <c r="A7842">
        <v>7781</v>
      </c>
      <c r="B7842" s="1832">
        <f>'PCTC-OEPP 27-28'!F106</f>
        <v>23758</v>
      </c>
      <c r="D7842" s="2" t="str">
        <f t="shared" si="129"/>
        <v>Error?</v>
      </c>
      <c r="E7842" s="4" t="s">
        <v>1997</v>
      </c>
    </row>
    <row r="7843" spans="1:5" x14ac:dyDescent="0.2">
      <c r="A7843">
        <v>7782</v>
      </c>
      <c r="B7843" s="1832">
        <f>'PCTC-OEPP 27-28'!F107</f>
        <v>0</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18943</v>
      </c>
      <c r="D7846" s="2" t="str">
        <f t="shared" si="129"/>
        <v>Error?</v>
      </c>
      <c r="E7846" s="4" t="s">
        <v>1997</v>
      </c>
    </row>
    <row r="7847" spans="1:5" x14ac:dyDescent="0.2">
      <c r="A7847">
        <v>7786</v>
      </c>
      <c r="B7847" s="1832">
        <f>'PCTC-OEPP 27-28'!F112</f>
        <v>206559</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1000</v>
      </c>
      <c r="D7855" s="2" t="str">
        <f t="shared" si="129"/>
        <v>Error?</v>
      </c>
      <c r="E7855" s="4" t="s">
        <v>1997</v>
      </c>
    </row>
    <row r="7856" spans="1:5" x14ac:dyDescent="0.2">
      <c r="A7856">
        <v>7795</v>
      </c>
      <c r="B7856" s="1832">
        <f>'PCTC-OEPP 27-28'!F124</f>
        <v>0</v>
      </c>
      <c r="D7856" s="2" t="str">
        <f t="shared" si="129"/>
        <v>Error?</v>
      </c>
      <c r="E7856" s="4" t="s">
        <v>1997</v>
      </c>
    </row>
    <row r="7857" spans="1:5" x14ac:dyDescent="0.2">
      <c r="A7857">
        <v>7796</v>
      </c>
      <c r="B7857" s="1832">
        <f>'PCTC-OEPP 27-28'!F125</f>
        <v>0</v>
      </c>
      <c r="D7857" s="2" t="str">
        <f t="shared" si="129"/>
        <v>Error?</v>
      </c>
      <c r="E7857" s="4" t="s">
        <v>1997</v>
      </c>
    </row>
    <row r="7858" spans="1:5" x14ac:dyDescent="0.2">
      <c r="A7858">
        <v>7797</v>
      </c>
      <c r="B7858" s="1832">
        <f>'PCTC-OEPP 27-28'!F126</f>
        <v>519877</v>
      </c>
      <c r="D7858" s="2" t="str">
        <f t="shared" si="129"/>
        <v>Error?</v>
      </c>
      <c r="E7858" s="4" t="s">
        <v>1997</v>
      </c>
    </row>
    <row r="7859" spans="1:5" x14ac:dyDescent="0.2">
      <c r="A7859">
        <v>7798</v>
      </c>
      <c r="B7859" s="1832">
        <f>'PCTC-OEPP 27-28'!F127</f>
        <v>688613</v>
      </c>
      <c r="D7859" s="2" t="str">
        <f t="shared" si="129"/>
        <v>Error?</v>
      </c>
      <c r="E7859" s="4" t="s">
        <v>1997</v>
      </c>
    </row>
    <row r="7860" spans="1:5" x14ac:dyDescent="0.2">
      <c r="A7860">
        <v>7799</v>
      </c>
      <c r="B7860" s="1832">
        <f>'PCTC-OEPP 27-28'!F128</f>
        <v>0</v>
      </c>
      <c r="D7860" s="2" t="str">
        <f t="shared" si="129"/>
        <v>Error?</v>
      </c>
      <c r="E7860" s="4" t="s">
        <v>1997</v>
      </c>
    </row>
    <row r="7861" spans="1:5" x14ac:dyDescent="0.2">
      <c r="A7861">
        <v>7800</v>
      </c>
      <c r="B7861" s="1832">
        <f>'PCTC-OEPP 27-28'!F129</f>
        <v>0</v>
      </c>
      <c r="D7861" s="2" t="str">
        <f t="shared" si="129"/>
        <v>Error?</v>
      </c>
      <c r="E7861" s="4" t="s">
        <v>1997</v>
      </c>
    </row>
    <row r="7862" spans="1:5" x14ac:dyDescent="0.2">
      <c r="A7862">
        <v>7801</v>
      </c>
      <c r="B7862" s="1832">
        <f>'PCTC-OEPP 27-28'!F130</f>
        <v>0</v>
      </c>
      <c r="D7862" s="2" t="str">
        <f t="shared" si="129"/>
        <v>Error?</v>
      </c>
      <c r="E7862" s="4" t="s">
        <v>1997</v>
      </c>
    </row>
    <row r="7863" spans="1:5" x14ac:dyDescent="0.2">
      <c r="A7863">
        <v>7802</v>
      </c>
      <c r="B7863" s="1832">
        <f>'PCTC-OEPP 27-28'!F131</f>
        <v>4585</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0</v>
      </c>
      <c r="D7865" s="2" t="str">
        <f t="shared" si="129"/>
        <v>Error?</v>
      </c>
      <c r="E7865" s="4" t="s">
        <v>1997</v>
      </c>
    </row>
    <row r="7866" spans="1:5" x14ac:dyDescent="0.2">
      <c r="A7866">
        <v>7805</v>
      </c>
      <c r="B7866" s="1832">
        <f>'PCTC-OEPP 27-28'!F158</f>
        <v>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88690</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20576</v>
      </c>
      <c r="D7874" s="2" t="str">
        <f t="shared" si="129"/>
        <v>Error?</v>
      </c>
      <c r="E7874" s="4" t="s">
        <v>1997</v>
      </c>
    </row>
    <row r="7875" spans="1:5" x14ac:dyDescent="0.2">
      <c r="A7875">
        <v>7814</v>
      </c>
      <c r="B7875" s="1832">
        <f>'PCTC-OEPP 27-28'!F170</f>
        <v>1768</v>
      </c>
      <c r="D7875" s="2" t="str">
        <f t="shared" si="129"/>
        <v>Error?</v>
      </c>
      <c r="E7875" s="4" t="s">
        <v>1997</v>
      </c>
    </row>
    <row r="7876" spans="1:5" x14ac:dyDescent="0.2">
      <c r="A7876">
        <v>7815</v>
      </c>
      <c r="B7876" s="1832">
        <f>'PCTC-OEPP 27-28'!F171</f>
        <v>0</v>
      </c>
      <c r="D7876" s="2" t="str">
        <f t="shared" si="129"/>
        <v>Error?</v>
      </c>
      <c r="E7876" s="4" t="s">
        <v>1997</v>
      </c>
    </row>
    <row r="7877" spans="1:5" x14ac:dyDescent="0.2">
      <c r="A7877">
        <v>7816</v>
      </c>
      <c r="B7877" s="1832">
        <f>'PCTC-OEPP 27-28'!F175</f>
        <v>2551430</v>
      </c>
      <c r="D7877" s="2" t="str">
        <f t="shared" si="129"/>
        <v>Error?</v>
      </c>
      <c r="E7877" s="4" t="s">
        <v>1997</v>
      </c>
    </row>
    <row r="7878" spans="1:5" x14ac:dyDescent="0.2">
      <c r="A7878">
        <v>7817</v>
      </c>
      <c r="B7878" s="1832">
        <f>'PCTC-OEPP 27-28'!F176</f>
        <v>15185290</v>
      </c>
      <c r="D7878" s="2" t="str">
        <f t="shared" si="129"/>
        <v>Error?</v>
      </c>
      <c r="E7878" s="4" t="s">
        <v>1997</v>
      </c>
    </row>
    <row r="7879" spans="1:5" x14ac:dyDescent="0.2">
      <c r="A7879">
        <v>7818</v>
      </c>
      <c r="B7879" s="1832">
        <f>'PCTC-OEPP 27-28'!F178</f>
        <v>17136556</v>
      </c>
      <c r="D7879" s="2" t="str">
        <f t="shared" si="129"/>
        <v>Error?</v>
      </c>
      <c r="E7879" s="4" t="s">
        <v>1997</v>
      </c>
    </row>
    <row r="7880" spans="1:5" x14ac:dyDescent="0.2">
      <c r="A7880">
        <v>7819</v>
      </c>
      <c r="B7880" s="1832">
        <f>'PCTC-OEPP 27-28'!F180</f>
        <v>8444.565120977677</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view="pageBreakPreview" topLeftCell="A10" zoomScale="60" zoomScaleNormal="110" workbookViewId="0">
      <selection activeCell="B39" sqref="B39"/>
    </sheetView>
  </sheetViews>
  <sheetFormatPr defaultColWidth="9.140625" defaultRowHeight="12.75" x14ac:dyDescent="0.2"/>
  <cols>
    <col min="1" max="1" width="7.85546875" style="959" customWidth="1"/>
    <col min="2" max="2" width="3.7109375" style="955" bestFit="1"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4" t="s">
        <v>1181</v>
      </c>
      <c r="B2" s="2544"/>
      <c r="C2" s="2544"/>
      <c r="D2" s="2544"/>
      <c r="E2" s="2544"/>
      <c r="F2" s="2544"/>
      <c r="G2" s="2544"/>
      <c r="H2" s="2544"/>
      <c r="I2" s="2544"/>
      <c r="J2" s="2544"/>
      <c r="K2" s="2544"/>
      <c r="L2" s="2544"/>
    </row>
    <row r="3" spans="1:29" ht="13.5" customHeight="1" x14ac:dyDescent="0.2">
      <c r="A3" s="2530" t="s">
        <v>1180</v>
      </c>
      <c r="B3" s="2530"/>
      <c r="C3" s="2530"/>
      <c r="D3" s="2530"/>
      <c r="E3" s="2530"/>
      <c r="F3" s="2530"/>
      <c r="G3" s="2530"/>
      <c r="H3" s="2530"/>
      <c r="I3" s="2530"/>
      <c r="J3" s="2530"/>
      <c r="K3" s="2530"/>
      <c r="L3" s="2530"/>
    </row>
    <row r="4" spans="1:29" ht="13.5" customHeight="1" x14ac:dyDescent="0.2">
      <c r="A4" s="2561" t="str">
        <f>"Year Ending June 30, "&amp;'AFR20'!E2</f>
        <v>Year Ending June 30, 2020</v>
      </c>
      <c r="B4" s="2562"/>
      <c r="C4" s="2562"/>
      <c r="D4" s="2562"/>
      <c r="E4" s="2562"/>
      <c r="F4" s="2562"/>
      <c r="G4" s="2562"/>
      <c r="H4" s="2562"/>
      <c r="I4" s="2562"/>
      <c r="J4" s="2562"/>
      <c r="K4" s="2562"/>
      <c r="L4" s="256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4" t="str">
        <f>COVER!A17</f>
        <v>Carterville CUSD 5</v>
      </c>
      <c r="B7" s="2525"/>
      <c r="C7" s="2525"/>
      <c r="D7" s="2563"/>
      <c r="E7" s="2564">
        <f>COVER!A13</f>
        <v>21100005026</v>
      </c>
      <c r="F7" s="2565"/>
      <c r="G7" s="2531" t="str">
        <f>COVER!T23</f>
        <v>065-020211</v>
      </c>
      <c r="H7" s="2532"/>
      <c r="I7" s="2532"/>
      <c r="J7" s="2532"/>
      <c r="K7" s="2532"/>
      <c r="L7" s="253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4"/>
      <c r="B9" s="2535"/>
      <c r="C9" s="2535"/>
      <c r="D9" s="2535"/>
      <c r="E9" s="2535"/>
      <c r="F9" s="2536"/>
      <c r="G9" s="2537" t="str">
        <f>COVER!T13</f>
        <v>Kerber, Eck &amp; Braeckel LLP</v>
      </c>
      <c r="H9" s="2538"/>
      <c r="I9" s="2538"/>
      <c r="J9" s="2538"/>
      <c r="K9" s="2538"/>
      <c r="L9" s="2539"/>
    </row>
    <row r="10" spans="1:29" ht="13.5" customHeight="1" x14ac:dyDescent="0.2">
      <c r="A10" s="2521" t="str">
        <f>COVER!A38</f>
        <v>Keith A. Liddell</v>
      </c>
      <c r="B10" s="2522"/>
      <c r="C10" s="2522"/>
      <c r="D10" s="2522"/>
      <c r="E10" s="2522"/>
      <c r="F10" s="2523"/>
      <c r="G10" s="2537" t="str">
        <f>COVER!T17</f>
        <v>1 S. Memorial Drive, Suite 900</v>
      </c>
      <c r="H10" s="2550"/>
      <c r="I10" s="2550"/>
      <c r="J10" s="2550"/>
      <c r="K10" s="2550"/>
      <c r="L10" s="2551"/>
    </row>
    <row r="11" spans="1:29" ht="13.5" customHeight="1" x14ac:dyDescent="0.2">
      <c r="A11" s="963" t="s">
        <v>1502</v>
      </c>
      <c r="B11" s="964"/>
      <c r="C11" s="965"/>
      <c r="D11" s="970"/>
      <c r="E11" s="965"/>
      <c r="F11" s="969"/>
      <c r="G11" s="2537" t="str">
        <f>COVER!T19</f>
        <v>St. Louis</v>
      </c>
      <c r="H11" s="2550"/>
      <c r="I11" s="2550"/>
      <c r="J11" s="2550"/>
      <c r="K11" s="2550"/>
      <c r="L11" s="2551"/>
    </row>
    <row r="12" spans="1:29" ht="13.5" customHeight="1" x14ac:dyDescent="0.2">
      <c r="A12" s="2555" t="s">
        <v>1501</v>
      </c>
      <c r="B12" s="2556"/>
      <c r="C12" s="2556"/>
      <c r="D12" s="2556"/>
      <c r="E12" s="2556"/>
      <c r="F12" s="2557"/>
      <c r="G12" s="2552"/>
      <c r="H12" s="2553"/>
      <c r="I12" s="2553"/>
      <c r="J12" s="2553"/>
      <c r="K12" s="2553"/>
      <c r="L12" s="2554"/>
    </row>
    <row r="13" spans="1:29" ht="13.5" customHeight="1" x14ac:dyDescent="0.2">
      <c r="A13" s="2537"/>
      <c r="B13" s="2550"/>
      <c r="C13" s="2550"/>
      <c r="D13" s="2550"/>
      <c r="E13" s="2550"/>
      <c r="F13" s="2551"/>
      <c r="G13" s="2545" t="s">
        <v>1503</v>
      </c>
      <c r="H13" s="2546"/>
      <c r="I13" s="2558" t="str">
        <f>COVER!T25</f>
        <v>brianw@kebcpa.com</v>
      </c>
      <c r="J13" s="2559"/>
      <c r="K13" s="2559"/>
      <c r="L13" s="2560"/>
    </row>
    <row r="14" spans="1:29" ht="13.5" customHeight="1" x14ac:dyDescent="0.2">
      <c r="A14" s="2537" t="str">
        <f>COVER!A19</f>
        <v>306 Virgina Avenue</v>
      </c>
      <c r="B14" s="2550"/>
      <c r="C14" s="2550"/>
      <c r="D14" s="2550"/>
      <c r="E14" s="2550"/>
      <c r="F14" s="2551"/>
      <c r="G14" s="974" t="s">
        <v>1175</v>
      </c>
      <c r="H14" s="972"/>
      <c r="I14" s="972"/>
      <c r="J14" s="972"/>
      <c r="K14" s="972"/>
      <c r="L14" s="973"/>
    </row>
    <row r="15" spans="1:29" ht="13.5" customHeight="1" x14ac:dyDescent="0.2">
      <c r="A15" s="2537" t="str">
        <f>COVER!A21</f>
        <v>Carterville</v>
      </c>
      <c r="B15" s="2550"/>
      <c r="C15" s="2550"/>
      <c r="D15" s="2550"/>
      <c r="E15" s="2550"/>
      <c r="F15" s="2551"/>
      <c r="G15" s="2547" t="str">
        <f>COVER!T15</f>
        <v>Brian J. Wuertz, CPA</v>
      </c>
      <c r="H15" s="2548"/>
      <c r="I15" s="2548"/>
      <c r="J15" s="2548"/>
      <c r="K15" s="2548"/>
      <c r="L15" s="2549"/>
    </row>
    <row r="16" spans="1:29" ht="12.2" customHeight="1" x14ac:dyDescent="0.2">
      <c r="A16" s="2527">
        <f>COVER!A25</f>
        <v>62918</v>
      </c>
      <c r="B16" s="2528"/>
      <c r="C16" s="2528"/>
      <c r="D16" s="2528"/>
      <c r="E16" s="2528"/>
      <c r="F16" s="2529"/>
      <c r="G16" s="2540"/>
      <c r="H16" s="2541"/>
      <c r="I16" s="2541"/>
      <c r="J16" s="2541"/>
      <c r="K16" s="2541"/>
      <c r="L16" s="2542"/>
    </row>
    <row r="17" spans="1:13" ht="12.2" customHeight="1" x14ac:dyDescent="0.2">
      <c r="A17" s="2543"/>
      <c r="B17" s="2528"/>
      <c r="C17" s="2528"/>
      <c r="D17" s="2528"/>
      <c r="E17" s="2528"/>
      <c r="F17" s="2529"/>
      <c r="G17" s="974" t="s">
        <v>1174</v>
      </c>
      <c r="H17" s="972"/>
      <c r="I17" s="972"/>
      <c r="J17" s="972"/>
      <c r="K17" s="976" t="s">
        <v>1173</v>
      </c>
      <c r="L17" s="969"/>
      <c r="M17" s="962"/>
    </row>
    <row r="18" spans="1:13" ht="12.2" customHeight="1" x14ac:dyDescent="0.2">
      <c r="A18" s="2521"/>
      <c r="B18" s="2522"/>
      <c r="C18" s="2522"/>
      <c r="D18" s="2522"/>
      <c r="E18" s="2522"/>
      <c r="F18" s="2523"/>
      <c r="G18" s="2524" t="str">
        <f>COVER!T21</f>
        <v>(314) 231-6232</v>
      </c>
      <c r="H18" s="2525"/>
      <c r="I18" s="2525"/>
      <c r="J18" s="2525"/>
      <c r="K18" s="2524" t="str">
        <f>COVER!X21</f>
        <v>(314) 880-9305</v>
      </c>
      <c r="L18" s="252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2089</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2089</v>
      </c>
      <c r="C26" s="981" t="s">
        <v>1677</v>
      </c>
    </row>
    <row r="27" spans="1:13" s="977" customFormat="1" ht="9" customHeight="1" x14ac:dyDescent="0.2">
      <c r="B27" s="982"/>
      <c r="C27" s="981"/>
    </row>
    <row r="28" spans="1:13" s="977" customFormat="1" ht="12.2" customHeight="1" x14ac:dyDescent="0.2">
      <c r="A28" s="984"/>
      <c r="B28" s="980" t="s">
        <v>2089</v>
      </c>
      <c r="C28" s="981" t="s">
        <v>1678</v>
      </c>
    </row>
    <row r="29" spans="1:13" s="977" customFormat="1" ht="9" customHeight="1" x14ac:dyDescent="0.2">
      <c r="A29" s="984"/>
      <c r="B29" s="982"/>
      <c r="C29" s="981"/>
    </row>
    <row r="30" spans="1:13" s="977" customFormat="1" ht="12.2" customHeight="1" x14ac:dyDescent="0.2">
      <c r="B30" s="980" t="s">
        <v>2089</v>
      </c>
      <c r="C30" s="981" t="s">
        <v>1545</v>
      </c>
      <c r="D30" s="975"/>
      <c r="E30" s="975"/>
    </row>
    <row r="31" spans="1:13" s="977" customFormat="1" ht="9" customHeight="1" x14ac:dyDescent="0.2">
      <c r="B31" s="982"/>
      <c r="C31" s="981"/>
      <c r="D31" s="975"/>
      <c r="E31" s="975"/>
    </row>
    <row r="32" spans="1:13" s="977" customFormat="1" ht="12.2" customHeight="1" x14ac:dyDescent="0.2">
      <c r="B32" s="980" t="s">
        <v>2089</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2089</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2089</v>
      </c>
      <c r="C38" s="981" t="s">
        <v>1549</v>
      </c>
    </row>
    <row r="39" spans="1:8" ht="9" customHeight="1" x14ac:dyDescent="0.2">
      <c r="B39" s="982"/>
      <c r="C39" s="985"/>
    </row>
    <row r="40" spans="1:8" s="977" customFormat="1" ht="13.5" customHeight="1" x14ac:dyDescent="0.2">
      <c r="B40" s="980" t="s">
        <v>2076</v>
      </c>
      <c r="C40" s="981" t="s">
        <v>1550</v>
      </c>
    </row>
    <row r="41" spans="1:8" ht="9" customHeight="1" x14ac:dyDescent="0.2">
      <c r="A41" s="986"/>
      <c r="B41" s="982"/>
      <c r="C41" s="985"/>
    </row>
    <row r="42" spans="1:8" s="977" customFormat="1" ht="13.5" customHeight="1" x14ac:dyDescent="0.2">
      <c r="B42" s="980" t="s">
        <v>2076</v>
      </c>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view="pageBreakPreview" topLeftCell="A38" zoomScale="60" zoomScaleNormal="125" workbookViewId="0">
      <selection activeCell="H35" sqref="H35"/>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6" t="str">
        <f>'Single Audit Cover'!A7</f>
        <v>Carterville CUSD 5</v>
      </c>
      <c r="B1" s="2567"/>
      <c r="C1" s="2567"/>
      <c r="D1" s="2567"/>
    </row>
    <row r="2" spans="1:11" s="991" customFormat="1" ht="12.75" x14ac:dyDescent="0.2">
      <c r="A2" s="2568">
        <f>'Single Audit Cover'!E7</f>
        <v>21100005026</v>
      </c>
      <c r="B2" s="2569"/>
      <c r="C2" s="2569"/>
      <c r="D2" s="2569"/>
    </row>
    <row r="3" spans="1:11" s="991" customFormat="1" ht="12.75" x14ac:dyDescent="0.2">
      <c r="A3" s="2566" t="s">
        <v>1496</v>
      </c>
      <c r="B3" s="2567"/>
      <c r="C3" s="2567"/>
      <c r="D3" s="256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2089</v>
      </c>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2089</v>
      </c>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2089</v>
      </c>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2089</v>
      </c>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2089</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2089</v>
      </c>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2089</v>
      </c>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2089</v>
      </c>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t="s">
        <v>2089</v>
      </c>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t="s">
        <v>2089</v>
      </c>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t="s">
        <v>2076</v>
      </c>
      <c r="C42" s="1008">
        <v>11</v>
      </c>
      <c r="D42" s="1019" t="s">
        <v>1557</v>
      </c>
      <c r="E42" s="290"/>
    </row>
    <row r="43" spans="1:5" ht="3" customHeight="1" x14ac:dyDescent="0.2">
      <c r="A43" s="998"/>
      <c r="B43" s="1015"/>
      <c r="C43" s="1016"/>
      <c r="D43" s="997"/>
    </row>
    <row r="44" spans="1:5" x14ac:dyDescent="0.2">
      <c r="A44" s="998"/>
      <c r="B44" s="1001" t="s">
        <v>2089</v>
      </c>
      <c r="C44" s="1002">
        <f>C42+1</f>
        <v>12</v>
      </c>
      <c r="D44" s="1013" t="s">
        <v>1204</v>
      </c>
    </row>
    <row r="45" spans="1:5" ht="10.5" customHeight="1" x14ac:dyDescent="0.2">
      <c r="A45" s="998"/>
      <c r="B45" s="1014"/>
      <c r="C45" s="1002"/>
      <c r="D45" s="1013" t="s">
        <v>1968</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2089</v>
      </c>
      <c r="C48" s="1002">
        <f>C44+1</f>
        <v>13</v>
      </c>
      <c r="D48" s="1013" t="s">
        <v>1558</v>
      </c>
    </row>
    <row r="49" spans="1:4" ht="3" customHeight="1" x14ac:dyDescent="0.2">
      <c r="A49" s="998"/>
      <c r="B49" s="1005"/>
      <c r="C49" s="1002"/>
      <c r="D49" s="1013"/>
    </row>
    <row r="50" spans="1:4" x14ac:dyDescent="0.2">
      <c r="A50" s="998"/>
      <c r="B50" s="1001" t="s">
        <v>2089</v>
      </c>
      <c r="C50" s="1002">
        <f>C48+1</f>
        <v>14</v>
      </c>
      <c r="D50" s="1013" t="s">
        <v>1202</v>
      </c>
    </row>
    <row r="51" spans="1:4" ht="3" customHeight="1" x14ac:dyDescent="0.2">
      <c r="A51" s="998"/>
      <c r="B51" s="1005"/>
      <c r="C51" s="1002"/>
      <c r="D51" s="1013"/>
    </row>
    <row r="52" spans="1:4" x14ac:dyDescent="0.2">
      <c r="A52" s="998"/>
      <c r="B52" s="1001" t="s">
        <v>2089</v>
      </c>
      <c r="C52" s="1002">
        <f>C50+1</f>
        <v>15</v>
      </c>
      <c r="D52" s="1013" t="s">
        <v>1201</v>
      </c>
    </row>
    <row r="53" spans="1:4" ht="3" customHeight="1" x14ac:dyDescent="0.2">
      <c r="A53" s="998"/>
      <c r="B53" s="1005"/>
      <c r="C53" s="1002"/>
      <c r="D53" s="1013"/>
    </row>
    <row r="54" spans="1:4" x14ac:dyDescent="0.2">
      <c r="A54" s="998"/>
      <c r="B54" s="1001" t="s">
        <v>2076</v>
      </c>
      <c r="C54" s="1002">
        <f>C52+1</f>
        <v>16</v>
      </c>
      <c r="D54" s="1013" t="s">
        <v>1200</v>
      </c>
    </row>
    <row r="55" spans="1:4" ht="3" customHeight="1" x14ac:dyDescent="0.2">
      <c r="A55" s="998"/>
      <c r="B55" s="1005"/>
      <c r="C55" s="1002"/>
      <c r="D55" s="1013"/>
    </row>
    <row r="56" spans="1:4" x14ac:dyDescent="0.2">
      <c r="A56" s="998"/>
      <c r="B56" s="1001" t="s">
        <v>2089</v>
      </c>
      <c r="C56" s="1002">
        <f>C54+1</f>
        <v>17</v>
      </c>
      <c r="D56" s="997" t="s">
        <v>1686</v>
      </c>
    </row>
    <row r="57" spans="1:4" ht="10.5" customHeight="1" x14ac:dyDescent="0.2">
      <c r="A57" s="998"/>
      <c r="D57" s="1013" t="s">
        <v>1687</v>
      </c>
    </row>
    <row r="58" spans="1:4" x14ac:dyDescent="0.2">
      <c r="A58" s="998"/>
      <c r="C58" s="1020" t="s">
        <v>2089</v>
      </c>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t="s">
        <v>2076</v>
      </c>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t="s">
        <v>2089</v>
      </c>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t="s">
        <v>2089</v>
      </c>
      <c r="D69" s="1013" t="s">
        <v>1691</v>
      </c>
    </row>
    <row r="70" spans="1:4" x14ac:dyDescent="0.2">
      <c r="A70" s="998"/>
      <c r="D70" s="1022" t="s">
        <v>1196</v>
      </c>
    </row>
    <row r="71" spans="1:4" ht="3" customHeight="1" x14ac:dyDescent="0.2">
      <c r="A71" s="998"/>
      <c r="D71" s="997"/>
    </row>
    <row r="72" spans="1:4" x14ac:dyDescent="0.2">
      <c r="A72" s="998"/>
      <c r="B72" s="1001" t="s">
        <v>2089</v>
      </c>
      <c r="C72" s="1002">
        <f>C56+1</f>
        <v>18</v>
      </c>
      <c r="D72" s="1023" t="s">
        <v>1692</v>
      </c>
    </row>
    <row r="73" spans="1:4" ht="3" customHeight="1" x14ac:dyDescent="0.2">
      <c r="A73" s="998"/>
      <c r="B73" s="1005"/>
      <c r="C73" s="1002"/>
      <c r="D73" s="1023"/>
    </row>
    <row r="74" spans="1:4" x14ac:dyDescent="0.2">
      <c r="A74" s="998"/>
      <c r="B74" s="1001" t="s">
        <v>2089</v>
      </c>
      <c r="C74" s="1002">
        <f>C72+1</f>
        <v>19</v>
      </c>
      <c r="D74" s="1013" t="s">
        <v>1195</v>
      </c>
    </row>
    <row r="75" spans="1:4" ht="3" customHeight="1" x14ac:dyDescent="0.2">
      <c r="A75" s="998"/>
      <c r="B75" s="1005"/>
      <c r="C75" s="1002"/>
      <c r="D75" s="1013"/>
    </row>
    <row r="76" spans="1:4" x14ac:dyDescent="0.2">
      <c r="A76" s="998"/>
      <c r="B76" s="1001" t="s">
        <v>2089</v>
      </c>
      <c r="C76" s="1002">
        <f>C74+1</f>
        <v>20</v>
      </c>
      <c r="D76" s="1024" t="s">
        <v>1693</v>
      </c>
    </row>
    <row r="77" spans="1:4" ht="3" customHeight="1" x14ac:dyDescent="0.2">
      <c r="A77" s="998"/>
      <c r="B77" s="1005"/>
      <c r="C77" s="1002"/>
      <c r="D77" s="1024"/>
    </row>
    <row r="78" spans="1:4" x14ac:dyDescent="0.2">
      <c r="A78" s="998"/>
      <c r="B78" s="1001" t="s">
        <v>2089</v>
      </c>
      <c r="C78" s="1002">
        <f>C76+1</f>
        <v>21</v>
      </c>
      <c r="D78" s="997" t="s">
        <v>1694</v>
      </c>
    </row>
    <row r="79" spans="1:4" ht="3" customHeight="1" x14ac:dyDescent="0.2">
      <c r="A79" s="998"/>
      <c r="B79" s="1005"/>
      <c r="C79" s="1002"/>
      <c r="D79" s="997"/>
    </row>
    <row r="80" spans="1:4" x14ac:dyDescent="0.2">
      <c r="A80" s="998"/>
      <c r="B80" s="1001" t="s">
        <v>2089</v>
      </c>
      <c r="C80" s="1002">
        <f>C78+1</f>
        <v>22</v>
      </c>
      <c r="D80" s="1025" t="s">
        <v>1695</v>
      </c>
    </row>
    <row r="81" spans="1:4" ht="3" customHeight="1" x14ac:dyDescent="0.2">
      <c r="A81" s="998"/>
      <c r="B81" s="1005"/>
      <c r="C81" s="1002"/>
      <c r="D81" s="1025"/>
    </row>
    <row r="82" spans="1:4" x14ac:dyDescent="0.2">
      <c r="A82" s="998"/>
      <c r="B82" s="1001" t="s">
        <v>2089</v>
      </c>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t="s">
        <v>2089</v>
      </c>
      <c r="C85" s="1002">
        <f>C82+1</f>
        <v>24</v>
      </c>
      <c r="D85" s="1013" t="s">
        <v>1193</v>
      </c>
    </row>
    <row r="86" spans="1:4" ht="3" customHeight="1" x14ac:dyDescent="0.2">
      <c r="A86" s="998"/>
      <c r="B86" s="1005"/>
      <c r="C86" s="1002"/>
      <c r="D86" s="1013"/>
    </row>
    <row r="87" spans="1:4" x14ac:dyDescent="0.2">
      <c r="A87" s="998"/>
      <c r="B87" s="1001" t="s">
        <v>2089</v>
      </c>
      <c r="C87" s="1002">
        <f>C85+1</f>
        <v>25</v>
      </c>
      <c r="D87" s="1013" t="s">
        <v>1192</v>
      </c>
    </row>
    <row r="88" spans="1:4" ht="3" customHeight="1" x14ac:dyDescent="0.2">
      <c r="A88" s="998"/>
      <c r="B88" s="1005"/>
      <c r="C88" s="1002"/>
      <c r="D88" s="1013"/>
    </row>
    <row r="89" spans="1:4" x14ac:dyDescent="0.2">
      <c r="A89" s="998"/>
      <c r="B89" s="1001" t="s">
        <v>2089</v>
      </c>
      <c r="C89" s="1002">
        <f>C87+1</f>
        <v>26</v>
      </c>
      <c r="D89" s="1013" t="s">
        <v>1191</v>
      </c>
    </row>
    <row r="90" spans="1:4" ht="3" customHeight="1" x14ac:dyDescent="0.2">
      <c r="A90" s="998"/>
      <c r="B90" s="1005"/>
      <c r="C90" s="1002"/>
      <c r="D90" s="1013"/>
    </row>
    <row r="91" spans="1:4" x14ac:dyDescent="0.2">
      <c r="A91" s="998"/>
      <c r="B91" s="1001" t="s">
        <v>2076</v>
      </c>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t="s">
        <v>2089</v>
      </c>
      <c r="C96" s="1002">
        <f>C91+1</f>
        <v>28</v>
      </c>
      <c r="D96" s="1013" t="s">
        <v>1698</v>
      </c>
    </row>
    <row r="97" spans="1:4" ht="3" customHeight="1" x14ac:dyDescent="0.2">
      <c r="A97" s="998"/>
      <c r="B97" s="1005"/>
      <c r="C97" s="1002"/>
      <c r="D97" s="1013"/>
    </row>
    <row r="98" spans="1:4" x14ac:dyDescent="0.2">
      <c r="A98" s="998"/>
      <c r="B98" s="1001" t="s">
        <v>2089</v>
      </c>
      <c r="C98" s="1002">
        <f>C96+1</f>
        <v>29</v>
      </c>
      <c r="D98" s="1027" t="s">
        <v>1699</v>
      </c>
    </row>
    <row r="99" spans="1:4" ht="3" customHeight="1" x14ac:dyDescent="0.2">
      <c r="A99" s="998"/>
      <c r="B99" s="1005"/>
      <c r="C99" s="1002"/>
      <c r="D99" s="1027"/>
    </row>
    <row r="100" spans="1:4" x14ac:dyDescent="0.2">
      <c r="A100" s="998"/>
      <c r="B100" s="1001" t="s">
        <v>2089</v>
      </c>
      <c r="C100" s="1002">
        <f>C98+1</f>
        <v>30</v>
      </c>
      <c r="D100" s="1013" t="s">
        <v>1700</v>
      </c>
    </row>
    <row r="101" spans="1:4" ht="3" customHeight="1" x14ac:dyDescent="0.2">
      <c r="A101" s="998"/>
      <c r="B101" s="1005"/>
      <c r="C101" s="1002"/>
      <c r="D101" s="1028"/>
    </row>
    <row r="102" spans="1:4" x14ac:dyDescent="0.2">
      <c r="A102" s="998"/>
      <c r="B102" s="1001" t="s">
        <v>2089</v>
      </c>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2076</v>
      </c>
      <c r="C106" s="1002">
        <f>C102+1</f>
        <v>32</v>
      </c>
      <c r="D106" s="997" t="s">
        <v>1563</v>
      </c>
    </row>
    <row r="107" spans="1:4" ht="3" customHeight="1" x14ac:dyDescent="0.2">
      <c r="A107" s="998"/>
      <c r="B107" s="1005"/>
      <c r="C107" s="1002"/>
      <c r="D107" s="997"/>
    </row>
    <row r="108" spans="1:4" x14ac:dyDescent="0.2">
      <c r="A108" s="998"/>
      <c r="B108" s="1001" t="s">
        <v>2076</v>
      </c>
      <c r="C108" s="1002">
        <v>33</v>
      </c>
      <c r="D108" s="997" t="s">
        <v>1701</v>
      </c>
    </row>
    <row r="109" spans="1:4" ht="3" customHeight="1" x14ac:dyDescent="0.2">
      <c r="A109" s="998"/>
      <c r="B109" s="1005"/>
      <c r="C109" s="1002"/>
      <c r="D109" s="997"/>
    </row>
    <row r="110" spans="1:4" x14ac:dyDescent="0.2">
      <c r="A110" s="998"/>
      <c r="B110" s="1001" t="s">
        <v>2076</v>
      </c>
      <c r="C110" s="1002">
        <f>C108+1</f>
        <v>34</v>
      </c>
      <c r="D110" s="997" t="s">
        <v>1188</v>
      </c>
    </row>
    <row r="111" spans="1:4" ht="3" customHeight="1" x14ac:dyDescent="0.2">
      <c r="A111" s="998"/>
      <c r="B111" s="1005"/>
      <c r="C111" s="1002"/>
      <c r="D111" s="997"/>
    </row>
    <row r="112" spans="1:4" x14ac:dyDescent="0.2">
      <c r="A112" s="998"/>
      <c r="B112" s="1001" t="s">
        <v>2076</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2076</v>
      </c>
      <c r="C115" s="1002">
        <f>C112+1</f>
        <v>36</v>
      </c>
      <c r="D115" s="1013" t="s">
        <v>1185</v>
      </c>
    </row>
    <row r="116" spans="1:4" ht="3" customHeight="1" x14ac:dyDescent="0.2">
      <c r="A116" s="998"/>
      <c r="B116" s="1005"/>
      <c r="C116" s="1002"/>
      <c r="D116" s="1013"/>
    </row>
    <row r="117" spans="1:4" x14ac:dyDescent="0.2">
      <c r="A117" s="998"/>
      <c r="B117" s="1001" t="s">
        <v>2076</v>
      </c>
      <c r="C117" s="1002">
        <f>C115+1</f>
        <v>37</v>
      </c>
      <c r="D117" s="1013" t="s">
        <v>1702</v>
      </c>
    </row>
    <row r="118" spans="1:4" ht="3" customHeight="1" x14ac:dyDescent="0.2">
      <c r="A118" s="998"/>
      <c r="B118" s="1005"/>
      <c r="C118" s="1002"/>
      <c r="D118" s="1013"/>
    </row>
    <row r="119" spans="1:4" x14ac:dyDescent="0.2">
      <c r="A119" s="998"/>
      <c r="B119" s="1001" t="s">
        <v>2076</v>
      </c>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t="s">
        <v>2076</v>
      </c>
      <c r="C123" s="1002">
        <f>C119+1</f>
        <v>39</v>
      </c>
      <c r="D123" s="1023" t="s">
        <v>1809</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view="pageBreakPreview" zoomScaleNormal="110" zoomScaleSheetLayoutView="100" workbookViewId="0">
      <selection activeCell="H35" sqref="H3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1" t="str">
        <f>'Single Audit Cover'!A7</f>
        <v>Carterville CUSD 5</v>
      </c>
      <c r="B1" s="2571"/>
      <c r="C1" s="2571"/>
      <c r="D1" s="2571"/>
      <c r="E1" s="2571"/>
    </row>
    <row r="2" spans="1:5" x14ac:dyDescent="0.2">
      <c r="A2" s="2572">
        <f>'Single Audit Cover'!E7</f>
        <v>21100005026</v>
      </c>
      <c r="B2" s="2572"/>
      <c r="C2" s="2572"/>
      <c r="D2" s="2572"/>
      <c r="E2" s="2572"/>
    </row>
    <row r="3" spans="1:5" ht="4.5" customHeight="1" x14ac:dyDescent="0.2"/>
    <row r="4" spans="1:5" x14ac:dyDescent="0.2">
      <c r="A4" s="2571" t="s">
        <v>1234</v>
      </c>
      <c r="B4" s="2571"/>
      <c r="C4" s="2571"/>
      <c r="D4" s="2571"/>
      <c r="E4" s="2571"/>
    </row>
    <row r="5" spans="1:5" x14ac:dyDescent="0.2">
      <c r="A5" s="2574" t="str">
        <f>'Single Audit Cover'!A4</f>
        <v>Year Ending June 30, 2020</v>
      </c>
      <c r="B5" s="2574"/>
      <c r="C5" s="2574"/>
      <c r="D5" s="2574"/>
      <c r="E5" s="2574"/>
    </row>
    <row r="6" spans="1:5" x14ac:dyDescent="0.2">
      <c r="A6" s="2571" t="s">
        <v>1233</v>
      </c>
      <c r="B6" s="2571"/>
      <c r="C6" s="2571"/>
      <c r="D6" s="2571"/>
      <c r="E6" s="2571"/>
    </row>
    <row r="8" spans="1:5" x14ac:dyDescent="0.2">
      <c r="A8" s="1036" t="s">
        <v>1232</v>
      </c>
    </row>
    <row r="10" spans="1:5" x14ac:dyDescent="0.2">
      <c r="A10" s="1037" t="s">
        <v>1231</v>
      </c>
      <c r="B10" s="1038" t="s">
        <v>1230</v>
      </c>
      <c r="C10" s="1038"/>
      <c r="D10" s="1039">
        <f>SUM('Acct Summary 7-8'!C7:K7)</f>
        <v>1324109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2003</v>
      </c>
      <c r="B14" s="1038"/>
      <c r="C14" s="1038"/>
      <c r="D14" s="1040">
        <f>'ICR Computation 30'!E11</f>
        <v>62542</v>
      </c>
    </row>
    <row r="15" spans="1:5" x14ac:dyDescent="0.2">
      <c r="A15" s="1037"/>
      <c r="B15" s="1038"/>
      <c r="C15" s="1038"/>
    </row>
    <row r="16" spans="1:5" x14ac:dyDescent="0.2">
      <c r="A16" s="1037" t="s">
        <v>1814</v>
      </c>
      <c r="B16" s="1038"/>
      <c r="C16" s="1038"/>
    </row>
    <row r="17" spans="1:4" x14ac:dyDescent="0.2">
      <c r="A17" s="1037" t="s">
        <v>1963</v>
      </c>
      <c r="B17" s="1038" t="s">
        <v>1225</v>
      </c>
      <c r="C17" s="1038"/>
      <c r="D17" s="1040">
        <f>-SUM('Revenues 9-14'!C264:D264,'Revenues 9-14'!F264:G264)</f>
        <v>-1768</v>
      </c>
    </row>
    <row r="19" spans="1:4" ht="13.5" thickBot="1" x14ac:dyDescent="0.25">
      <c r="A19" s="1041" t="s">
        <v>1224</v>
      </c>
      <c r="D19" s="1042">
        <f>SUM(D10:D17)</f>
        <v>1384883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3"/>
      <c r="B24" s="2573"/>
      <c r="D24" s="1044"/>
    </row>
    <row r="25" spans="1:4" x14ac:dyDescent="0.2">
      <c r="A25" s="2570"/>
      <c r="B25" s="2570"/>
      <c r="D25" s="1044"/>
    </row>
    <row r="26" spans="1:4" x14ac:dyDescent="0.2">
      <c r="A26" s="2570"/>
      <c r="B26" s="2570"/>
      <c r="D26" s="1044"/>
    </row>
    <row r="27" spans="1:4" x14ac:dyDescent="0.2">
      <c r="A27" s="2570"/>
      <c r="B27" s="2570"/>
      <c r="D27" s="1044"/>
    </row>
    <row r="28" spans="1:4" x14ac:dyDescent="0.2">
      <c r="A28" s="2570"/>
      <c r="B28" s="2570"/>
      <c r="D28" s="1044"/>
    </row>
    <row r="29" spans="1:4" x14ac:dyDescent="0.2">
      <c r="A29" s="2570"/>
      <c r="B29" s="2570"/>
      <c r="D29" s="1044"/>
    </row>
    <row r="30" spans="1:4" x14ac:dyDescent="0.2">
      <c r="A30" s="2570"/>
      <c r="B30" s="2570"/>
      <c r="D30" s="1044"/>
    </row>
    <row r="32" spans="1:4" x14ac:dyDescent="0.2">
      <c r="A32" s="1036" t="s">
        <v>1222</v>
      </c>
      <c r="D32" s="1039">
        <f>SUM(D19:D30)</f>
        <v>1384883</v>
      </c>
    </row>
    <row r="33" spans="1:4" x14ac:dyDescent="0.2">
      <c r="D33" s="1045"/>
    </row>
    <row r="34" spans="1:4" x14ac:dyDescent="0.2">
      <c r="A34" s="295" t="s">
        <v>1221</v>
      </c>
    </row>
    <row r="35" spans="1:4" x14ac:dyDescent="0.2">
      <c r="A35" s="295" t="s">
        <v>1220</v>
      </c>
      <c r="B35" s="1034" t="s">
        <v>1219</v>
      </c>
      <c r="D35" s="1046">
        <f>' SEFA'!F40</f>
        <v>1384883</v>
      </c>
    </row>
    <row r="37" spans="1:4" x14ac:dyDescent="0.2">
      <c r="A37" s="1036" t="s">
        <v>1218</v>
      </c>
    </row>
    <row r="39" spans="1:4" ht="13.35" customHeight="1" x14ac:dyDescent="0.2">
      <c r="A39" s="1043" t="s">
        <v>1217</v>
      </c>
    </row>
    <row r="40" spans="1:4" x14ac:dyDescent="0.2">
      <c r="A40" s="2570"/>
      <c r="B40" s="2570"/>
      <c r="D40" s="1044"/>
    </row>
    <row r="41" spans="1:4" x14ac:dyDescent="0.2">
      <c r="A41" s="2570"/>
      <c r="B41" s="2570"/>
      <c r="D41" s="1047"/>
    </row>
    <row r="42" spans="1:4" x14ac:dyDescent="0.2">
      <c r="A42" s="2570"/>
      <c r="B42" s="2570"/>
      <c r="D42" s="1047"/>
    </row>
    <row r="43" spans="1:4" x14ac:dyDescent="0.2">
      <c r="A43" s="2570"/>
      <c r="B43" s="2570"/>
      <c r="D43" s="1047"/>
    </row>
    <row r="44" spans="1:4" x14ac:dyDescent="0.2">
      <c r="A44" s="2570"/>
      <c r="B44" s="2570"/>
      <c r="D44" s="1047"/>
    </row>
    <row r="45" spans="1:4" x14ac:dyDescent="0.2">
      <c r="A45" s="2570"/>
      <c r="B45" s="2570"/>
      <c r="D45" s="1047"/>
    </row>
    <row r="47" spans="1:4" x14ac:dyDescent="0.2">
      <c r="B47" s="1048" t="s">
        <v>1216</v>
      </c>
      <c r="C47" s="1048"/>
      <c r="D47" s="1049">
        <f>SUM(D35:D45)</f>
        <v>1384883</v>
      </c>
    </row>
    <row r="49" spans="2:4" x14ac:dyDescent="0.2">
      <c r="B49" s="1048" t="s">
        <v>1215</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pageSetUpPr fitToPage="1"/>
  </sheetPr>
  <dimension ref="B1:N165"/>
  <sheetViews>
    <sheetView showGridLines="0" zoomScale="90" zoomScaleNormal="90" workbookViewId="0">
      <selection activeCell="L14" sqref="L14"/>
    </sheetView>
  </sheetViews>
  <sheetFormatPr defaultColWidth="33.5703125" defaultRowHeight="12.75" x14ac:dyDescent="0.2"/>
  <cols>
    <col min="1" max="1" width="0.140625" style="295" customWidth="1"/>
    <col min="2" max="2" width="44.71093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0" t="str">
        <f>'Single Audit Cover'!A7</f>
        <v>Carterville CUSD 5</v>
      </c>
      <c r="C1" s="2575"/>
      <c r="D1" s="2575"/>
      <c r="E1" s="2575"/>
      <c r="F1" s="2575"/>
      <c r="G1" s="2575"/>
      <c r="H1" s="2575"/>
      <c r="I1" s="2575"/>
      <c r="J1" s="2575"/>
      <c r="K1" s="2575"/>
      <c r="L1" s="2575"/>
      <c r="M1" s="2575"/>
    </row>
    <row r="2" spans="2:14" ht="15" x14ac:dyDescent="0.2">
      <c r="B2" s="2576">
        <f>'Single Audit Cover'!E7</f>
        <v>21100005026</v>
      </c>
      <c r="C2" s="2576"/>
      <c r="D2" s="2576"/>
      <c r="E2" s="2576"/>
      <c r="F2" s="2576"/>
      <c r="G2" s="2576"/>
      <c r="H2" s="2576"/>
      <c r="I2" s="2576"/>
      <c r="J2" s="2576"/>
      <c r="K2" s="2576"/>
      <c r="L2" s="2576"/>
      <c r="M2" s="2576"/>
      <c r="N2" s="1078"/>
    </row>
    <row r="3" spans="2:14" ht="15" x14ac:dyDescent="0.2">
      <c r="B3" s="2577" t="s">
        <v>1208</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5"/>
      <c r="J5" s="1915"/>
    </row>
    <row r="6" spans="2:14" x14ac:dyDescent="0.2">
      <c r="B6" s="1079"/>
      <c r="C6" s="1080"/>
      <c r="D6" s="1081" t="s">
        <v>1254</v>
      </c>
      <c r="E6" s="1082" t="s">
        <v>524</v>
      </c>
      <c r="F6" s="1083"/>
      <c r="G6" s="1084" t="s">
        <v>1710</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1711</v>
      </c>
      <c r="D9" s="1090" t="s">
        <v>1712</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7" t="s">
        <v>2090</v>
      </c>
      <c r="C11" s="1821"/>
      <c r="D11" s="1822"/>
      <c r="E11" s="1823"/>
      <c r="F11" s="1823"/>
      <c r="G11" s="1823"/>
      <c r="H11" s="1823"/>
      <c r="I11" s="1823"/>
      <c r="J11" s="1823"/>
      <c r="K11" s="1823"/>
      <c r="L11" s="1823"/>
      <c r="M11" s="1823"/>
    </row>
    <row r="12" spans="2:14" ht="20.100000000000001" customHeight="1" x14ac:dyDescent="0.2">
      <c r="B12" s="1113" t="s">
        <v>2091</v>
      </c>
      <c r="C12" s="1824"/>
      <c r="D12" s="1825"/>
      <c r="E12" s="1826"/>
      <c r="F12" s="1826"/>
      <c r="G12" s="1826"/>
      <c r="H12" s="1826"/>
      <c r="I12" s="1826"/>
      <c r="J12" s="1826"/>
      <c r="K12" s="1826"/>
      <c r="L12" s="1823"/>
      <c r="M12" s="1826"/>
    </row>
    <row r="13" spans="2:14" ht="20.100000000000001" customHeight="1" x14ac:dyDescent="0.2">
      <c r="B13" s="1113" t="s">
        <v>2118</v>
      </c>
      <c r="C13" s="1824">
        <v>10.558999999999999</v>
      </c>
      <c r="D13" s="1825" t="s">
        <v>2076</v>
      </c>
      <c r="E13" s="1826"/>
      <c r="F13" s="1826">
        <v>148736</v>
      </c>
      <c r="G13" s="1826"/>
      <c r="H13" s="1826"/>
      <c r="I13" s="1826">
        <v>148736</v>
      </c>
      <c r="J13" s="1826"/>
      <c r="K13" s="1826"/>
      <c r="L13" s="1823">
        <v>148736</v>
      </c>
      <c r="M13" s="1826" t="s">
        <v>2076</v>
      </c>
    </row>
    <row r="14" spans="2:14" ht="20.100000000000001" customHeight="1" x14ac:dyDescent="0.2">
      <c r="B14" s="1113" t="s">
        <v>2092</v>
      </c>
      <c r="C14" s="1824"/>
      <c r="D14" s="1825"/>
      <c r="E14" s="1826"/>
      <c r="F14" s="1826"/>
      <c r="G14" s="1826"/>
      <c r="H14" s="1826"/>
      <c r="I14" s="1826"/>
      <c r="J14" s="1826"/>
      <c r="K14" s="1826"/>
      <c r="L14" s="1823"/>
      <c r="M14" s="1826"/>
    </row>
    <row r="15" spans="2:14" ht="20.100000000000001" customHeight="1" x14ac:dyDescent="0.2">
      <c r="B15" s="2038" t="s">
        <v>2093</v>
      </c>
      <c r="C15" s="1824">
        <v>10.553000000000001</v>
      </c>
      <c r="D15" s="1825" t="s">
        <v>2105</v>
      </c>
      <c r="E15" s="1826">
        <v>21195</v>
      </c>
      <c r="F15" s="1826"/>
      <c r="G15" s="1826">
        <v>21195</v>
      </c>
      <c r="H15" s="1826"/>
      <c r="I15" s="1826"/>
      <c r="J15" s="1826"/>
      <c r="K15" s="1826"/>
      <c r="L15" s="1823">
        <f>+G15+I15+K15</f>
        <v>21195</v>
      </c>
      <c r="M15" s="1826" t="s">
        <v>2076</v>
      </c>
    </row>
    <row r="16" spans="2:14" ht="20.100000000000001" customHeight="1" x14ac:dyDescent="0.2">
      <c r="B16" s="2038" t="s">
        <v>2093</v>
      </c>
      <c r="C16" s="1824">
        <v>10.553000000000001</v>
      </c>
      <c r="D16" s="1825" t="s">
        <v>2106</v>
      </c>
      <c r="E16" s="1826">
        <v>98043</v>
      </c>
      <c r="F16" s="1826">
        <v>23710</v>
      </c>
      <c r="G16" s="1826">
        <v>98043</v>
      </c>
      <c r="H16" s="1826"/>
      <c r="I16" s="1826">
        <v>23710</v>
      </c>
      <c r="J16" s="1826"/>
      <c r="K16" s="1826"/>
      <c r="L16" s="1823">
        <f t="shared" ref="L16:L40" si="0">+G16+I16+K16</f>
        <v>121753</v>
      </c>
      <c r="M16" s="1826" t="s">
        <v>2076</v>
      </c>
    </row>
    <row r="17" spans="2:13" ht="20.100000000000001" customHeight="1" x14ac:dyDescent="0.2">
      <c r="B17" s="2038" t="s">
        <v>2093</v>
      </c>
      <c r="C17" s="1824">
        <v>10.553000000000001</v>
      </c>
      <c r="D17" s="1825" t="s">
        <v>2107</v>
      </c>
      <c r="E17" s="1826"/>
      <c r="F17" s="1826">
        <v>66453</v>
      </c>
      <c r="G17" s="1826"/>
      <c r="H17" s="1826"/>
      <c r="I17" s="1826">
        <v>66453</v>
      </c>
      <c r="J17" s="1826"/>
      <c r="K17" s="1826"/>
      <c r="L17" s="1823">
        <f t="shared" si="0"/>
        <v>66453</v>
      </c>
      <c r="M17" s="1826" t="s">
        <v>2076</v>
      </c>
    </row>
    <row r="18" spans="2:13" ht="20.100000000000001" customHeight="1" x14ac:dyDescent="0.2">
      <c r="B18" s="2038" t="s">
        <v>1049</v>
      </c>
      <c r="C18" s="1824">
        <v>10.555</v>
      </c>
      <c r="D18" s="1825" t="s">
        <v>2108</v>
      </c>
      <c r="E18" s="1826">
        <v>69951</v>
      </c>
      <c r="F18" s="1826"/>
      <c r="G18" s="1826">
        <v>69951</v>
      </c>
      <c r="H18" s="1826"/>
      <c r="I18" s="1826"/>
      <c r="J18" s="1826"/>
      <c r="K18" s="1826"/>
      <c r="L18" s="1823">
        <f t="shared" si="0"/>
        <v>69951</v>
      </c>
      <c r="M18" s="1826" t="s">
        <v>2076</v>
      </c>
    </row>
    <row r="19" spans="2:13" ht="20.100000000000001" customHeight="1" x14ac:dyDescent="0.2">
      <c r="B19" s="2038" t="s">
        <v>1049</v>
      </c>
      <c r="C19" s="1824">
        <v>10.555</v>
      </c>
      <c r="D19" s="1825" t="s">
        <v>2109</v>
      </c>
      <c r="E19" s="1826">
        <v>299969</v>
      </c>
      <c r="F19" s="1826">
        <v>75030</v>
      </c>
      <c r="G19" s="1826">
        <v>299969</v>
      </c>
      <c r="H19" s="1826"/>
      <c r="I19" s="1826">
        <v>75030</v>
      </c>
      <c r="J19" s="1826"/>
      <c r="K19" s="1826"/>
      <c r="L19" s="1823">
        <f t="shared" si="0"/>
        <v>374999</v>
      </c>
      <c r="M19" s="1826" t="s">
        <v>2076</v>
      </c>
    </row>
    <row r="20" spans="2:13" ht="20.100000000000001" customHeight="1" x14ac:dyDescent="0.2">
      <c r="B20" s="2038" t="s">
        <v>1049</v>
      </c>
      <c r="C20" s="1824">
        <v>10.555</v>
      </c>
      <c r="D20" s="1825" t="s">
        <v>2110</v>
      </c>
      <c r="E20" s="1826"/>
      <c r="F20" s="1826">
        <v>205949</v>
      </c>
      <c r="G20" s="1826"/>
      <c r="H20" s="1826"/>
      <c r="I20" s="1826">
        <v>205949</v>
      </c>
      <c r="J20" s="1826"/>
      <c r="K20" s="1826"/>
      <c r="L20" s="1823">
        <f t="shared" si="0"/>
        <v>205949</v>
      </c>
      <c r="M20" s="1826" t="s">
        <v>2076</v>
      </c>
    </row>
    <row r="21" spans="2:13" ht="20.100000000000001" customHeight="1" x14ac:dyDescent="0.2">
      <c r="B21" s="2038" t="s">
        <v>2094</v>
      </c>
      <c r="C21" s="1824">
        <v>10.555</v>
      </c>
      <c r="D21" s="1825">
        <v>21100005</v>
      </c>
      <c r="E21" s="1826">
        <v>24996</v>
      </c>
      <c r="F21" s="1826">
        <v>36676</v>
      </c>
      <c r="G21" s="1826">
        <v>24996</v>
      </c>
      <c r="H21" s="1826"/>
      <c r="I21" s="1826">
        <v>36676</v>
      </c>
      <c r="J21" s="1826"/>
      <c r="K21" s="1826"/>
      <c r="L21" s="1823">
        <f t="shared" si="0"/>
        <v>61672</v>
      </c>
      <c r="M21" s="1826" t="s">
        <v>2076</v>
      </c>
    </row>
    <row r="22" spans="2:13" ht="20.100000000000001" customHeight="1" x14ac:dyDescent="0.2">
      <c r="B22" s="2038" t="s">
        <v>2104</v>
      </c>
      <c r="C22" s="1824">
        <v>10.555</v>
      </c>
      <c r="D22" s="1825">
        <v>21100005</v>
      </c>
      <c r="E22" s="1826">
        <v>41627</v>
      </c>
      <c r="F22" s="1826">
        <v>25866</v>
      </c>
      <c r="G22" s="1826">
        <v>41627</v>
      </c>
      <c r="H22" s="1826"/>
      <c r="I22" s="1826">
        <v>25866</v>
      </c>
      <c r="J22" s="1826"/>
      <c r="K22" s="1826"/>
      <c r="L22" s="1823">
        <f t="shared" si="0"/>
        <v>67493</v>
      </c>
      <c r="M22" s="1826" t="s">
        <v>2076</v>
      </c>
    </row>
    <row r="23" spans="2:13" ht="20.100000000000001" customHeight="1" x14ac:dyDescent="0.2">
      <c r="B23" s="2043" t="s">
        <v>2119</v>
      </c>
      <c r="C23" s="1824"/>
      <c r="D23" s="1825"/>
      <c r="E23" s="1826">
        <f>E15+E16+E18+E19+E21+E22</f>
        <v>555781</v>
      </c>
      <c r="F23" s="1826">
        <f>F16+F17+F19+F20+F21+F22</f>
        <v>433684</v>
      </c>
      <c r="G23" s="1826">
        <f>G15+G16+G18+G19+G21+G22</f>
        <v>555781</v>
      </c>
      <c r="H23" s="1826"/>
      <c r="I23" s="1826">
        <f>I16+I17+I19+I20+I21+I22</f>
        <v>433684</v>
      </c>
      <c r="J23" s="1826"/>
      <c r="K23" s="1826"/>
      <c r="L23" s="1823"/>
      <c r="M23" s="1826"/>
    </row>
    <row r="24" spans="2:13" ht="20.100000000000001" customHeight="1" x14ac:dyDescent="0.2">
      <c r="B24" s="2042" t="s">
        <v>2095</v>
      </c>
      <c r="C24" s="1824"/>
      <c r="D24" s="1825"/>
      <c r="E24" s="1826"/>
      <c r="F24" s="1826"/>
      <c r="G24" s="1826"/>
      <c r="H24" s="1826"/>
      <c r="I24" s="1826"/>
      <c r="J24" s="1826"/>
      <c r="K24" s="1826"/>
      <c r="L24" s="1823"/>
      <c r="M24" s="1826"/>
    </row>
    <row r="25" spans="2:13" ht="20.100000000000001" customHeight="1" x14ac:dyDescent="0.2">
      <c r="B25" s="2037" t="s">
        <v>2096</v>
      </c>
      <c r="C25" s="1824"/>
      <c r="D25" s="1825"/>
      <c r="E25" s="2040">
        <f>+E15+E16+E18+E19+E21+E22</f>
        <v>555781</v>
      </c>
      <c r="F25" s="2040">
        <f>+F16+F17+F19+F20+F21+F22+F13</f>
        <v>582420</v>
      </c>
      <c r="G25" s="2040">
        <f>+G15+G16+G18+G19+G21+G22</f>
        <v>555781</v>
      </c>
      <c r="H25" s="1826"/>
      <c r="I25" s="2040">
        <f>+I16+I17+I19+I20+I21+I22+I13</f>
        <v>582420</v>
      </c>
      <c r="J25" s="1826"/>
      <c r="K25" s="1826"/>
      <c r="L25" s="2041">
        <f t="shared" si="0"/>
        <v>1138201</v>
      </c>
      <c r="M25" s="1826"/>
    </row>
    <row r="26" spans="2:13" ht="20.100000000000001" customHeight="1" x14ac:dyDescent="0.2">
      <c r="B26" s="1113" t="s">
        <v>2091</v>
      </c>
      <c r="C26" s="1824"/>
      <c r="D26" s="1825"/>
      <c r="E26" s="1826"/>
      <c r="F26" s="1826"/>
      <c r="G26" s="1826"/>
      <c r="H26" s="1826"/>
      <c r="I26" s="1826"/>
      <c r="J26" s="1826"/>
      <c r="K26" s="1826"/>
      <c r="L26" s="1823"/>
      <c r="M26" s="1826"/>
    </row>
    <row r="27" spans="2:13" ht="20.100000000000001" customHeight="1" x14ac:dyDescent="0.2">
      <c r="B27" s="1113" t="s">
        <v>2097</v>
      </c>
      <c r="C27" s="1824">
        <v>84.01</v>
      </c>
      <c r="D27" s="1825" t="s">
        <v>2111</v>
      </c>
      <c r="E27" s="1826">
        <v>112766</v>
      </c>
      <c r="F27" s="1826"/>
      <c r="G27" s="1826">
        <v>50403</v>
      </c>
      <c r="H27" s="1826"/>
      <c r="I27" s="1826"/>
      <c r="J27" s="1826"/>
      <c r="K27" s="1826"/>
      <c r="L27" s="1823">
        <f t="shared" si="0"/>
        <v>50403</v>
      </c>
      <c r="M27" s="1826">
        <v>667129</v>
      </c>
    </row>
    <row r="28" spans="2:13" ht="20.100000000000001" customHeight="1" x14ac:dyDescent="0.2">
      <c r="B28" s="1113" t="s">
        <v>2097</v>
      </c>
      <c r="C28" s="1824">
        <v>84.01</v>
      </c>
      <c r="D28" s="1825" t="s">
        <v>2112</v>
      </c>
      <c r="E28" s="1826">
        <v>551267</v>
      </c>
      <c r="F28" s="1826">
        <v>121083</v>
      </c>
      <c r="G28" s="1826">
        <v>610244</v>
      </c>
      <c r="H28" s="1826"/>
      <c r="I28" s="1826">
        <v>62537</v>
      </c>
      <c r="J28" s="1826"/>
      <c r="K28" s="1826"/>
      <c r="L28" s="1823">
        <f>+G28+I28+K28</f>
        <v>672781</v>
      </c>
      <c r="M28" s="1826">
        <v>750497</v>
      </c>
    </row>
    <row r="29" spans="2:13" ht="20.100000000000001" customHeight="1" x14ac:dyDescent="0.2">
      <c r="B29" s="1113" t="s">
        <v>2097</v>
      </c>
      <c r="C29" s="1824">
        <v>84.01</v>
      </c>
      <c r="D29" s="1825" t="s">
        <v>2113</v>
      </c>
      <c r="E29" s="1826"/>
      <c r="F29" s="1826">
        <v>567530</v>
      </c>
      <c r="G29" s="1826"/>
      <c r="H29" s="1826"/>
      <c r="I29" s="1826">
        <v>615789</v>
      </c>
      <c r="J29" s="1826"/>
      <c r="K29" s="1826"/>
      <c r="L29" s="1823">
        <f>+G29+I29+K29</f>
        <v>615789</v>
      </c>
      <c r="M29" s="1826">
        <v>736129</v>
      </c>
    </row>
    <row r="30" spans="2:13" ht="20.100000000000001" customHeight="1" x14ac:dyDescent="0.2">
      <c r="B30" s="1113" t="s">
        <v>753</v>
      </c>
      <c r="C30" s="1824" t="s">
        <v>2117</v>
      </c>
      <c r="D30" s="1825" t="s">
        <v>2114</v>
      </c>
      <c r="E30" s="1826">
        <v>10336</v>
      </c>
      <c r="F30" s="1826"/>
      <c r="G30" s="1826">
        <v>6747</v>
      </c>
      <c r="H30" s="1826"/>
      <c r="I30" s="1826"/>
      <c r="J30" s="1826"/>
      <c r="K30" s="1826"/>
      <c r="L30" s="1823">
        <f>G30+I30+J30</f>
        <v>6747</v>
      </c>
      <c r="M30" s="1826">
        <v>76842</v>
      </c>
    </row>
    <row r="31" spans="2:13" ht="20.100000000000001" customHeight="1" x14ac:dyDescent="0.2">
      <c r="B31" s="1113" t="s">
        <v>753</v>
      </c>
      <c r="C31" s="1824" t="s">
        <v>2117</v>
      </c>
      <c r="D31" s="1825" t="s">
        <v>2115</v>
      </c>
      <c r="E31" s="1826">
        <v>59369</v>
      </c>
      <c r="F31" s="1826">
        <v>21020</v>
      </c>
      <c r="G31" s="1826">
        <v>64605</v>
      </c>
      <c r="H31" s="1826"/>
      <c r="I31" s="1826">
        <v>15785</v>
      </c>
      <c r="J31" s="1826"/>
      <c r="K31" s="1826"/>
      <c r="L31" s="1823">
        <f>+G31+I31+K31</f>
        <v>80390</v>
      </c>
      <c r="M31" s="1826">
        <v>97465</v>
      </c>
    </row>
    <row r="32" spans="2:13" ht="20.100000000000001" customHeight="1" x14ac:dyDescent="0.2">
      <c r="B32" s="1113" t="s">
        <v>753</v>
      </c>
      <c r="C32" s="1824" t="s">
        <v>2117</v>
      </c>
      <c r="D32" s="1825" t="s">
        <v>2116</v>
      </c>
      <c r="E32" s="1826"/>
      <c r="F32" s="1826">
        <v>67670</v>
      </c>
      <c r="G32" s="1826"/>
      <c r="H32" s="1826"/>
      <c r="I32" s="1826">
        <v>72971</v>
      </c>
      <c r="J32" s="1826"/>
      <c r="K32" s="1826"/>
      <c r="L32" s="1823">
        <f>+G32+I32+K32</f>
        <v>72971</v>
      </c>
      <c r="M32" s="1826">
        <v>80249</v>
      </c>
    </row>
    <row r="33" spans="2:14" ht="20.100000000000001" customHeight="1" x14ac:dyDescent="0.2">
      <c r="B33" s="1113" t="s">
        <v>2120</v>
      </c>
      <c r="C33" s="1824">
        <v>84.027000000000001</v>
      </c>
      <c r="D33" s="1825" t="s">
        <v>2121</v>
      </c>
      <c r="E33" s="1826"/>
      <c r="F33" s="1826">
        <v>4584</v>
      </c>
      <c r="G33" s="1826"/>
      <c r="H33" s="1826"/>
      <c r="I33" s="1826"/>
      <c r="J33" s="1826"/>
      <c r="K33" s="1826"/>
      <c r="L33" s="1823"/>
      <c r="M33" s="1826"/>
    </row>
    <row r="34" spans="2:14" ht="20.100000000000001" customHeight="1" x14ac:dyDescent="0.2">
      <c r="B34" s="2039" t="s">
        <v>2098</v>
      </c>
      <c r="C34" s="1824"/>
      <c r="D34" s="1825"/>
      <c r="E34" s="2040">
        <f>+E31+E30+E28+E27</f>
        <v>733738</v>
      </c>
      <c r="F34" s="2040">
        <f>+F32+F31+F29+F28+F33</f>
        <v>781887</v>
      </c>
      <c r="G34" s="2040">
        <f>+G31+G30+G28+G27</f>
        <v>731999</v>
      </c>
      <c r="H34" s="1826"/>
      <c r="I34" s="2040">
        <f>+I32+I31+I29+I28</f>
        <v>767082</v>
      </c>
      <c r="J34" s="1826"/>
      <c r="K34" s="1826"/>
      <c r="L34" s="2041">
        <f>+G34+I34+K34</f>
        <v>1499081</v>
      </c>
      <c r="M34" s="1826"/>
    </row>
    <row r="35" spans="2:14" ht="20.100000000000001" customHeight="1" x14ac:dyDescent="0.2">
      <c r="B35" s="2037" t="s">
        <v>2099</v>
      </c>
      <c r="C35" s="1824"/>
      <c r="D35" s="1825"/>
      <c r="E35" s="1826"/>
      <c r="F35" s="1826"/>
      <c r="G35" s="1826"/>
      <c r="H35" s="1826"/>
      <c r="I35" s="1826"/>
      <c r="J35" s="1826"/>
      <c r="K35" s="1826"/>
      <c r="L35" s="1823"/>
      <c r="M35" s="1826"/>
    </row>
    <row r="36" spans="2:14" ht="20.100000000000001" customHeight="1" x14ac:dyDescent="0.2">
      <c r="B36" s="1113" t="s">
        <v>2100</v>
      </c>
      <c r="C36" s="1824"/>
      <c r="D36" s="1825"/>
      <c r="E36" s="1826"/>
      <c r="F36" s="1826"/>
      <c r="G36" s="1826"/>
      <c r="H36" s="1826"/>
      <c r="I36" s="1826"/>
      <c r="J36" s="1826"/>
      <c r="K36" s="1826"/>
      <c r="L36" s="1823"/>
      <c r="M36" s="1826"/>
    </row>
    <row r="37" spans="2:14" ht="20.100000000000001" customHeight="1" x14ac:dyDescent="0.2">
      <c r="B37" s="1113" t="s">
        <v>2101</v>
      </c>
      <c r="C37" s="1824"/>
      <c r="D37" s="1825"/>
      <c r="E37" s="1826"/>
      <c r="F37" s="1826"/>
      <c r="G37" s="1826"/>
      <c r="H37" s="1826"/>
      <c r="I37" s="1826"/>
      <c r="J37" s="1826"/>
      <c r="K37" s="1826"/>
      <c r="L37" s="1823"/>
      <c r="M37" s="1826"/>
    </row>
    <row r="38" spans="2:14" ht="20.100000000000001" customHeight="1" x14ac:dyDescent="0.2">
      <c r="B38" s="1113" t="s">
        <v>2102</v>
      </c>
      <c r="C38" s="1824">
        <v>93.778000000000006</v>
      </c>
      <c r="D38" s="1825" t="s">
        <v>2076</v>
      </c>
      <c r="E38" s="1826">
        <v>15022</v>
      </c>
      <c r="F38" s="1826">
        <v>20576</v>
      </c>
      <c r="G38" s="1826">
        <v>15022</v>
      </c>
      <c r="H38" s="1826"/>
      <c r="I38" s="1826">
        <v>20576</v>
      </c>
      <c r="J38" s="1826"/>
      <c r="K38" s="1826"/>
      <c r="L38" s="1823">
        <f>G38+I38+K38</f>
        <v>35598</v>
      </c>
      <c r="M38" s="1826" t="s">
        <v>2076</v>
      </c>
    </row>
    <row r="39" spans="2:14" ht="20.100000000000001" customHeight="1" x14ac:dyDescent="0.2">
      <c r="B39" s="1113"/>
      <c r="C39" s="1824"/>
      <c r="D39" s="1825"/>
      <c r="E39" s="1826"/>
      <c r="F39" s="1826"/>
      <c r="G39" s="1826"/>
      <c r="H39" s="1826"/>
      <c r="I39" s="1826"/>
      <c r="J39" s="1826"/>
      <c r="K39" s="1826"/>
      <c r="L39" s="1823"/>
      <c r="M39" s="1826"/>
    </row>
    <row r="40" spans="2:14" ht="20.100000000000001" customHeight="1" x14ac:dyDescent="0.2">
      <c r="B40" s="2037" t="s">
        <v>2103</v>
      </c>
      <c r="C40" s="1824"/>
      <c r="D40" s="1825"/>
      <c r="E40" s="2040">
        <f>+E34+E25+E38</f>
        <v>1304541</v>
      </c>
      <c r="F40" s="2040">
        <f>+F38+F34+F25</f>
        <v>1384883</v>
      </c>
      <c r="G40" s="2040">
        <f>+G34+G25+G38</f>
        <v>1302802</v>
      </c>
      <c r="H40" s="1826"/>
      <c r="I40" s="2040">
        <f>+I38+I34+I25</f>
        <v>1370078</v>
      </c>
      <c r="J40" s="1826"/>
      <c r="K40" s="1826"/>
      <c r="L40" s="2041">
        <f t="shared" si="0"/>
        <v>2672880</v>
      </c>
      <c r="M40" s="1826"/>
      <c r="N40" s="1114"/>
    </row>
    <row r="41" spans="2:14" ht="12.75" customHeight="1" x14ac:dyDescent="0.2">
      <c r="B41" s="1115"/>
      <c r="C41" s="1116"/>
      <c r="D41" s="1117"/>
      <c r="E41" s="1118"/>
      <c r="F41" s="1118"/>
      <c r="G41" s="1118"/>
      <c r="H41" s="1118"/>
      <c r="I41" s="1118"/>
      <c r="J41" s="1118"/>
      <c r="K41" s="1118"/>
      <c r="L41" s="1118"/>
      <c r="M41" s="1118"/>
      <c r="N41" s="1114"/>
    </row>
    <row r="42" spans="2:14" x14ac:dyDescent="0.2">
      <c r="B42" s="1033"/>
      <c r="C42" s="1119"/>
      <c r="D42" s="1120"/>
      <c r="E42" s="1033"/>
      <c r="F42" s="1033"/>
      <c r="G42" s="1026"/>
      <c r="H42" s="1026"/>
      <c r="I42" s="1026"/>
      <c r="J42" s="1026"/>
      <c r="K42" s="1026"/>
      <c r="L42" s="1026"/>
      <c r="M42" s="1033"/>
      <c r="N42" s="1114"/>
    </row>
    <row r="43" spans="2:14" ht="13.5" customHeight="1" x14ac:dyDescent="0.2">
      <c r="B43" s="1058" t="s">
        <v>1713</v>
      </c>
      <c r="C43" s="1119"/>
      <c r="D43" s="1120"/>
      <c r="E43" s="1033"/>
      <c r="F43" s="1033"/>
      <c r="G43" s="1026"/>
      <c r="H43" s="1026"/>
      <c r="I43" s="1026"/>
      <c r="J43" s="1026"/>
      <c r="K43" s="1026"/>
      <c r="L43" s="1026"/>
      <c r="M43" s="1033"/>
      <c r="N43" s="1114"/>
    </row>
    <row r="44" spans="2:14" ht="8.25" customHeight="1" x14ac:dyDescent="0.2">
      <c r="B44" s="1058"/>
      <c r="C44" s="1119"/>
      <c r="D44" s="1120"/>
      <c r="E44" s="1033"/>
      <c r="F44" s="1033"/>
      <c r="G44" s="1026"/>
      <c r="H44" s="1026"/>
      <c r="I44" s="1026"/>
      <c r="J44" s="1026"/>
      <c r="K44" s="1026"/>
      <c r="L44" s="1026"/>
      <c r="M44" s="1033"/>
      <c r="N44" s="1114"/>
    </row>
    <row r="45" spans="2:14" x14ac:dyDescent="0.2">
      <c r="B45" s="1121" t="s">
        <v>1811</v>
      </c>
      <c r="C45" s="1122"/>
      <c r="D45" s="1123"/>
      <c r="E45" s="1124"/>
      <c r="F45" s="1124"/>
      <c r="G45" s="1124"/>
      <c r="H45" s="1124"/>
      <c r="I45" s="295"/>
      <c r="J45" s="295"/>
    </row>
    <row r="46" spans="2:14" x14ac:dyDescent="0.2">
      <c r="B46" s="1053"/>
      <c r="C46" s="1125"/>
      <c r="D46" s="1126"/>
      <c r="E46" s="1054"/>
      <c r="F46" s="1054"/>
      <c r="G46" s="295"/>
      <c r="H46" s="295"/>
      <c r="I46" s="295"/>
      <c r="J46" s="295"/>
    </row>
    <row r="47" spans="2:14" ht="13.5" customHeight="1" x14ac:dyDescent="0.2">
      <c r="B47" s="1052" t="s">
        <v>1235</v>
      </c>
      <c r="G47" s="295"/>
      <c r="H47" s="295"/>
      <c r="I47" s="295"/>
      <c r="J47" s="295"/>
    </row>
    <row r="48" spans="2:14" ht="13.5" customHeight="1" x14ac:dyDescent="0.2">
      <c r="B48" s="1129"/>
      <c r="C48" s="1130"/>
      <c r="D48" s="1131"/>
      <c r="E48" s="1073"/>
      <c r="F48" s="1073"/>
      <c r="G48" s="1073"/>
      <c r="H48" s="1073"/>
      <c r="I48" s="1073"/>
      <c r="J48" s="1073"/>
      <c r="K48" s="1132"/>
      <c r="L48" s="1132"/>
      <c r="M48" s="1073"/>
    </row>
    <row r="49" spans="2:13" ht="9.6" customHeight="1" x14ac:dyDescent="0.2">
      <c r="B49" s="1133"/>
      <c r="G49" s="295"/>
      <c r="H49" s="295"/>
      <c r="I49" s="295"/>
      <c r="J49" s="295"/>
    </row>
    <row r="50" spans="2:13" ht="11.25" customHeight="1" x14ac:dyDescent="0.2">
      <c r="B50" s="1134" t="s">
        <v>1714</v>
      </c>
      <c r="C50" s="1135"/>
      <c r="D50" s="1135"/>
      <c r="E50" s="1135"/>
      <c r="F50" s="1135"/>
      <c r="G50" s="1135"/>
      <c r="H50" s="1135"/>
      <c r="I50" s="1136"/>
      <c r="J50" s="1136"/>
      <c r="K50" s="1136"/>
      <c r="L50" s="1136"/>
      <c r="M50" s="1136"/>
    </row>
    <row r="51" spans="2:13" ht="11.25" customHeight="1" x14ac:dyDescent="0.2">
      <c r="B51" s="1137" t="s">
        <v>1567</v>
      </c>
      <c r="C51" s="1136"/>
      <c r="D51" s="1136"/>
      <c r="E51" s="1136"/>
      <c r="F51" s="1136"/>
      <c r="G51" s="1136"/>
      <c r="H51" s="1136"/>
      <c r="I51" s="1136"/>
      <c r="J51" s="1136"/>
      <c r="K51" s="1136"/>
      <c r="L51" s="1136"/>
      <c r="M51" s="1136"/>
    </row>
    <row r="52" spans="2:13" ht="3.95" customHeight="1" x14ac:dyDescent="0.2">
      <c r="B52" s="1137"/>
      <c r="C52" s="1136"/>
      <c r="D52" s="1136"/>
      <c r="E52" s="1136"/>
      <c r="F52" s="1136"/>
      <c r="G52" s="1136"/>
      <c r="H52" s="1136"/>
      <c r="I52" s="1136"/>
      <c r="J52" s="1136"/>
      <c r="K52" s="1136"/>
      <c r="L52" s="1136"/>
      <c r="M52" s="1136"/>
    </row>
    <row r="53" spans="2:13" ht="11.25" customHeight="1" x14ac:dyDescent="0.2">
      <c r="B53" s="1134" t="s">
        <v>1715</v>
      </c>
      <c r="C53" s="1136"/>
      <c r="D53" s="1136"/>
      <c r="E53" s="1136"/>
      <c r="F53" s="1136"/>
      <c r="G53" s="1136"/>
      <c r="H53" s="1136"/>
      <c r="I53" s="1136"/>
      <c r="J53" s="1136"/>
      <c r="K53" s="1136"/>
      <c r="L53" s="1136"/>
      <c r="M53" s="1136"/>
    </row>
    <row r="54" spans="2:13" ht="11.25" customHeight="1" x14ac:dyDescent="0.2">
      <c r="B54" s="1076" t="s">
        <v>1568</v>
      </c>
      <c r="C54" s="1138"/>
      <c r="D54" s="1139"/>
      <c r="E54" s="1076"/>
      <c r="F54" s="1076"/>
      <c r="G54" s="1076"/>
      <c r="H54" s="1076"/>
      <c r="I54" s="1076"/>
      <c r="J54" s="1076"/>
      <c r="K54" s="1140"/>
      <c r="L54" s="1140"/>
      <c r="M54" s="1076"/>
    </row>
    <row r="55" spans="2:13" ht="3.95" customHeight="1" x14ac:dyDescent="0.2">
      <c r="B55" s="1076"/>
      <c r="C55" s="1138"/>
      <c r="D55" s="1139"/>
      <c r="E55" s="1076"/>
      <c r="F55" s="1076"/>
      <c r="G55" s="1076"/>
      <c r="H55" s="1076"/>
      <c r="I55" s="1076"/>
      <c r="J55" s="1076"/>
      <c r="K55" s="1140"/>
      <c r="L55" s="1140"/>
      <c r="M55" s="1076"/>
    </row>
    <row r="56" spans="2:13" ht="11.25" customHeight="1" x14ac:dyDescent="0.2">
      <c r="B56" s="1141" t="s">
        <v>1716</v>
      </c>
      <c r="C56" s="1138"/>
      <c r="D56" s="1139"/>
      <c r="E56" s="1076"/>
      <c r="F56" s="1076"/>
      <c r="G56" s="1076"/>
      <c r="H56" s="1076"/>
      <c r="I56" s="1076"/>
      <c r="J56" s="1076"/>
      <c r="K56" s="1140"/>
      <c r="L56" s="1140"/>
      <c r="M56" s="1076"/>
    </row>
    <row r="57" spans="2:13" ht="3.95" customHeight="1" x14ac:dyDescent="0.2">
      <c r="B57" s="1141"/>
      <c r="C57" s="1138"/>
      <c r="D57" s="1139"/>
      <c r="E57" s="1076"/>
      <c r="F57" s="1076"/>
      <c r="G57" s="1076"/>
      <c r="H57" s="1076"/>
      <c r="I57" s="1076"/>
      <c r="J57" s="1076"/>
      <c r="K57" s="1140"/>
      <c r="L57" s="1140"/>
      <c r="M57" s="1076"/>
    </row>
    <row r="58" spans="2:13" ht="11.25" customHeight="1" x14ac:dyDescent="0.2">
      <c r="B58" s="1142" t="s">
        <v>1717</v>
      </c>
      <c r="C58" s="1138"/>
      <c r="D58" s="1139"/>
      <c r="E58" s="1076"/>
      <c r="F58" s="1076"/>
      <c r="G58" s="1076"/>
      <c r="H58" s="1076"/>
      <c r="I58" s="1076"/>
      <c r="J58" s="1076"/>
      <c r="K58" s="1140"/>
      <c r="L58" s="1140"/>
      <c r="M58" s="1076"/>
    </row>
    <row r="59" spans="2:13" ht="11.25" customHeight="1" x14ac:dyDescent="0.2">
      <c r="B59" s="1076" t="s">
        <v>1569</v>
      </c>
      <c r="G59" s="295"/>
      <c r="H59" s="295"/>
      <c r="I59" s="295"/>
      <c r="J59" s="295"/>
    </row>
    <row r="60" spans="2:13" ht="11.1" customHeight="1" x14ac:dyDescent="0.2">
      <c r="B60" s="1076"/>
      <c r="G60" s="295"/>
      <c r="H60" s="295"/>
      <c r="I60" s="295"/>
      <c r="J60" s="295"/>
    </row>
    <row r="61" spans="2:13" ht="11.1" customHeight="1" x14ac:dyDescent="0.2">
      <c r="B61" s="1076"/>
      <c r="G61" s="295"/>
      <c r="H61" s="295"/>
      <c r="I61" s="295"/>
      <c r="J61" s="295"/>
    </row>
    <row r="62" spans="2:13" ht="13.5" customHeight="1" x14ac:dyDescent="0.2">
      <c r="M62" s="1143"/>
    </row>
    <row r="63" spans="2:13" ht="13.5" customHeight="1" x14ac:dyDescent="0.2">
      <c r="M63" s="1143"/>
    </row>
    <row r="64" spans="2:13" ht="13.5" customHeight="1" x14ac:dyDescent="0.2">
      <c r="M64" s="1143"/>
    </row>
    <row r="65" spans="7:10" ht="13.5" customHeight="1" x14ac:dyDescent="0.2">
      <c r="G65" s="295"/>
      <c r="H65" s="295"/>
      <c r="I65" s="295"/>
      <c r="J65" s="295"/>
    </row>
    <row r="66" spans="7:10" ht="13.5" customHeight="1" x14ac:dyDescent="0.2">
      <c r="G66" s="295"/>
      <c r="H66" s="295"/>
      <c r="I66" s="295"/>
      <c r="J66" s="295"/>
    </row>
    <row r="67" spans="7:10" ht="13.5" customHeight="1" x14ac:dyDescent="0.2">
      <c r="G67" s="295"/>
      <c r="H67" s="295"/>
      <c r="I67" s="295"/>
      <c r="J67" s="295"/>
    </row>
    <row r="68" spans="7:10" ht="13.5" customHeight="1" x14ac:dyDescent="0.2">
      <c r="G68" s="295"/>
      <c r="H68" s="295"/>
      <c r="I68" s="295"/>
      <c r="J68" s="295"/>
    </row>
    <row r="69" spans="7:10" ht="13.5" customHeight="1" x14ac:dyDescent="0.2">
      <c r="G69" s="295"/>
      <c r="H69" s="295"/>
      <c r="I69" s="295"/>
      <c r="J69" s="295"/>
    </row>
    <row r="70" spans="7:10" ht="13.5" customHeight="1" x14ac:dyDescent="0.2">
      <c r="G70" s="295"/>
      <c r="H70" s="295"/>
      <c r="I70" s="295"/>
      <c r="J70" s="295"/>
    </row>
    <row r="71" spans="7:10" ht="13.5" customHeight="1" x14ac:dyDescent="0.2">
      <c r="G71" s="295"/>
      <c r="H71" s="295"/>
      <c r="I71" s="295"/>
      <c r="J71" s="295"/>
    </row>
    <row r="72" spans="7:10" ht="13.5" customHeight="1" x14ac:dyDescent="0.2"/>
    <row r="73" spans="7:10" ht="13.5" customHeight="1" x14ac:dyDescent="0.2"/>
    <row r="74" spans="7:10" ht="13.5" customHeight="1" x14ac:dyDescent="0.2"/>
    <row r="75" spans="7:10" ht="25.5" customHeight="1" x14ac:dyDescent="0.2"/>
    <row r="76" spans="7:10" ht="25.5" customHeight="1" x14ac:dyDescent="0.2"/>
    <row r="77" spans="7:10" ht="25.5" customHeight="1" x14ac:dyDescent="0.2"/>
    <row r="78" spans="7:10" ht="25.5" customHeight="1" x14ac:dyDescent="0.2"/>
    <row r="79" spans="7:10" ht="25.5" customHeight="1" x14ac:dyDescent="0.2"/>
    <row r="80" spans="7:10"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4.7" customHeight="1" x14ac:dyDescent="0.2"/>
    <row r="125" ht="12.2"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4.7" customHeight="1" x14ac:dyDescent="0.2"/>
    <row r="165" ht="12.2" customHeight="1" x14ac:dyDescent="0.2"/>
  </sheetData>
  <mergeCells count="4">
    <mergeCell ref="B1:M1"/>
    <mergeCell ref="B2:M2"/>
    <mergeCell ref="B3:M3"/>
    <mergeCell ref="B4:M4"/>
  </mergeCells>
  <pageMargins left="0.09" right="0" top="0.5" bottom="0.5" header="0.25" footer="0.25"/>
  <pageSetup scale="58"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view="pageBreakPreview" zoomScale="60" zoomScaleNormal="120" workbookViewId="0">
      <selection activeCell="C6" sqref="C6"/>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Carterville CUSD 5</v>
      </c>
      <c r="B1" s="2580"/>
      <c r="C1" s="2580"/>
      <c r="D1" s="2580"/>
      <c r="E1" s="2580"/>
      <c r="F1" s="2580"/>
    </row>
    <row r="2" spans="1:7" ht="13.5" customHeight="1" x14ac:dyDescent="0.2">
      <c r="A2" s="2576">
        <f>'Single Audit Cover'!E7</f>
        <v>21100005026</v>
      </c>
      <c r="B2" s="2576"/>
      <c r="C2" s="2576"/>
      <c r="D2" s="2576"/>
      <c r="E2" s="2576"/>
      <c r="F2" s="2576"/>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2128</v>
      </c>
      <c r="B7" s="2579"/>
      <c r="C7" s="2579"/>
      <c r="D7" s="2579"/>
      <c r="E7" s="2579"/>
      <c r="F7" s="2579"/>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2089</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1707</v>
      </c>
      <c r="B13" s="2579"/>
      <c r="C13" s="2579"/>
      <c r="D13" s="2579"/>
      <c r="E13" s="2579"/>
      <c r="F13" s="2579"/>
    </row>
    <row r="14" spans="1:7" ht="9.75" customHeight="1" x14ac:dyDescent="0.2">
      <c r="C14" s="1036"/>
      <c r="D14" s="1036"/>
    </row>
    <row r="15" spans="1:7" ht="13.5" customHeight="1" x14ac:dyDescent="0.2">
      <c r="C15" s="1476" t="s">
        <v>1259</v>
      </c>
      <c r="D15" s="2584" t="s">
        <v>1258</v>
      </c>
      <c r="E15" s="2584"/>
      <c r="F15" s="2584"/>
    </row>
    <row r="16" spans="1:7" ht="13.5" customHeight="1" x14ac:dyDescent="0.2">
      <c r="A16" s="1058"/>
      <c r="B16" s="1052" t="s">
        <v>1257</v>
      </c>
      <c r="C16" s="1476" t="s">
        <v>1256</v>
      </c>
      <c r="D16" s="2585" t="s">
        <v>1571</v>
      </c>
      <c r="E16" s="2585"/>
      <c r="F16" s="2585"/>
    </row>
    <row r="17" spans="1:6" ht="20.45" customHeight="1" x14ac:dyDescent="0.2">
      <c r="A17" s="1059"/>
      <c r="B17" s="1060" t="s">
        <v>2122</v>
      </c>
      <c r="C17" s="1061"/>
      <c r="D17" s="2583"/>
      <c r="E17" s="2583"/>
      <c r="F17" s="2583"/>
    </row>
    <row r="18" spans="1:6" ht="20.65" customHeight="1" x14ac:dyDescent="0.2">
      <c r="A18" s="1059"/>
      <c r="B18" s="1060"/>
      <c r="C18" s="1061"/>
      <c r="D18" s="2583"/>
      <c r="E18" s="2583"/>
      <c r="F18" s="2583"/>
    </row>
    <row r="19" spans="1:6" ht="20.65" customHeight="1" x14ac:dyDescent="0.2">
      <c r="A19" s="1059"/>
      <c r="B19" s="1060"/>
      <c r="C19" s="1061"/>
      <c r="D19" s="2583"/>
      <c r="E19" s="2583"/>
      <c r="F19" s="2583"/>
    </row>
    <row r="20" spans="1:6" ht="20.65" customHeight="1" x14ac:dyDescent="0.2">
      <c r="A20" s="1059"/>
      <c r="B20" s="1060"/>
      <c r="C20" s="1061"/>
      <c r="D20" s="2583"/>
      <c r="E20" s="2583"/>
      <c r="F20" s="2583"/>
    </row>
    <row r="21" spans="1:6" ht="20.65" customHeight="1" x14ac:dyDescent="0.2">
      <c r="A21" s="1059"/>
      <c r="B21" s="1060"/>
      <c r="C21" s="1061"/>
      <c r="D21" s="2583"/>
      <c r="E21" s="2583"/>
      <c r="F21" s="2583"/>
    </row>
    <row r="22" spans="1:6" ht="20.65" customHeight="1" x14ac:dyDescent="0.2">
      <c r="A22" s="1059"/>
      <c r="B22" s="1060"/>
      <c r="C22" s="1061"/>
      <c r="D22" s="2583"/>
      <c r="E22" s="2583"/>
      <c r="F22" s="2583"/>
    </row>
    <row r="23" spans="1:6" ht="20.65" customHeight="1" x14ac:dyDescent="0.2">
      <c r="A23" s="1059"/>
      <c r="B23" s="1060"/>
      <c r="C23" s="1061"/>
      <c r="D23" s="2583"/>
      <c r="E23" s="2583"/>
      <c r="F23" s="2583"/>
    </row>
    <row r="24" spans="1:6" ht="20.65" customHeight="1" x14ac:dyDescent="0.2">
      <c r="A24" s="1059"/>
      <c r="B24" s="1060"/>
      <c r="C24" s="1061"/>
      <c r="D24" s="2583"/>
      <c r="E24" s="2583"/>
      <c r="F24" s="2583"/>
    </row>
    <row r="25" spans="1:6" ht="20.65" customHeight="1" x14ac:dyDescent="0.2">
      <c r="A25" s="1059"/>
      <c r="B25" s="1060"/>
      <c r="C25" s="1061"/>
      <c r="D25" s="2583"/>
      <c r="E25" s="2583"/>
      <c r="F25" s="2583"/>
    </row>
    <row r="26" spans="1:6" ht="20.65" customHeight="1" x14ac:dyDescent="0.2">
      <c r="A26" s="1059"/>
      <c r="B26" s="1060"/>
      <c r="C26" s="1061"/>
      <c r="D26" s="2583"/>
      <c r="E26" s="2583"/>
      <c r="F26" s="2583"/>
    </row>
    <row r="27" spans="1:6" ht="20.65" customHeight="1" x14ac:dyDescent="0.2">
      <c r="A27" s="1059"/>
      <c r="B27" s="1060"/>
      <c r="C27" s="1061"/>
      <c r="D27" s="2583"/>
      <c r="E27" s="2583"/>
      <c r="F27" s="2583"/>
    </row>
    <row r="28" spans="1:6" ht="20.65" customHeight="1" x14ac:dyDescent="0.2">
      <c r="A28" s="1059"/>
      <c r="B28" s="1060"/>
      <c r="C28" s="1061"/>
      <c r="D28" s="2583"/>
      <c r="E28" s="2583"/>
      <c r="F28" s="2583"/>
    </row>
    <row r="29" spans="1:6" ht="20.65" customHeight="1" x14ac:dyDescent="0.2">
      <c r="A29" s="1059"/>
      <c r="B29" s="1060"/>
      <c r="C29" s="1061"/>
      <c r="D29" s="2583"/>
      <c r="E29" s="2583"/>
      <c r="F29" s="258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7" t="s">
        <v>1708</v>
      </c>
      <c r="B32" s="2587"/>
      <c r="C32" s="2587"/>
      <c r="D32" s="2587"/>
      <c r="E32" s="2587"/>
      <c r="F32" s="2587"/>
    </row>
    <row r="33" spans="1:6" ht="13.5" customHeight="1" x14ac:dyDescent="0.2">
      <c r="A33" s="306" t="s">
        <v>1417</v>
      </c>
      <c r="B33" s="306"/>
      <c r="C33" s="1064">
        <f>' SEFA'!F21</f>
        <v>36676</v>
      </c>
      <c r="D33" s="1526"/>
      <c r="E33" s="1062"/>
    </row>
    <row r="34" spans="1:6" ht="13.5" customHeight="1" x14ac:dyDescent="0.2">
      <c r="A34" s="306" t="s">
        <v>1810</v>
      </c>
      <c r="B34" s="306"/>
      <c r="C34" s="1065">
        <f>' SEFA'!F22</f>
        <v>25866</v>
      </c>
      <c r="D34" s="1526" t="s">
        <v>1572</v>
      </c>
      <c r="E34" s="2588">
        <f>+C33+C34</f>
        <v>62542</v>
      </c>
      <c r="F34" s="2589"/>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380</v>
      </c>
      <c r="D38" s="1526"/>
      <c r="E38" s="1062"/>
    </row>
    <row r="39" spans="1:6" ht="14.25" customHeight="1" x14ac:dyDescent="0.2">
      <c r="A39" s="306"/>
      <c r="B39" s="306" t="s">
        <v>1419</v>
      </c>
      <c r="C39" s="1068" t="s">
        <v>380</v>
      </c>
      <c r="D39" s="1526"/>
      <c r="E39" s="1062"/>
    </row>
    <row r="40" spans="1:6" ht="14.25" customHeight="1" x14ac:dyDescent="0.2">
      <c r="A40" s="306"/>
      <c r="B40" s="306" t="s">
        <v>1420</v>
      </c>
      <c r="C40" s="1068" t="s">
        <v>380</v>
      </c>
      <c r="D40" s="1526"/>
      <c r="E40" s="1062"/>
    </row>
    <row r="41" spans="1:6" ht="14.25" customHeight="1" x14ac:dyDescent="0.2">
      <c r="A41" s="306"/>
      <c r="B41" s="306" t="s">
        <v>1421</v>
      </c>
      <c r="C41" s="1068" t="s">
        <v>380</v>
      </c>
      <c r="D41" s="1526"/>
      <c r="E41" s="1062"/>
    </row>
    <row r="42" spans="1:6" ht="14.25" customHeight="1" x14ac:dyDescent="0.2">
      <c r="A42" s="306" t="s">
        <v>1422</v>
      </c>
      <c r="B42" s="306"/>
      <c r="C42" s="1524" t="s">
        <v>380</v>
      </c>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0" t="s">
        <v>1573</v>
      </c>
      <c r="C49" s="2590"/>
      <c r="D49" s="2590"/>
      <c r="E49" s="1168"/>
    </row>
    <row r="50" spans="1:5" s="1076" customFormat="1" ht="3.75" customHeight="1" x14ac:dyDescent="0.2">
      <c r="A50" s="1075"/>
      <c r="B50" s="1475"/>
      <c r="C50" s="1475"/>
      <c r="D50" s="1475"/>
      <c r="E50" s="1168"/>
    </row>
    <row r="51" spans="1:5" s="1076" customFormat="1" ht="20.25" customHeight="1" x14ac:dyDescent="0.2">
      <c r="A51" s="1077">
        <v>6</v>
      </c>
      <c r="B51" s="2586" t="s">
        <v>1534</v>
      </c>
      <c r="C51" s="2586"/>
      <c r="D51" s="2586"/>
    </row>
    <row r="52" spans="1:5" ht="14.25" customHeight="1" x14ac:dyDescent="0.2">
      <c r="A52" s="1077"/>
      <c r="B52" s="2586"/>
      <c r="C52" s="2586"/>
      <c r="D52" s="258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pageSetUpPr fitToPage="1"/>
  </sheetPr>
  <dimension ref="A1:K143"/>
  <sheetViews>
    <sheetView showGridLines="0" defaultGridColor="0" view="pageBreakPreview" topLeftCell="A65" colorId="8" zoomScale="60"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3" t="s">
        <v>1158</v>
      </c>
      <c r="B2" s="2163"/>
      <c r="C2" s="2163"/>
      <c r="D2" s="2163"/>
      <c r="E2" s="2163"/>
      <c r="F2" s="2163"/>
      <c r="G2" s="2163"/>
      <c r="H2" s="2163"/>
      <c r="I2" s="2163"/>
      <c r="J2" s="216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7" t="s">
        <v>1616</v>
      </c>
      <c r="B35" s="2178"/>
      <c r="C35" s="2178"/>
      <c r="D35" s="2178"/>
      <c r="E35" s="2179"/>
      <c r="F35" s="2179"/>
      <c r="G35" s="2179"/>
      <c r="H35" s="2179"/>
      <c r="I35" s="217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7" t="s">
        <v>310</v>
      </c>
      <c r="B47" s="2180"/>
      <c r="C47" s="2180"/>
      <c r="D47" s="2180"/>
      <c r="E47" s="2181"/>
      <c r="F47" s="2181"/>
      <c r="G47" s="2181"/>
      <c r="H47" s="2181"/>
      <c r="I47" s="218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4"/>
      <c r="C57" s="2185"/>
      <c r="D57" s="2185"/>
      <c r="E57" s="2185"/>
      <c r="F57" s="2185"/>
      <c r="G57" s="2185"/>
      <c r="H57" s="2185"/>
      <c r="I57" s="2185"/>
      <c r="J57" s="2186"/>
    </row>
    <row r="58" spans="1:10" s="176" customFormat="1" x14ac:dyDescent="0.2">
      <c r="A58" s="248"/>
      <c r="B58" s="2187"/>
      <c r="C58" s="2188"/>
      <c r="D58" s="2188"/>
      <c r="E58" s="2188"/>
      <c r="F58" s="2188"/>
      <c r="G58" s="2188"/>
      <c r="H58" s="2188"/>
      <c r="I58" s="2188"/>
      <c r="J58" s="2189"/>
    </row>
    <row r="59" spans="1:10" s="176" customFormat="1" x14ac:dyDescent="0.2">
      <c r="A59" s="248"/>
      <c r="B59" s="2187"/>
      <c r="C59" s="2188"/>
      <c r="D59" s="2188"/>
      <c r="E59" s="2188"/>
      <c r="F59" s="2188"/>
      <c r="G59" s="2188"/>
      <c r="H59" s="2188"/>
      <c r="I59" s="2188"/>
      <c r="J59" s="2189"/>
    </row>
    <row r="60" spans="1:10" s="176" customFormat="1" x14ac:dyDescent="0.2">
      <c r="A60" s="248"/>
      <c r="B60" s="2187"/>
      <c r="C60" s="2188"/>
      <c r="D60" s="2188"/>
      <c r="E60" s="2188"/>
      <c r="F60" s="2188"/>
      <c r="G60" s="2188"/>
      <c r="H60" s="2188"/>
      <c r="I60" s="2188"/>
      <c r="J60" s="2189"/>
    </row>
    <row r="61" spans="1:10" s="176" customFormat="1" x14ac:dyDescent="0.2">
      <c r="A61" s="248"/>
      <c r="B61" s="2187"/>
      <c r="C61" s="2188"/>
      <c r="D61" s="2188"/>
      <c r="E61" s="2188"/>
      <c r="F61" s="2188"/>
      <c r="G61" s="2188"/>
      <c r="H61" s="2188"/>
      <c r="I61" s="2188"/>
      <c r="J61" s="2189"/>
    </row>
    <row r="62" spans="1:10" s="176" customFormat="1" x14ac:dyDescent="0.2">
      <c r="A62" s="248"/>
      <c r="B62" s="2187"/>
      <c r="C62" s="2188"/>
      <c r="D62" s="2188"/>
      <c r="E62" s="2188"/>
      <c r="F62" s="2188"/>
      <c r="G62" s="2188"/>
      <c r="H62" s="2188"/>
      <c r="I62" s="2188"/>
      <c r="J62" s="2189"/>
    </row>
    <row r="63" spans="1:10" s="176" customFormat="1" x14ac:dyDescent="0.2">
      <c r="A63" s="248"/>
      <c r="B63" s="2187"/>
      <c r="C63" s="2188"/>
      <c r="D63" s="2188"/>
      <c r="E63" s="2188"/>
      <c r="F63" s="2188"/>
      <c r="G63" s="2188"/>
      <c r="H63" s="2188"/>
      <c r="I63" s="2188"/>
      <c r="J63" s="2189"/>
    </row>
    <row r="64" spans="1:10" s="176" customFormat="1" x14ac:dyDescent="0.2">
      <c r="A64" s="248"/>
      <c r="B64" s="2187"/>
      <c r="C64" s="2188"/>
      <c r="D64" s="2188"/>
      <c r="E64" s="2188"/>
      <c r="F64" s="2188"/>
      <c r="G64" s="2188"/>
      <c r="H64" s="2188"/>
      <c r="I64" s="2188"/>
      <c r="J64" s="2189"/>
    </row>
    <row r="65" spans="1:11" s="176" customFormat="1" x14ac:dyDescent="0.2">
      <c r="A65" s="248"/>
      <c r="B65" s="2187"/>
      <c r="C65" s="2188"/>
      <c r="D65" s="2188"/>
      <c r="E65" s="2188"/>
      <c r="F65" s="2188"/>
      <c r="G65" s="2188"/>
      <c r="H65" s="2188"/>
      <c r="I65" s="2188"/>
      <c r="J65" s="2189"/>
    </row>
    <row r="66" spans="1:11" s="176" customFormat="1" x14ac:dyDescent="0.2">
      <c r="A66" s="248"/>
      <c r="B66" s="2187"/>
      <c r="C66" s="2188"/>
      <c r="D66" s="2188"/>
      <c r="E66" s="2188"/>
      <c r="F66" s="2188"/>
      <c r="G66" s="2188"/>
      <c r="H66" s="2188"/>
      <c r="I66" s="2188"/>
      <c r="J66" s="2189"/>
    </row>
    <row r="67" spans="1:11" s="176" customFormat="1" ht="9" customHeight="1" x14ac:dyDescent="0.2">
      <c r="A67" s="249"/>
      <c r="B67" s="2190"/>
      <c r="C67" s="2191"/>
      <c r="D67" s="2191"/>
      <c r="E67" s="2191"/>
      <c r="F67" s="2191"/>
      <c r="G67" s="2191"/>
      <c r="H67" s="2191"/>
      <c r="I67" s="2191"/>
      <c r="J67" s="219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7" t="s">
        <v>1312</v>
      </c>
      <c r="B70" s="2180"/>
      <c r="C70" s="2180"/>
      <c r="D70" s="2180"/>
      <c r="E70" s="2181"/>
      <c r="F70" s="2181"/>
      <c r="G70" s="2181"/>
      <c r="H70" s="2181"/>
      <c r="I70" s="218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2" t="s">
        <v>1309</v>
      </c>
      <c r="B83" s="2182"/>
      <c r="C83" s="2182"/>
      <c r="D83" s="218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3" t="s">
        <v>1988</v>
      </c>
      <c r="B85" s="2193"/>
      <c r="C85" s="2193"/>
      <c r="D85" s="2194"/>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5" t="s">
        <v>1988</v>
      </c>
      <c r="B88" s="2196"/>
      <c r="C88" s="2196"/>
      <c r="D88" s="2197"/>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4"/>
      <c r="C102" s="2165"/>
      <c r="D102" s="2165"/>
      <c r="E102" s="2165"/>
      <c r="F102" s="2165"/>
      <c r="G102" s="2165"/>
      <c r="H102" s="2165"/>
      <c r="I102" s="2166"/>
    </row>
    <row r="103" spans="1:9" s="176" customFormat="1" ht="11.25" customHeight="1" x14ac:dyDescent="0.2">
      <c r="A103" s="294"/>
      <c r="B103" s="2167"/>
      <c r="C103" s="2168"/>
      <c r="D103" s="2168"/>
      <c r="E103" s="2168"/>
      <c r="F103" s="2168"/>
      <c r="G103" s="2168"/>
      <c r="H103" s="2168"/>
      <c r="I103" s="2169"/>
    </row>
    <row r="104" spans="1:9" s="176" customFormat="1" ht="11.25" customHeight="1" x14ac:dyDescent="0.2">
      <c r="A104" s="294"/>
      <c r="B104" s="2167"/>
      <c r="C104" s="2168"/>
      <c r="D104" s="2168"/>
      <c r="E104" s="2168"/>
      <c r="F104" s="2168"/>
      <c r="G104" s="2168"/>
      <c r="H104" s="2168"/>
      <c r="I104" s="2169"/>
    </row>
    <row r="105" spans="1:9" s="176" customFormat="1" x14ac:dyDescent="0.2">
      <c r="A105" s="294"/>
      <c r="B105" s="2167"/>
      <c r="C105" s="2168"/>
      <c r="D105" s="2168"/>
      <c r="E105" s="2168"/>
      <c r="F105" s="2168"/>
      <c r="G105" s="2168"/>
      <c r="H105" s="2168"/>
      <c r="I105" s="2169"/>
    </row>
    <row r="106" spans="1:9" s="176" customFormat="1" ht="11.25" customHeight="1" x14ac:dyDescent="0.2">
      <c r="A106" s="294"/>
      <c r="B106" s="2167"/>
      <c r="C106" s="2168"/>
      <c r="D106" s="2168"/>
      <c r="E106" s="2168"/>
      <c r="F106" s="2168"/>
      <c r="G106" s="2168"/>
      <c r="H106" s="2168"/>
      <c r="I106" s="2169"/>
    </row>
    <row r="107" spans="1:9" s="176" customFormat="1" ht="11.25" customHeight="1" x14ac:dyDescent="0.2">
      <c r="A107" s="294"/>
      <c r="B107" s="2167"/>
      <c r="C107" s="2168"/>
      <c r="D107" s="2168"/>
      <c r="E107" s="2168"/>
      <c r="F107" s="2168"/>
      <c r="G107" s="2168"/>
      <c r="H107" s="2168"/>
      <c r="I107" s="2169"/>
    </row>
    <row r="108" spans="1:9" s="176" customFormat="1" ht="11.25" customHeight="1" x14ac:dyDescent="0.2">
      <c r="A108" s="294"/>
      <c r="B108" s="2167"/>
      <c r="C108" s="2168"/>
      <c r="D108" s="2168"/>
      <c r="E108" s="2168"/>
      <c r="F108" s="2168"/>
      <c r="G108" s="2168"/>
      <c r="H108" s="2168"/>
      <c r="I108" s="2169"/>
    </row>
    <row r="109" spans="1:9" s="176" customFormat="1" ht="11.25" customHeight="1" x14ac:dyDescent="0.2">
      <c r="A109" s="294"/>
      <c r="B109" s="2167"/>
      <c r="C109" s="2168"/>
      <c r="D109" s="2168"/>
      <c r="E109" s="2168"/>
      <c r="F109" s="2168"/>
      <c r="G109" s="2168"/>
      <c r="H109" s="2168"/>
      <c r="I109" s="2169"/>
    </row>
    <row r="110" spans="1:9" s="176" customFormat="1" ht="11.25" customHeight="1" x14ac:dyDescent="0.2">
      <c r="A110" s="294"/>
      <c r="B110" s="2167"/>
      <c r="C110" s="2168"/>
      <c r="D110" s="2168"/>
      <c r="E110" s="2168"/>
      <c r="F110" s="2168"/>
      <c r="G110" s="2168"/>
      <c r="H110" s="2168"/>
      <c r="I110" s="2169"/>
    </row>
    <row r="111" spans="1:9" s="176" customFormat="1" ht="11.25" customHeight="1" x14ac:dyDescent="0.2">
      <c r="A111" s="294"/>
      <c r="B111" s="2167"/>
      <c r="C111" s="2168"/>
      <c r="D111" s="2168"/>
      <c r="E111" s="2168"/>
      <c r="F111" s="2168"/>
      <c r="G111" s="2168"/>
      <c r="H111" s="2168"/>
      <c r="I111" s="2169"/>
    </row>
    <row r="112" spans="1:9" s="176" customFormat="1" ht="11.25" customHeight="1" x14ac:dyDescent="0.2">
      <c r="A112" s="294"/>
      <c r="B112" s="2170"/>
      <c r="C112" s="2171"/>
      <c r="D112" s="2171"/>
      <c r="E112" s="2171"/>
      <c r="F112" s="2171"/>
      <c r="G112" s="2171"/>
      <c r="H112" s="2171"/>
      <c r="I112" s="217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3" t="s">
        <v>2054</v>
      </c>
      <c r="D114" s="217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4" t="s">
        <v>1319</v>
      </c>
      <c r="D117" s="2175"/>
      <c r="E117" s="2176"/>
      <c r="F117" s="2176"/>
      <c r="G117" s="2176"/>
      <c r="H117" s="2176"/>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8" firstPageNumber="2"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J63"/>
  <sheetViews>
    <sheetView showGridLines="0" zoomScale="110" zoomScaleNormal="110" workbookViewId="0">
      <selection activeCell="L21" sqref="L2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5" t="str">
        <f>'Single Audit Cover'!A7</f>
        <v>Carterville CUSD 5</v>
      </c>
      <c r="C1" s="2596"/>
      <c r="D1" s="2596"/>
      <c r="E1" s="2596"/>
      <c r="F1" s="2596"/>
      <c r="G1" s="2596"/>
      <c r="H1" s="2596"/>
      <c r="I1" s="2596"/>
      <c r="J1" s="1178"/>
    </row>
    <row r="2" spans="2:10" s="295" customFormat="1" ht="12.75" customHeight="1" x14ac:dyDescent="0.2">
      <c r="B2" s="2597">
        <f>'Single Audit Cover'!E7</f>
        <v>21100005026</v>
      </c>
      <c r="C2" s="2598"/>
      <c r="D2" s="2598"/>
      <c r="E2" s="2598"/>
      <c r="F2" s="2598"/>
      <c r="G2" s="2598"/>
      <c r="H2" s="2598"/>
      <c r="I2" s="2598"/>
      <c r="J2" s="1178"/>
    </row>
    <row r="3" spans="2:10" s="295" customFormat="1" ht="12.75" customHeight="1" x14ac:dyDescent="0.2">
      <c r="B3" s="2599" t="s">
        <v>1274</v>
      </c>
      <c r="C3" s="2600"/>
      <c r="D3" s="2600"/>
      <c r="E3" s="2600"/>
      <c r="F3" s="2600"/>
      <c r="G3" s="2600"/>
      <c r="H3" s="2600"/>
      <c r="I3" s="2600"/>
      <c r="J3" s="1179"/>
    </row>
    <row r="4" spans="2:10" s="295" customFormat="1" ht="12.75" customHeight="1" x14ac:dyDescent="0.2">
      <c r="B4" s="2599" t="str">
        <f>'Single Audit Cover'!A4</f>
        <v>Year Ending June 30, 2020</v>
      </c>
      <c r="C4" s="2600"/>
      <c r="D4" s="2600"/>
      <c r="E4" s="2600"/>
      <c r="F4" s="2600"/>
      <c r="G4" s="2600"/>
      <c r="H4" s="2600"/>
      <c r="I4" s="260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9" t="s">
        <v>1273</v>
      </c>
      <c r="C7" s="2600"/>
      <c r="D7" s="2600"/>
      <c r="E7" s="2600"/>
      <c r="F7" s="2600"/>
      <c r="G7" s="2600"/>
      <c r="H7" s="2600"/>
      <c r="I7" s="260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045" t="s">
        <v>2129</v>
      </c>
      <c r="D11" s="204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2089</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2089</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2089</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2089</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2089</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c r="E29" s="2601"/>
      <c r="F29" s="2601"/>
      <c r="G29" s="2601"/>
      <c r="H29" s="2601"/>
      <c r="I29" s="2601"/>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2089</v>
      </c>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602" t="s">
        <v>1727</v>
      </c>
      <c r="D37" s="2603"/>
      <c r="E37" s="2603"/>
      <c r="F37" s="2604"/>
      <c r="G37" s="2602" t="s">
        <v>1575</v>
      </c>
      <c r="H37" s="2603"/>
      <c r="I37" s="2604"/>
    </row>
    <row r="38" spans="2:9" ht="16.5" customHeight="1" x14ac:dyDescent="0.2">
      <c r="B38" s="1200">
        <v>84.01</v>
      </c>
      <c r="C38" s="2591" t="s">
        <v>912</v>
      </c>
      <c r="D38" s="2592"/>
      <c r="E38" s="2592"/>
      <c r="F38" s="2593"/>
      <c r="G38" s="2605">
        <f>' SEFA'!I28+' SEFA'!I29</f>
        <v>678326</v>
      </c>
      <c r="H38" s="2606"/>
      <c r="I38" s="2607"/>
    </row>
    <row r="39" spans="2:9" ht="16.5" customHeight="1" x14ac:dyDescent="0.2">
      <c r="B39" s="1200"/>
      <c r="C39" s="2591"/>
      <c r="D39" s="2592"/>
      <c r="E39" s="2592"/>
      <c r="F39" s="2593"/>
      <c r="G39" s="2594"/>
      <c r="H39" s="2594"/>
      <c r="I39" s="2594"/>
    </row>
    <row r="40" spans="2:9" ht="16.5" customHeight="1" x14ac:dyDescent="0.2">
      <c r="B40" s="1200"/>
      <c r="C40" s="2591"/>
      <c r="D40" s="2592"/>
      <c r="E40" s="2592"/>
      <c r="F40" s="2593"/>
      <c r="G40" s="2594"/>
      <c r="H40" s="2594"/>
      <c r="I40" s="2594"/>
    </row>
    <row r="41" spans="2:9" ht="16.5" customHeight="1" x14ac:dyDescent="0.2">
      <c r="B41" s="1200"/>
      <c r="C41" s="2591"/>
      <c r="D41" s="2592"/>
      <c r="E41" s="2592"/>
      <c r="F41" s="2593"/>
      <c r="G41" s="2594"/>
      <c r="H41" s="2594"/>
      <c r="I41" s="2594"/>
    </row>
    <row r="42" spans="2:9" ht="16.5" customHeight="1" x14ac:dyDescent="0.2">
      <c r="B42" s="1200"/>
      <c r="C42" s="2591"/>
      <c r="D42" s="2592"/>
      <c r="E42" s="2592"/>
      <c r="F42" s="2593"/>
      <c r="G42" s="2594"/>
      <c r="H42" s="2594"/>
      <c r="I42" s="2594"/>
    </row>
    <row r="43" spans="2:9" ht="16.5" customHeight="1" x14ac:dyDescent="0.2">
      <c r="B43" s="1200"/>
      <c r="C43" s="2608" t="s">
        <v>1576</v>
      </c>
      <c r="D43" s="2609"/>
      <c r="E43" s="2609"/>
      <c r="F43" s="2610"/>
      <c r="G43" s="2611">
        <f>SUM(G38:I42)</f>
        <v>678326</v>
      </c>
      <c r="H43" s="2611"/>
      <c r="I43" s="2611"/>
    </row>
    <row r="44" spans="2:9" ht="12.75" customHeight="1" x14ac:dyDescent="0.2"/>
    <row r="45" spans="2:9" ht="12.75" customHeight="1" x14ac:dyDescent="0.2">
      <c r="B45" s="1917" t="str">
        <f>"Total Federal Expenditures for 7/1/"&amp;MID('AFR20'!E2,3,2)-1&amp;"-6/30/"&amp;MID('AFR20'!E2,3,2)</f>
        <v>Total Federal Expenditures for 7/1/19-6/30/20</v>
      </c>
      <c r="C45" s="1918"/>
      <c r="D45" s="2612">
        <f>' SEFA'!I40</f>
        <v>1370078</v>
      </c>
      <c r="E45" s="2613"/>
    </row>
    <row r="46" spans="2:9" ht="5.25" customHeight="1" x14ac:dyDescent="0.2">
      <c r="B46" s="1201"/>
      <c r="D46" s="1202"/>
      <c r="E46" s="1203"/>
    </row>
    <row r="47" spans="2:9" ht="12.75" customHeight="1" x14ac:dyDescent="0.2">
      <c r="B47" s="1076" t="s">
        <v>1577</v>
      </c>
      <c r="C47" s="1076"/>
      <c r="D47" s="1204">
        <f>+G43/D45</f>
        <v>0.49510027896221964</v>
      </c>
      <c r="E47" s="1205"/>
      <c r="F47" s="1206"/>
      <c r="I47" s="1207"/>
    </row>
    <row r="48" spans="2:9" ht="9.9499999999999993" customHeight="1" x14ac:dyDescent="0.2"/>
    <row r="49" spans="1:9" x14ac:dyDescent="0.2">
      <c r="B49" s="1138" t="s">
        <v>1262</v>
      </c>
      <c r="C49" s="1058"/>
      <c r="D49" s="1058"/>
      <c r="E49" s="2614">
        <v>750000</v>
      </c>
      <c r="F49" s="2614"/>
      <c r="G49" s="2614"/>
      <c r="H49" s="300"/>
    </row>
    <row r="51" spans="1:9" ht="13.5" customHeight="1" x14ac:dyDescent="0.2">
      <c r="B51" s="1138" t="s">
        <v>1261</v>
      </c>
      <c r="C51" s="1058"/>
      <c r="E51" s="1194"/>
      <c r="F51" s="1076" t="s">
        <v>879</v>
      </c>
      <c r="G51" s="1194" t="s">
        <v>2089</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1580</v>
      </c>
      <c r="C63" s="1214"/>
      <c r="D63" s="1214"/>
    </row>
  </sheetData>
  <mergeCells count="22">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zoomScale="60" zoomScaleNormal="110" workbookViewId="0">
      <selection activeCell="H35" sqref="H3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Carterville CUSD 5</v>
      </c>
      <c r="C1" s="2595"/>
      <c r="D1" s="2595"/>
      <c r="E1" s="2595"/>
      <c r="F1" s="2595"/>
      <c r="G1" s="2595"/>
      <c r="H1" s="2595"/>
      <c r="I1" s="2595"/>
      <c r="J1" s="2595"/>
      <c r="K1" s="2595"/>
      <c r="L1" s="1144"/>
      <c r="M1" s="1144"/>
    </row>
    <row r="2" spans="1:13" ht="12" customHeight="1" x14ac:dyDescent="0.2">
      <c r="B2" s="2597">
        <f>'Single Audit Cover'!E7</f>
        <v>21100005026</v>
      </c>
      <c r="C2" s="2597"/>
      <c r="D2" s="2597"/>
      <c r="E2" s="2597"/>
      <c r="F2" s="2597"/>
      <c r="G2" s="2597"/>
      <c r="H2" s="2597"/>
      <c r="I2" s="2597"/>
      <c r="J2" s="2597"/>
      <c r="K2" s="2597"/>
      <c r="L2" s="1145"/>
      <c r="M2" s="1146"/>
    </row>
    <row r="3" spans="1:13" ht="10.35" customHeight="1" x14ac:dyDescent="0.2">
      <c r="B3" s="2617" t="s">
        <v>1274</v>
      </c>
      <c r="C3" s="2617"/>
      <c r="D3" s="2617"/>
      <c r="E3" s="2617"/>
      <c r="F3" s="2617"/>
      <c r="G3" s="2617"/>
      <c r="H3" s="2617"/>
      <c r="I3" s="2617"/>
      <c r="J3" s="2617"/>
      <c r="K3" s="2617"/>
      <c r="L3" s="1147"/>
      <c r="M3" s="1147"/>
    </row>
    <row r="4" spans="1:13" ht="14.25" customHeight="1" x14ac:dyDescent="0.2">
      <c r="B4" s="2618" t="str">
        <f>'Single Audit Cover'!A4</f>
        <v>Year Ending June 30, 2020</v>
      </c>
      <c r="C4" s="2618"/>
      <c r="D4" s="2618"/>
      <c r="E4" s="2618"/>
      <c r="F4" s="2618"/>
      <c r="G4" s="2618"/>
      <c r="H4" s="2618"/>
      <c r="I4" s="2618"/>
      <c r="J4" s="2618"/>
      <c r="K4" s="2618"/>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8" t="s">
        <v>1285</v>
      </c>
      <c r="C7" s="2618"/>
      <c r="D7" s="2619"/>
      <c r="E7" s="2619"/>
      <c r="F7" s="2619"/>
      <c r="G7" s="2619"/>
      <c r="H7" s="2619"/>
      <c r="I7" s="2619"/>
      <c r="J7" s="2619"/>
      <c r="K7" s="261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6"/>
      <c r="C14" s="2616"/>
      <c r="D14" s="2616"/>
      <c r="E14" s="2616"/>
      <c r="F14" s="2616"/>
      <c r="G14" s="2616"/>
      <c r="H14" s="2616"/>
      <c r="I14" s="2616"/>
      <c r="J14" s="2616"/>
      <c r="K14" s="261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6"/>
      <c r="C17" s="2616"/>
      <c r="D17" s="2616"/>
      <c r="E17" s="2616"/>
      <c r="F17" s="2616"/>
      <c r="G17" s="2616"/>
      <c r="H17" s="2616"/>
      <c r="I17" s="2616"/>
      <c r="J17" s="2616"/>
      <c r="K17" s="2616"/>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20"/>
      <c r="C20" s="2620"/>
      <c r="D20" s="2616"/>
      <c r="E20" s="2616"/>
      <c r="F20" s="2616"/>
      <c r="G20" s="2616"/>
      <c r="H20" s="2616"/>
      <c r="I20" s="2616"/>
      <c r="J20" s="2616"/>
      <c r="K20" s="2616"/>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6"/>
      <c r="C23" s="2616"/>
      <c r="D23" s="2616"/>
      <c r="E23" s="2616"/>
      <c r="F23" s="2616"/>
      <c r="G23" s="2616"/>
      <c r="H23" s="2616"/>
      <c r="I23" s="2616"/>
      <c r="J23" s="2616"/>
      <c r="K23" s="2616"/>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6"/>
      <c r="C26" s="2616"/>
      <c r="D26" s="2616"/>
      <c r="E26" s="2616"/>
      <c r="F26" s="2616"/>
      <c r="G26" s="2616"/>
      <c r="H26" s="2616"/>
      <c r="I26" s="2616"/>
      <c r="J26" s="2616"/>
      <c r="K26" s="2616"/>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5"/>
      <c r="C29" s="2615"/>
      <c r="D29" s="2616"/>
      <c r="E29" s="2616"/>
      <c r="F29" s="2616"/>
      <c r="G29" s="2616"/>
      <c r="H29" s="2616"/>
      <c r="I29" s="2616"/>
      <c r="J29" s="2616"/>
      <c r="K29" s="261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15"/>
      <c r="C32" s="2615"/>
      <c r="D32" s="2616"/>
      <c r="E32" s="2616"/>
      <c r="F32" s="2616"/>
      <c r="G32" s="2616"/>
      <c r="H32" s="2616"/>
      <c r="I32" s="2616"/>
      <c r="J32" s="2616"/>
      <c r="K32" s="261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1275</v>
      </c>
      <c r="C39" s="1076"/>
      <c r="M39" s="1177"/>
    </row>
    <row r="40" spans="1:13" ht="12.6" customHeight="1" x14ac:dyDescent="0.2">
      <c r="B40" s="1176" t="s">
        <v>1723</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BreakPreview" zoomScale="60" zoomScaleNormal="110" workbookViewId="0">
      <selection activeCell="B35" sqref="B35:K35"/>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1" t="str">
        <f>'Single Audit Cover'!A7</f>
        <v>Carterville CUSD 5</v>
      </c>
      <c r="C1" s="2621"/>
      <c r="D1" s="2621"/>
      <c r="E1" s="2621"/>
      <c r="F1" s="2621"/>
      <c r="G1" s="2621"/>
      <c r="H1" s="2621"/>
      <c r="I1" s="2621"/>
      <c r="J1" s="2621"/>
      <c r="K1" s="2621"/>
      <c r="L1" s="1221"/>
    </row>
    <row r="2" spans="1:12" ht="12.75" customHeight="1" x14ac:dyDescent="0.2">
      <c r="B2" s="2622">
        <f>'Single Audit Cover'!E7</f>
        <v>21100005026</v>
      </c>
      <c r="C2" s="2622"/>
      <c r="D2" s="2622"/>
      <c r="E2" s="2622"/>
      <c r="F2" s="2622"/>
      <c r="G2" s="2622"/>
      <c r="H2" s="2622"/>
      <c r="I2" s="2622"/>
      <c r="J2" s="2622"/>
      <c r="K2" s="2622"/>
      <c r="L2" s="1222"/>
    </row>
    <row r="3" spans="1:12" ht="12.75" customHeight="1" x14ac:dyDescent="0.2">
      <c r="B3" s="2617" t="s">
        <v>1274</v>
      </c>
      <c r="C3" s="2617"/>
      <c r="D3" s="2617"/>
      <c r="E3" s="2617"/>
      <c r="F3" s="2617"/>
      <c r="G3" s="2617"/>
      <c r="H3" s="2617"/>
      <c r="I3" s="2617"/>
      <c r="J3" s="2617"/>
      <c r="K3" s="2617"/>
      <c r="L3" s="1147"/>
    </row>
    <row r="4" spans="1:12" ht="12.75" customHeight="1" x14ac:dyDescent="0.2">
      <c r="B4" s="2617" t="str">
        <f>'Single Audit Cover'!A4</f>
        <v>Year Ending June 30, 2020</v>
      </c>
      <c r="C4" s="2617"/>
      <c r="D4" s="2617"/>
      <c r="E4" s="2617"/>
      <c r="F4" s="2617"/>
      <c r="G4" s="2617"/>
      <c r="H4" s="2617"/>
      <c r="I4" s="2617"/>
      <c r="J4" s="2617"/>
      <c r="K4" s="2617"/>
      <c r="L4" s="1147"/>
    </row>
    <row r="5" spans="1:12" ht="5.25" customHeight="1" x14ac:dyDescent="0.2">
      <c r="B5" s="1036" t="s">
        <v>1159</v>
      </c>
      <c r="C5" s="1036"/>
      <c r="L5" s="300"/>
    </row>
    <row r="6" spans="1:12" ht="30.75" customHeight="1" x14ac:dyDescent="0.2">
      <c r="A6" s="300"/>
      <c r="B6" s="2623" t="s">
        <v>1297</v>
      </c>
      <c r="C6" s="2623"/>
      <c r="D6" s="2623"/>
      <c r="E6" s="2623"/>
      <c r="F6" s="2623"/>
      <c r="G6" s="2623"/>
      <c r="H6" s="2623"/>
      <c r="I6" s="2623"/>
      <c r="J6" s="2623"/>
      <c r="K6" s="2623"/>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4"/>
      <c r="E14" s="2624"/>
      <c r="F14" s="2624"/>
      <c r="H14" s="1230" t="s">
        <v>1292</v>
      </c>
      <c r="I14" s="2625"/>
      <c r="J14" s="2625"/>
      <c r="K14" s="262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5"/>
      <c r="E16" s="2625"/>
      <c r="F16" s="2625"/>
      <c r="G16" s="2625"/>
      <c r="H16" s="2625"/>
      <c r="I16" s="2625"/>
      <c r="J16" s="2625"/>
      <c r="K16" s="2625"/>
      <c r="L16" s="300"/>
    </row>
    <row r="17" spans="2:12" ht="13.5" customHeight="1" x14ac:dyDescent="0.2">
      <c r="B17" s="1156" t="s">
        <v>1290</v>
      </c>
      <c r="C17" s="1156"/>
      <c r="D17" s="2626"/>
      <c r="E17" s="2626"/>
      <c r="F17" s="2626"/>
      <c r="G17" s="2626"/>
      <c r="H17" s="2626"/>
      <c r="I17" s="2626"/>
      <c r="J17" s="2626"/>
      <c r="K17" s="262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6"/>
      <c r="C20" s="2616"/>
      <c r="D20" s="2616"/>
      <c r="E20" s="2616"/>
      <c r="F20" s="2616"/>
      <c r="G20" s="2616"/>
      <c r="H20" s="2616"/>
      <c r="I20" s="2616"/>
      <c r="J20" s="2616"/>
      <c r="K20" s="261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616"/>
      <c r="C23" s="2616"/>
      <c r="D23" s="2616"/>
      <c r="E23" s="2616"/>
      <c r="F23" s="2616"/>
      <c r="G23" s="2616"/>
      <c r="H23" s="2616"/>
      <c r="I23" s="2616"/>
      <c r="J23" s="2616"/>
      <c r="K23" s="261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616"/>
      <c r="C26" s="2616"/>
      <c r="D26" s="2616"/>
      <c r="E26" s="2616"/>
      <c r="F26" s="2616"/>
      <c r="G26" s="2616"/>
      <c r="H26" s="2616"/>
      <c r="I26" s="2616"/>
      <c r="J26" s="2616"/>
      <c r="K26" s="261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616"/>
      <c r="C29" s="2616"/>
      <c r="D29" s="2616"/>
      <c r="E29" s="2616"/>
      <c r="F29" s="2616"/>
      <c r="G29" s="2616"/>
      <c r="H29" s="2616"/>
      <c r="I29" s="2616"/>
      <c r="J29" s="2616"/>
      <c r="K29" s="261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6"/>
      <c r="C32" s="2616"/>
      <c r="D32" s="2616"/>
      <c r="E32" s="2616"/>
      <c r="F32" s="2616"/>
      <c r="G32" s="2616"/>
      <c r="H32" s="2616"/>
      <c r="I32" s="2616"/>
      <c r="J32" s="2616"/>
      <c r="K32" s="261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6"/>
      <c r="C35" s="2616"/>
      <c r="D35" s="2616"/>
      <c r="E35" s="2616"/>
      <c r="F35" s="2616"/>
      <c r="G35" s="2616"/>
      <c r="H35" s="2616"/>
      <c r="I35" s="2616"/>
      <c r="J35" s="2616"/>
      <c r="K35" s="261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6"/>
      <c r="C38" s="2616"/>
      <c r="D38" s="2616"/>
      <c r="E38" s="2616"/>
      <c r="F38" s="2616"/>
      <c r="G38" s="2616"/>
      <c r="H38" s="2616"/>
      <c r="I38" s="2616"/>
      <c r="J38" s="2616"/>
      <c r="K38" s="261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616"/>
      <c r="C41" s="2616"/>
      <c r="D41" s="2616"/>
      <c r="E41" s="2616"/>
      <c r="F41" s="2616"/>
      <c r="G41" s="2616"/>
      <c r="H41" s="2616"/>
      <c r="I41" s="2616"/>
      <c r="J41" s="2616"/>
      <c r="K41" s="261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zoomScale="60" zoomScaleNormal="110" workbookViewId="0">
      <selection activeCell="H35" sqref="H35"/>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5" t="str">
        <f>'Single Audit Cover'!A7</f>
        <v>Carterville CUSD 5</v>
      </c>
      <c r="C1" s="2595"/>
      <c r="D1" s="2595"/>
      <c r="E1" s="1240"/>
    </row>
    <row r="2" spans="2:5" s="1058" customFormat="1" ht="12.75" customHeight="1" x14ac:dyDescent="0.2">
      <c r="B2" s="2597">
        <f>'Single Audit Cover'!E7</f>
        <v>21100005026</v>
      </c>
      <c r="C2" s="2597"/>
      <c r="D2" s="2597"/>
      <c r="E2" s="1241"/>
    </row>
    <row r="3" spans="2:5" ht="12.75" customHeight="1" x14ac:dyDescent="0.2">
      <c r="B3" s="2617" t="s">
        <v>1742</v>
      </c>
      <c r="C3" s="2617"/>
      <c r="D3" s="2617"/>
      <c r="E3" s="1050"/>
    </row>
    <row r="4" spans="2:5" s="1058" customFormat="1" ht="12.75" customHeight="1" x14ac:dyDescent="0.2">
      <c r="B4" s="2627" t="str">
        <f>'Single Audit Cover'!A4</f>
        <v>Year Ending June 30, 2020</v>
      </c>
      <c r="C4" s="2627"/>
      <c r="D4" s="2627"/>
      <c r="E4" s="1242"/>
    </row>
    <row r="5" spans="2:5" s="1058" customFormat="1" ht="40.15" customHeight="1" x14ac:dyDescent="0.2">
      <c r="B5" s="1243" t="s">
        <v>1743</v>
      </c>
      <c r="C5" s="306"/>
      <c r="D5" s="306"/>
      <c r="E5" s="306"/>
    </row>
    <row r="6" spans="2:5" s="1058" customFormat="1" ht="13.5" customHeight="1" x14ac:dyDescent="0.2">
      <c r="B6" s="1244" t="s">
        <v>1304</v>
      </c>
      <c r="C6" s="1244" t="s">
        <v>1303</v>
      </c>
      <c r="D6" s="1244" t="s">
        <v>1744</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1745</v>
      </c>
    </row>
    <row r="46" spans="2:5" ht="12.2" customHeight="1" x14ac:dyDescent="0.2">
      <c r="B46" s="1254" t="s">
        <v>1746</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view="pageBreakPreview" colorId="8" zoomScale="90" zoomScaleNormal="110" zoomScaleSheetLayoutView="90" workbookViewId="0">
      <selection activeCell="H35" sqref="H3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8" t="s">
        <v>383</v>
      </c>
      <c r="B1" s="2198"/>
      <c r="C1" s="2198"/>
      <c r="D1" s="2198"/>
      <c r="E1" s="2198"/>
      <c r="F1" s="2198"/>
      <c r="G1" s="2198"/>
      <c r="H1" s="2198"/>
      <c r="I1" s="2198"/>
      <c r="J1" s="2198"/>
      <c r="K1" s="2198"/>
      <c r="L1" s="2198"/>
      <c r="M1" s="219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201715110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2.2523899999999999E-2</v>
      </c>
      <c r="E10" s="333" t="s">
        <v>998</v>
      </c>
      <c r="F10" s="332">
        <v>5.2240999999999998E-3</v>
      </c>
      <c r="G10" s="333" t="s">
        <v>998</v>
      </c>
      <c r="H10" s="332">
        <v>2.8663E-3</v>
      </c>
      <c r="I10" s="333" t="s">
        <v>999</v>
      </c>
      <c r="J10" s="1424">
        <f>ROUND(D10+F10+H10,5)</f>
        <v>3.0609999999999998E-2</v>
      </c>
      <c r="K10" s="217"/>
      <c r="L10" s="332">
        <v>6.9E-6</v>
      </c>
      <c r="M10" s="217"/>
    </row>
    <row r="11" spans="1:14" ht="7.5" customHeight="1" x14ac:dyDescent="0.2">
      <c r="B11" s="217"/>
      <c r="C11" s="217"/>
      <c r="D11" s="2208" t="str">
        <f>IF(SUM(J10)&lt;=0.0999999,"","Enter the Tax Rates by moving the decimal two places to the left.")</f>
        <v/>
      </c>
      <c r="E11" s="2209"/>
      <c r="F11" s="2209"/>
      <c r="G11" s="2209"/>
      <c r="H11" s="2209"/>
      <c r="I11" s="2209"/>
      <c r="J11" s="220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18250537</v>
      </c>
      <c r="E16" s="1547"/>
      <c r="F16" s="1546">
        <f>SUM('Acct Summary 7-8'!C17,'Acct Summary 7-8'!D17,'Acct Summary 7-8'!F17)</f>
        <v>19342809</v>
      </c>
      <c r="G16" s="1547"/>
      <c r="H16" s="1546">
        <f>SUM(D16-F16)</f>
        <v>-1092272</v>
      </c>
      <c r="I16" s="1548"/>
      <c r="J16" s="1546">
        <f>SUM('Acct Summary 7-8'!C81,'Acct Summary 7-8'!D81,'Acct Summary 7-8'!F81,'Acct Summary 7-8'!I81)</f>
        <v>7910920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2004</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27836685.180000003</v>
      </c>
      <c r="I31" s="345"/>
      <c r="J31" s="217"/>
      <c r="K31" s="217"/>
      <c r="L31" s="217"/>
      <c r="M31" s="217"/>
    </row>
    <row r="32" spans="1:13" ht="13.35" customHeight="1" x14ac:dyDescent="0.2">
      <c r="B32" s="346" t="s">
        <v>2053</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37363843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9"/>
      <c r="C54" s="2200"/>
      <c r="D54" s="2200"/>
      <c r="E54" s="2200"/>
      <c r="F54" s="2200"/>
      <c r="G54" s="2200"/>
      <c r="H54" s="2200"/>
      <c r="I54" s="2200"/>
      <c r="J54" s="2200"/>
      <c r="K54" s="2200"/>
      <c r="L54" s="2201"/>
      <c r="M54" s="357"/>
    </row>
    <row r="55" spans="1:13" ht="12.75" customHeight="1" x14ac:dyDescent="0.2">
      <c r="B55" s="2202"/>
      <c r="C55" s="2203"/>
      <c r="D55" s="2203"/>
      <c r="E55" s="2203"/>
      <c r="F55" s="2203"/>
      <c r="G55" s="2203"/>
      <c r="H55" s="2203"/>
      <c r="I55" s="2203"/>
      <c r="J55" s="2203"/>
      <c r="K55" s="2203"/>
      <c r="L55" s="2204"/>
      <c r="M55" s="357"/>
    </row>
    <row r="56" spans="1:13" ht="12.75" customHeight="1" x14ac:dyDescent="0.2">
      <c r="B56" s="2202"/>
      <c r="C56" s="2203"/>
      <c r="D56" s="2203"/>
      <c r="E56" s="2203"/>
      <c r="F56" s="2203"/>
      <c r="G56" s="2203"/>
      <c r="H56" s="2203"/>
      <c r="I56" s="2203"/>
      <c r="J56" s="2203"/>
      <c r="K56" s="2203"/>
      <c r="L56" s="2204"/>
      <c r="M56" s="217"/>
    </row>
    <row r="57" spans="1:13" ht="12.75" customHeight="1" x14ac:dyDescent="0.2">
      <c r="B57" s="2202"/>
      <c r="C57" s="2203"/>
      <c r="D57" s="2203"/>
      <c r="E57" s="2203"/>
      <c r="F57" s="2203"/>
      <c r="G57" s="2203"/>
      <c r="H57" s="2203"/>
      <c r="I57" s="2203"/>
      <c r="J57" s="2203"/>
      <c r="K57" s="2203"/>
      <c r="L57" s="2204"/>
      <c r="M57" s="217"/>
    </row>
    <row r="58" spans="1:13" x14ac:dyDescent="0.2">
      <c r="B58" s="2205"/>
      <c r="C58" s="2206"/>
      <c r="D58" s="2206"/>
      <c r="E58" s="2206"/>
      <c r="F58" s="2206"/>
      <c r="G58" s="2206"/>
      <c r="H58" s="2206"/>
      <c r="I58" s="2206"/>
      <c r="J58" s="2206"/>
      <c r="K58" s="2206"/>
      <c r="L58" s="220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0"/>
      <c r="D61" s="221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view="pageBreakPreview" zoomScale="60" zoomScaleNormal="110" workbookViewId="0">
      <selection activeCell="H35" sqref="H3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3"/>
      <c r="B1" s="2214"/>
      <c r="C1" s="2214"/>
      <c r="D1" s="361"/>
      <c r="E1" s="361"/>
      <c r="F1" s="361"/>
      <c r="G1" s="361"/>
      <c r="H1" s="361"/>
      <c r="I1" s="361"/>
      <c r="J1" s="361"/>
      <c r="K1" s="361"/>
      <c r="L1" s="361"/>
      <c r="M1" s="361"/>
      <c r="N1" s="361"/>
      <c r="O1" s="2213"/>
      <c r="P1" s="2214"/>
      <c r="Q1" s="2214"/>
    </row>
    <row r="2" spans="1:18" ht="15" x14ac:dyDescent="0.2">
      <c r="A2" s="2217" t="s">
        <v>552</v>
      </c>
      <c r="B2" s="2217"/>
      <c r="C2" s="2217"/>
      <c r="D2" s="2217"/>
      <c r="E2" s="2217"/>
      <c r="F2" s="2217"/>
      <c r="G2" s="2217"/>
      <c r="H2" s="2217"/>
      <c r="I2" s="2217"/>
      <c r="J2" s="2217"/>
      <c r="K2" s="2217"/>
      <c r="L2" s="2217"/>
      <c r="M2" s="2217"/>
      <c r="N2" s="2217"/>
      <c r="O2" s="2217"/>
      <c r="P2" s="2217"/>
      <c r="Q2" s="2217"/>
      <c r="R2" s="2217"/>
    </row>
    <row r="3" spans="1:18" ht="12.75" x14ac:dyDescent="0.2">
      <c r="A3" s="2218" t="s">
        <v>1396</v>
      </c>
      <c r="B3" s="2218"/>
      <c r="C3" s="2218"/>
      <c r="D3" s="2218"/>
      <c r="E3" s="2218"/>
      <c r="F3" s="2218"/>
      <c r="G3" s="2218"/>
      <c r="H3" s="2218"/>
      <c r="I3" s="2218"/>
      <c r="J3" s="2218"/>
      <c r="K3" s="2218"/>
      <c r="L3" s="2218"/>
      <c r="M3" s="2218"/>
      <c r="N3" s="2218"/>
      <c r="O3" s="2218"/>
      <c r="P3" s="2218"/>
      <c r="Q3" s="2218"/>
      <c r="R3" s="2218"/>
    </row>
    <row r="4" spans="1:18" x14ac:dyDescent="0.2">
      <c r="A4" s="2219" t="s">
        <v>1537</v>
      </c>
      <c r="B4" s="2219"/>
      <c r="C4" s="2219"/>
      <c r="D4" s="2219"/>
      <c r="E4" s="2219"/>
      <c r="F4" s="2219"/>
      <c r="G4" s="2219"/>
      <c r="H4" s="2219"/>
      <c r="I4" s="2219"/>
      <c r="J4" s="2219"/>
      <c r="K4" s="2219"/>
      <c r="L4" s="2219"/>
      <c r="M4" s="2219"/>
      <c r="N4" s="2219"/>
      <c r="O4" s="2219"/>
      <c r="P4" s="2219"/>
      <c r="Q4" s="2219"/>
      <c r="R4" s="221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Carterville CUSD 5</v>
      </c>
      <c r="E7" s="368"/>
      <c r="G7" s="247"/>
      <c r="H7" s="364"/>
      <c r="I7" s="364"/>
      <c r="J7" s="364"/>
      <c r="K7" s="364"/>
      <c r="L7" s="307"/>
      <c r="M7" s="307"/>
      <c r="N7" s="307"/>
      <c r="O7" s="307"/>
      <c r="P7" s="307"/>
    </row>
    <row r="8" spans="1:18" ht="12.75" x14ac:dyDescent="0.2">
      <c r="A8" s="307"/>
      <c r="B8" s="307"/>
      <c r="C8" s="366" t="s">
        <v>1115</v>
      </c>
      <c r="D8" s="369">
        <f>COVER!A13</f>
        <v>21100005026</v>
      </c>
      <c r="E8" s="370"/>
      <c r="G8" s="307"/>
      <c r="H8" s="307"/>
      <c r="I8" s="307"/>
      <c r="J8" s="307"/>
      <c r="K8" s="307"/>
      <c r="L8" s="307"/>
      <c r="M8" s="307"/>
      <c r="N8" s="307"/>
      <c r="O8" s="307"/>
      <c r="P8" s="307"/>
    </row>
    <row r="9" spans="1:18" ht="12.75" x14ac:dyDescent="0.2">
      <c r="A9" s="307"/>
      <c r="B9" s="307"/>
      <c r="C9" s="366" t="s">
        <v>708</v>
      </c>
      <c r="D9" s="371" t="str">
        <f>COVER!A15</f>
        <v>Williamson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7910920</v>
      </c>
      <c r="I12" s="380"/>
      <c r="J12" s="380"/>
      <c r="K12" s="1559">
        <f>TRUNC((H12/H13*100000),5)/100000</f>
        <v>0.43346231399999996</v>
      </c>
      <c r="L12" s="381"/>
      <c r="M12" s="337" t="s">
        <v>1134</v>
      </c>
      <c r="N12" s="337"/>
      <c r="O12" s="1562">
        <v>0.35</v>
      </c>
      <c r="P12" s="213"/>
      <c r="Q12" s="213"/>
    </row>
    <row r="13" spans="1:18" s="382" customFormat="1" ht="12.75" x14ac:dyDescent="0.2">
      <c r="A13" s="213"/>
      <c r="B13" s="377"/>
      <c r="C13" s="2215" t="s">
        <v>1313</v>
      </c>
      <c r="D13" s="2216"/>
      <c r="E13" s="213"/>
      <c r="F13" s="383" t="s">
        <v>788</v>
      </c>
      <c r="G13" s="378"/>
      <c r="H13" s="1551">
        <f>SUM('Acct Summary 7-8'!C8+'Acct Summary 7-8'!D8+'Acct Summary 7-8'!F8+'Acct Summary 7-8'!I8)+H14</f>
        <v>18250537</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19342809</v>
      </c>
      <c r="I17" s="380"/>
      <c r="J17" s="389"/>
      <c r="K17" s="1559">
        <f>TRUNC((H17/H18*100000),5)/100000</f>
        <v>1.0598487594999999</v>
      </c>
      <c r="L17" s="381"/>
      <c r="M17" s="390" t="s">
        <v>1161</v>
      </c>
      <c r="O17" s="1565" t="str">
        <f>IF(AND(O16="2", J20 &gt; 2),"1",IF(AND(O16 = "1", J20 &gt; 2),"2",IF(AND(O16="1", J20 &gt;1),"1","0")))</f>
        <v>0</v>
      </c>
      <c r="P17" s="213"/>
    </row>
    <row r="18" spans="1:18" s="382" customFormat="1" ht="11.25" x14ac:dyDescent="0.2">
      <c r="A18" s="213"/>
      <c r="B18" s="377"/>
      <c r="C18" s="2215" t="s">
        <v>1306</v>
      </c>
      <c r="D18" s="2216"/>
      <c r="E18" s="213"/>
      <c r="F18" s="391" t="s">
        <v>789</v>
      </c>
      <c r="G18" s="378"/>
      <c r="H18" s="1551">
        <f>SUM('Acct Summary 7-8'!C8+'Acct Summary 7-8'!D8+'Acct Summary 7-8'!F8+'Acct Summary 7-8'!I8)+H19</f>
        <v>18250537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5.5717498000000001</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12" t="s">
        <v>1395</v>
      </c>
      <c r="D24" s="2212"/>
      <c r="E24" s="213"/>
      <c r="F24" s="213" t="s">
        <v>442</v>
      </c>
      <c r="G24" s="378"/>
      <c r="H24" s="1551">
        <f>SUM('Assets-Liab 5-6'!C4+'Assets-Liab 5-6'!D4+'Assets-Liab 5-6'!F4+'Assets-Liab 5-6'!I4+'Assets-Liab 5-6'!C5+'Assets-Liab 5-6'!D5+'Assets-Liab 5-6'!F5+'Assets-Liab 5-6'!I5)</f>
        <v>7910920</v>
      </c>
      <c r="I24" s="394"/>
      <c r="J24" s="394"/>
      <c r="K24" s="1555">
        <f>TRUNC(((H24/H25*100000)/100000),2)</f>
        <v>147.22999999999999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53730.025000000001</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1892</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5248324.5895400001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37363843</v>
      </c>
      <c r="I32" s="392"/>
      <c r="J32" s="392"/>
      <c r="K32" s="1555">
        <f>TRUNC(100-((((H32/H33*100))*100)/100),2)</f>
        <v>-34.22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27836685.180000003</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3.25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view="pageBreakPreview" topLeftCell="B1" colorId="8" zoomScale="60" zoomScaleNormal="90" workbookViewId="0">
      <pane ySplit="2" topLeftCell="A12" activePane="bottomLeft" state="frozen"/>
      <selection activeCell="H35" sqref="H35"/>
      <selection pane="bottomLeft" activeCell="H35" sqref="H3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2" t="s">
        <v>967</v>
      </c>
      <c r="B3" s="2223"/>
      <c r="C3" s="1306"/>
      <c r="D3" s="1307"/>
      <c r="E3" s="1307"/>
      <c r="F3" s="1307"/>
      <c r="G3" s="1307"/>
      <c r="H3" s="1307"/>
      <c r="I3" s="1307"/>
      <c r="J3" s="1307"/>
      <c r="K3" s="1307"/>
      <c r="L3" s="1307"/>
      <c r="M3" s="1308"/>
      <c r="N3" s="1309"/>
    </row>
    <row r="4" spans="1:14" ht="13.5" customHeight="1" x14ac:dyDescent="0.2">
      <c r="A4" s="427" t="s">
        <v>1632</v>
      </c>
      <c r="B4" s="428"/>
      <c r="C4" s="1572">
        <v>3642145</v>
      </c>
      <c r="D4" s="1573">
        <v>219620</v>
      </c>
      <c r="E4" s="1573">
        <v>53003</v>
      </c>
      <c r="F4" s="1573">
        <v>546252</v>
      </c>
      <c r="G4" s="1573">
        <v>367494</v>
      </c>
      <c r="H4" s="1573">
        <v>860902</v>
      </c>
      <c r="I4" s="1573">
        <v>25960</v>
      </c>
      <c r="J4" s="1574">
        <v>286190</v>
      </c>
      <c r="K4" s="1573">
        <v>35572</v>
      </c>
      <c r="L4" s="1573">
        <v>206428</v>
      </c>
      <c r="M4" s="1575"/>
      <c r="N4" s="1576"/>
    </row>
    <row r="5" spans="1:14" x14ac:dyDescent="0.2">
      <c r="A5" s="427" t="s">
        <v>985</v>
      </c>
      <c r="B5" s="429">
        <v>120</v>
      </c>
      <c r="C5" s="1572">
        <v>1306210</v>
      </c>
      <c r="D5" s="1573">
        <v>465278</v>
      </c>
      <c r="E5" s="1573"/>
      <c r="F5" s="1573"/>
      <c r="G5" s="1573"/>
      <c r="H5" s="1573">
        <v>608680</v>
      </c>
      <c r="I5" s="1573">
        <v>1705455</v>
      </c>
      <c r="J5" s="1574">
        <v>16299</v>
      </c>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4948355</v>
      </c>
      <c r="D13" s="1587">
        <f t="shared" ref="D13:L13" si="0">SUM(D4:D12)</f>
        <v>684898</v>
      </c>
      <c r="E13" s="1587">
        <f t="shared" si="0"/>
        <v>53003</v>
      </c>
      <c r="F13" s="1587">
        <f t="shared" si="0"/>
        <v>546252</v>
      </c>
      <c r="G13" s="1587">
        <f t="shared" si="0"/>
        <v>367494</v>
      </c>
      <c r="H13" s="1587">
        <f t="shared" si="0"/>
        <v>1469582</v>
      </c>
      <c r="I13" s="1587">
        <f t="shared" si="0"/>
        <v>1731415</v>
      </c>
      <c r="J13" s="1587">
        <f t="shared" si="0"/>
        <v>302489</v>
      </c>
      <c r="K13" s="1587">
        <f t="shared" si="0"/>
        <v>35572</v>
      </c>
      <c r="L13" s="1587">
        <f t="shared" si="0"/>
        <v>206428</v>
      </c>
      <c r="M13" s="1575"/>
      <c r="N13" s="1576"/>
    </row>
    <row r="14" spans="1:14" ht="18" customHeight="1" thickTop="1" x14ac:dyDescent="0.2">
      <c r="A14" s="2224" t="s">
        <v>146</v>
      </c>
      <c r="B14" s="2225"/>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1610746</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77962705</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1768844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4713107+1196986</f>
        <v>5910093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f>E41</f>
        <v>53003</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37310840</v>
      </c>
    </row>
    <row r="23" spans="1:14" ht="13.5" customHeight="1" thickBot="1" x14ac:dyDescent="0.25">
      <c r="A23" s="1426" t="s">
        <v>638</v>
      </c>
      <c r="B23" s="1429"/>
      <c r="C23" s="1575"/>
      <c r="D23" s="1575"/>
      <c r="E23" s="1575"/>
      <c r="F23" s="1575"/>
      <c r="G23" s="1575"/>
      <c r="H23" s="1575"/>
      <c r="I23" s="1575"/>
      <c r="J23" s="1575"/>
      <c r="K23" s="1575"/>
      <c r="L23" s="1575"/>
      <c r="M23" s="1594">
        <f>SUM(M15:M22)</f>
        <v>87252388</v>
      </c>
      <c r="N23" s="1594">
        <f>SUM(N21:N22)</f>
        <v>37363843</v>
      </c>
    </row>
    <row r="24" spans="1:14" ht="18" customHeight="1" thickTop="1" x14ac:dyDescent="0.2">
      <c r="A24" s="2226" t="s">
        <v>594</v>
      </c>
      <c r="B24" s="2227"/>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8" t="s">
        <v>526</v>
      </c>
      <c r="B35" s="222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37363843</v>
      </c>
    </row>
    <row r="37" spans="1:14" ht="13.5" thickBot="1" x14ac:dyDescent="0.25">
      <c r="A37" s="1426" t="s">
        <v>648</v>
      </c>
      <c r="B37" s="1429"/>
      <c r="C37" s="1582"/>
      <c r="D37" s="1582"/>
      <c r="E37" s="1582"/>
      <c r="F37" s="1582"/>
      <c r="G37" s="1582"/>
      <c r="H37" s="1582"/>
      <c r="I37" s="1582"/>
      <c r="J37" s="1582"/>
      <c r="K37" s="1582"/>
      <c r="L37" s="1585"/>
      <c r="M37" s="1575"/>
      <c r="N37" s="1594">
        <f>SUM(N36:N36)</f>
        <v>37363843</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4948355</v>
      </c>
      <c r="D39" s="1573">
        <v>684898</v>
      </c>
      <c r="E39" s="1573">
        <v>53003</v>
      </c>
      <c r="F39" s="1573">
        <v>546252</v>
      </c>
      <c r="G39" s="1573">
        <v>367494</v>
      </c>
      <c r="H39" s="1573">
        <v>1469582</v>
      </c>
      <c r="I39" s="1573">
        <v>1731415</v>
      </c>
      <c r="J39" s="1574">
        <v>302489</v>
      </c>
      <c r="K39" s="1573">
        <v>35572</v>
      </c>
      <c r="L39" s="1573">
        <v>206428</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87252388</v>
      </c>
      <c r="N40" s="1604"/>
    </row>
    <row r="41" spans="1:14" ht="13.5" customHeight="1" thickBot="1" x14ac:dyDescent="0.25">
      <c r="A41" s="1426" t="s">
        <v>650</v>
      </c>
      <c r="B41" s="1405"/>
      <c r="C41" s="1594">
        <f>(SUM(C34,C37,C38,C39))</f>
        <v>4948355</v>
      </c>
      <c r="D41" s="1594">
        <f t="shared" ref="D41:L41" si="2">SUM(D34,D37,D38:D39)</f>
        <v>684898</v>
      </c>
      <c r="E41" s="1594">
        <f t="shared" si="2"/>
        <v>53003</v>
      </c>
      <c r="F41" s="1594">
        <f t="shared" si="2"/>
        <v>546252</v>
      </c>
      <c r="G41" s="1594">
        <f t="shared" si="2"/>
        <v>367494</v>
      </c>
      <c r="H41" s="1594">
        <f t="shared" si="2"/>
        <v>1469582</v>
      </c>
      <c r="I41" s="1594">
        <f t="shared" si="2"/>
        <v>1731415</v>
      </c>
      <c r="J41" s="1594">
        <f t="shared" si="2"/>
        <v>302489</v>
      </c>
      <c r="K41" s="1594">
        <f t="shared" si="2"/>
        <v>35572</v>
      </c>
      <c r="L41" s="1594">
        <f t="shared" si="2"/>
        <v>206428</v>
      </c>
      <c r="M41" s="1594">
        <f>SUM(M40)</f>
        <v>87252388</v>
      </c>
      <c r="N41" s="1594">
        <f>SUM(N37)</f>
        <v>37363843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view="pageBreakPreview" colorId="8" zoomScaleNormal="110" zoomScaleSheetLayoutView="100" workbookViewId="0">
      <pane ySplit="2" topLeftCell="A60" activePane="bottomLeft" state="frozen"/>
      <selection activeCell="H35" sqref="H35"/>
      <selection pane="bottomLeft" activeCell="H35" sqref="H3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0" t="s">
        <v>1165</v>
      </c>
      <c r="B3" s="2251"/>
      <c r="C3" s="1311"/>
      <c r="D3" s="1312"/>
      <c r="E3" s="1312"/>
      <c r="F3" s="1312"/>
      <c r="G3" s="1312"/>
      <c r="H3" s="1312"/>
      <c r="I3" s="1312"/>
      <c r="J3" s="1312"/>
      <c r="K3" s="1313"/>
      <c r="L3" s="446"/>
    </row>
    <row r="4" spans="1:13" ht="15.75" customHeight="1" x14ac:dyDescent="0.2">
      <c r="A4" s="1537" t="s">
        <v>1482</v>
      </c>
      <c r="B4" s="1538">
        <v>1000</v>
      </c>
      <c r="C4" s="1606">
        <f>'Revenues 9-14'!C109</f>
        <v>5256150</v>
      </c>
      <c r="D4" s="1606">
        <f>'Revenues 9-14'!D109</f>
        <v>1093928</v>
      </c>
      <c r="E4" s="1606">
        <f>'Revenues 9-14'!E109</f>
        <v>1156485</v>
      </c>
      <c r="F4" s="1606">
        <f>'Revenues 9-14'!F109</f>
        <v>545998</v>
      </c>
      <c r="G4" s="1606">
        <f>'Revenues 9-14'!G109</f>
        <v>504452</v>
      </c>
      <c r="H4" s="1606">
        <f>'Revenues 9-14'!H109</f>
        <v>1548629</v>
      </c>
      <c r="I4" s="1606">
        <f>'Revenues 9-14'!I109</f>
        <v>34734</v>
      </c>
      <c r="J4" s="1606">
        <f>'Revenues 9-14'!J109</f>
        <v>585177</v>
      </c>
      <c r="K4" s="1606">
        <f>'Revenues 9-14'!K109</f>
        <v>4540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9215120</v>
      </c>
      <c r="D6" s="1607">
        <f>'Revenues 9-14'!D170</f>
        <v>438939</v>
      </c>
      <c r="E6" s="1607">
        <f>'Revenues 9-14'!E170</f>
        <v>0</v>
      </c>
      <c r="F6" s="1607">
        <f>'Revenues 9-14'!F170</f>
        <v>341559</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1324109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15795379</v>
      </c>
      <c r="D8" s="1594">
        <f t="shared" ref="D8:K8" si="0">SUM(D4:D7)</f>
        <v>1532867</v>
      </c>
      <c r="E8" s="1594">
        <f t="shared" si="0"/>
        <v>1156485</v>
      </c>
      <c r="F8" s="1594">
        <f t="shared" si="0"/>
        <v>887557</v>
      </c>
      <c r="G8" s="1594">
        <f t="shared" si="0"/>
        <v>504452</v>
      </c>
      <c r="H8" s="1594">
        <f t="shared" si="0"/>
        <v>1548629</v>
      </c>
      <c r="I8" s="1594">
        <f t="shared" si="0"/>
        <v>34734</v>
      </c>
      <c r="J8" s="1594">
        <f t="shared" si="0"/>
        <v>585177</v>
      </c>
      <c r="K8" s="1594">
        <f t="shared" si="0"/>
        <v>4540</v>
      </c>
      <c r="L8" s="325"/>
    </row>
    <row r="9" spans="1:13" ht="15.75" thickTop="1" x14ac:dyDescent="0.2">
      <c r="A9" s="449" t="s">
        <v>1634</v>
      </c>
      <c r="B9" s="450">
        <v>3998</v>
      </c>
      <c r="C9" s="1586">
        <v>1015254.97</v>
      </c>
      <c r="D9" s="1613"/>
      <c r="E9" s="1586"/>
      <c r="F9" s="1586"/>
      <c r="G9" s="1614"/>
      <c r="H9" s="1586"/>
      <c r="I9" s="1609" t="s">
        <v>1159</v>
      </c>
      <c r="J9" s="1583"/>
      <c r="K9" s="1586"/>
      <c r="L9" s="325"/>
    </row>
    <row r="10" spans="1:13" s="452" customFormat="1" ht="13.5" thickBot="1" x14ac:dyDescent="0.25">
      <c r="A10" s="1426" t="s">
        <v>1163</v>
      </c>
      <c r="B10" s="1407"/>
      <c r="C10" s="1594">
        <f>SUM(C8:C9)</f>
        <v>16810633.969999999</v>
      </c>
      <c r="D10" s="1594">
        <f t="shared" ref="D10:K10" si="1">SUM(D8:D9)</f>
        <v>1532867</v>
      </c>
      <c r="E10" s="1594">
        <f t="shared" si="1"/>
        <v>1156485</v>
      </c>
      <c r="F10" s="1594">
        <f t="shared" si="1"/>
        <v>887557</v>
      </c>
      <c r="G10" s="1594">
        <f t="shared" si="1"/>
        <v>504452</v>
      </c>
      <c r="H10" s="1594">
        <f t="shared" si="1"/>
        <v>1548629</v>
      </c>
      <c r="I10" s="1594">
        <f t="shared" si="1"/>
        <v>34734</v>
      </c>
      <c r="J10" s="1594">
        <f t="shared" si="1"/>
        <v>585177</v>
      </c>
      <c r="K10" s="1594">
        <f t="shared" si="1"/>
        <v>4540</v>
      </c>
      <c r="L10" s="451"/>
    </row>
    <row r="11" spans="1:13" s="452" customFormat="1" ht="16.7" customHeight="1" thickTop="1" x14ac:dyDescent="0.2">
      <c r="A11" s="2224" t="s">
        <v>1166</v>
      </c>
      <c r="B11" s="2225"/>
      <c r="C11" s="1602"/>
      <c r="D11" s="1603"/>
      <c r="E11" s="1603"/>
      <c r="F11" s="1603"/>
      <c r="G11" s="1603"/>
      <c r="H11" s="1603"/>
      <c r="I11" s="1603"/>
      <c r="J11" s="1603"/>
      <c r="K11" s="1615"/>
      <c r="L11" s="451"/>
    </row>
    <row r="12" spans="1:13" ht="15.75" customHeight="1" x14ac:dyDescent="0.2">
      <c r="A12" s="1314" t="s">
        <v>453</v>
      </c>
      <c r="B12" s="1316">
        <v>1000</v>
      </c>
      <c r="C12" s="1606">
        <f>'Expenditures 15-22'!K33</f>
        <v>9237150</v>
      </c>
      <c r="D12" s="1616" t="s">
        <v>1159</v>
      </c>
      <c r="E12" s="1575" t="s">
        <v>1159</v>
      </c>
      <c r="F12" s="1575" t="s">
        <v>1159</v>
      </c>
      <c r="G12" s="1606">
        <f>'Expenditures 15-22'!K229</f>
        <v>142787</v>
      </c>
      <c r="H12" s="1617"/>
      <c r="I12" s="1575" t="s">
        <v>1159</v>
      </c>
      <c r="J12" s="1575" t="s">
        <v>1159</v>
      </c>
      <c r="K12" s="1617" t="s">
        <v>1159</v>
      </c>
      <c r="L12" s="325"/>
    </row>
    <row r="13" spans="1:13" ht="15.75" customHeight="1" x14ac:dyDescent="0.2">
      <c r="A13" s="1314" t="s">
        <v>454</v>
      </c>
      <c r="B13" s="1316">
        <v>2000</v>
      </c>
      <c r="C13" s="1607">
        <f>'Expenditures 15-22'!K74</f>
        <v>5583506</v>
      </c>
      <c r="D13" s="1607">
        <f>'Expenditures 15-22'!K129</f>
        <v>2004322</v>
      </c>
      <c r="E13" s="1576" t="s">
        <v>1159</v>
      </c>
      <c r="F13" s="1607">
        <f>'Expenditures 15-22'!K184</f>
        <v>412183</v>
      </c>
      <c r="G13" s="1607">
        <f>'Expenditures 15-22'!K279</f>
        <v>314423</v>
      </c>
      <c r="H13" s="1607">
        <f>'Expenditures 15-22'!K303</f>
        <v>0</v>
      </c>
      <c r="I13" s="1575" t="s">
        <v>1159</v>
      </c>
      <c r="J13" s="1607">
        <f>'Expenditures 15-22'!K330</f>
        <v>495784</v>
      </c>
      <c r="K13" s="1618">
        <f>'Expenditures 15-22'!K352</f>
        <v>0</v>
      </c>
      <c r="L13" s="325"/>
    </row>
    <row r="14" spans="1:13" ht="15.75" customHeight="1" x14ac:dyDescent="0.2">
      <c r="A14" s="1314" t="s">
        <v>446</v>
      </c>
      <c r="B14" s="1316">
        <v>3000</v>
      </c>
      <c r="C14" s="1607">
        <f>'Expenditures 15-22'!K75</f>
        <v>29456</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1773805</v>
      </c>
      <c r="D15" s="1607">
        <f>'Expenditures 15-22'!K139</f>
        <v>0</v>
      </c>
      <c r="E15" s="1607">
        <f>'Expenditures 15-22'!K160</f>
        <v>0</v>
      </c>
      <c r="F15" s="1607">
        <f>'Expenditures 15-22'!K196</f>
        <v>98841</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10805</v>
      </c>
      <c r="D16" s="1607">
        <f>'Expenditures 15-22'!K149</f>
        <v>0</v>
      </c>
      <c r="E16" s="1607">
        <f>'Expenditures 15-22'!K172</f>
        <v>2458222</v>
      </c>
      <c r="F16" s="1607">
        <f>'Expenditures 15-22'!K208</f>
        <v>192741</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16634722</v>
      </c>
      <c r="D17" s="1594">
        <f t="shared" si="2"/>
        <v>2004322</v>
      </c>
      <c r="E17" s="1594">
        <f t="shared" si="2"/>
        <v>2458222</v>
      </c>
      <c r="F17" s="1594">
        <f t="shared" si="2"/>
        <v>703765</v>
      </c>
      <c r="G17" s="1594">
        <f t="shared" si="2"/>
        <v>457210</v>
      </c>
      <c r="H17" s="1594">
        <f t="shared" si="2"/>
        <v>0</v>
      </c>
      <c r="I17" s="1575"/>
      <c r="J17" s="1594">
        <f>SUM(J12:J16)</f>
        <v>495784</v>
      </c>
      <c r="K17" s="1594">
        <f>SUM(K12:K16)</f>
        <v>0</v>
      </c>
      <c r="L17" s="325"/>
    </row>
    <row r="18" spans="1:12" ht="15" customHeight="1" thickTop="1" x14ac:dyDescent="0.2">
      <c r="A18" s="1430" t="s">
        <v>1635</v>
      </c>
      <c r="B18" s="1431">
        <v>4180</v>
      </c>
      <c r="C18" s="1606">
        <f t="shared" ref="C18:H18" si="3">C9</f>
        <v>1015254.97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17649976.969999999</v>
      </c>
      <c r="D19" s="1594">
        <f t="shared" si="4"/>
        <v>2004322</v>
      </c>
      <c r="E19" s="1594">
        <f t="shared" si="4"/>
        <v>2458222</v>
      </c>
      <c r="F19" s="1594">
        <f t="shared" si="4"/>
        <v>703765</v>
      </c>
      <c r="G19" s="1594">
        <f t="shared" si="4"/>
        <v>457210</v>
      </c>
      <c r="H19" s="1594">
        <f t="shared" si="4"/>
        <v>0</v>
      </c>
      <c r="I19" s="1575"/>
      <c r="J19" s="1594">
        <f>SUM(J17:J18)</f>
        <v>495784</v>
      </c>
      <c r="K19" s="1594">
        <f>SUM(K17:K18)</f>
        <v>0</v>
      </c>
      <c r="L19" s="325"/>
    </row>
    <row r="20" spans="1:12" ht="16.5" thickTop="1" thickBot="1" x14ac:dyDescent="0.25">
      <c r="A20" s="2240" t="s">
        <v>1636</v>
      </c>
      <c r="B20" s="2241"/>
      <c r="C20" s="1622">
        <f>C8-C17</f>
        <v>-839343</v>
      </c>
      <c r="D20" s="1622">
        <f t="shared" ref="D20:K20" si="5">D8-D17</f>
        <v>-471455</v>
      </c>
      <c r="E20" s="1622">
        <f t="shared" si="5"/>
        <v>-1301737</v>
      </c>
      <c r="F20" s="1622">
        <f t="shared" si="5"/>
        <v>183792</v>
      </c>
      <c r="G20" s="1622">
        <f t="shared" si="5"/>
        <v>47242</v>
      </c>
      <c r="H20" s="1622">
        <f t="shared" si="5"/>
        <v>1548629</v>
      </c>
      <c r="I20" s="1622">
        <f t="shared" si="5"/>
        <v>34734</v>
      </c>
      <c r="J20" s="1622">
        <f t="shared" si="5"/>
        <v>89393</v>
      </c>
      <c r="K20" s="1622">
        <f t="shared" si="5"/>
        <v>4540</v>
      </c>
      <c r="L20" s="325"/>
    </row>
    <row r="21" spans="1:12" ht="16.7" customHeight="1" thickTop="1" x14ac:dyDescent="0.2">
      <c r="A21" s="2252" t="s">
        <v>591</v>
      </c>
      <c r="B21" s="2253"/>
      <c r="C21" s="1602"/>
      <c r="D21" s="1603"/>
      <c r="E21" s="1603"/>
      <c r="F21" s="1603"/>
      <c r="G21" s="1603"/>
      <c r="H21" s="1603"/>
      <c r="I21" s="1603"/>
      <c r="J21" s="1603"/>
      <c r="K21" s="1615"/>
      <c r="L21" s="453"/>
    </row>
    <row r="22" spans="1:12" ht="15.75" customHeight="1" collapsed="1" x14ac:dyDescent="0.2">
      <c r="A22" s="2248" t="s">
        <v>592</v>
      </c>
      <c r="B22" s="2249"/>
      <c r="C22" s="1582"/>
      <c r="D22" s="1582"/>
      <c r="E22" s="1582"/>
      <c r="F22" s="1582"/>
      <c r="G22" s="1582"/>
      <c r="H22" s="1582"/>
      <c r="I22" s="1582"/>
      <c r="J22" s="1582"/>
      <c r="K22" s="1582"/>
      <c r="L22" s="325"/>
    </row>
    <row r="23" spans="1:12" s="433" customFormat="1" ht="15.75" customHeight="1" x14ac:dyDescent="0.2">
      <c r="A23" s="2244" t="s">
        <v>290</v>
      </c>
      <c r="B23" s="2245"/>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v>33000</v>
      </c>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v>494000</v>
      </c>
      <c r="E29" s="1580"/>
      <c r="F29" s="1580"/>
      <c r="G29" s="1580"/>
      <c r="H29" s="1580"/>
      <c r="I29" s="1580"/>
      <c r="J29" s="1580"/>
      <c r="K29" s="1580"/>
      <c r="L29" s="453"/>
    </row>
    <row r="30" spans="1:12" s="433" customFormat="1" ht="26.25" x14ac:dyDescent="0.2">
      <c r="A30" s="1260" t="s">
        <v>1770</v>
      </c>
      <c r="B30" s="455">
        <v>7160</v>
      </c>
      <c r="C30" s="1582"/>
      <c r="D30" s="1574"/>
      <c r="E30" s="1582"/>
      <c r="F30" s="1582"/>
      <c r="G30" s="1582"/>
      <c r="H30" s="1582"/>
      <c r="I30" s="1582"/>
      <c r="J30" s="1582"/>
      <c r="K30" s="1582"/>
      <c r="L30" s="453"/>
    </row>
    <row r="31" spans="1:12" s="433" customFormat="1" ht="26.25" x14ac:dyDescent="0.2">
      <c r="A31" s="1260" t="s">
        <v>1774</v>
      </c>
      <c r="B31" s="455">
        <v>7170</v>
      </c>
      <c r="C31" s="1582"/>
      <c r="D31" s="1582"/>
      <c r="E31" s="1579"/>
      <c r="F31" s="1582"/>
      <c r="G31" s="1582"/>
      <c r="H31" s="1582"/>
      <c r="I31" s="1582"/>
      <c r="J31" s="1582"/>
      <c r="K31" s="1582"/>
      <c r="L31" s="453"/>
    </row>
    <row r="32" spans="1:12" s="433" customFormat="1" ht="15.75" customHeight="1" x14ac:dyDescent="0.2">
      <c r="A32" s="2246" t="s">
        <v>974</v>
      </c>
      <c r="B32" s="2247"/>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v>750000</v>
      </c>
      <c r="D43" s="1574"/>
      <c r="E43" s="1574">
        <v>1303062</v>
      </c>
      <c r="F43" s="1574"/>
      <c r="G43" s="1574"/>
      <c r="H43" s="1574"/>
      <c r="I43" s="1574"/>
      <c r="J43" s="1574"/>
      <c r="K43" s="1574"/>
      <c r="L43" s="453"/>
    </row>
    <row r="44" spans="1:12" s="433" customFormat="1" ht="13.5" customHeight="1" thickBot="1" x14ac:dyDescent="0.25">
      <c r="A44" s="2254" t="s">
        <v>371</v>
      </c>
      <c r="B44" s="2255"/>
      <c r="C44" s="1624">
        <f>SUM(C24:C43)</f>
        <v>783000</v>
      </c>
      <c r="D44" s="1624">
        <f t="shared" ref="D44:K44" si="6">SUM(D24:D43)</f>
        <v>494000</v>
      </c>
      <c r="E44" s="1624">
        <f t="shared" si="6"/>
        <v>1303062</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8" t="s">
        <v>108</v>
      </c>
      <c r="B45" s="2249"/>
      <c r="C45" s="1625"/>
      <c r="D45" s="1625"/>
      <c r="E45" s="1625"/>
      <c r="F45" s="1625"/>
      <c r="G45" s="1625"/>
      <c r="H45" s="1625"/>
      <c r="I45" s="1625"/>
      <c r="J45" s="1625"/>
      <c r="K45" s="1625"/>
      <c r="L45" s="325"/>
    </row>
    <row r="46" spans="1:12" s="433" customFormat="1" ht="15.75" customHeight="1" x14ac:dyDescent="0.2">
      <c r="A46" s="2256" t="s">
        <v>109</v>
      </c>
      <c r="B46" s="2257"/>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33000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494000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v>32507</v>
      </c>
      <c r="D75" s="1627"/>
      <c r="E75" s="1626"/>
      <c r="F75" s="1628"/>
      <c r="G75" s="1628"/>
      <c r="H75" s="1628">
        <v>1303063</v>
      </c>
      <c r="I75" s="1626"/>
      <c r="J75" s="1626"/>
      <c r="K75" s="1628"/>
      <c r="L75" s="453"/>
    </row>
    <row r="76" spans="1:12" s="433" customFormat="1" ht="14.25" thickTop="1" thickBot="1" x14ac:dyDescent="0.25">
      <c r="A76" s="2230" t="s">
        <v>437</v>
      </c>
      <c r="B76" s="2231"/>
      <c r="C76" s="1624">
        <f t="shared" ref="C76:K76" si="7">SUM(C47:C75)</f>
        <v>32507</v>
      </c>
      <c r="D76" s="1624">
        <f t="shared" si="7"/>
        <v>0</v>
      </c>
      <c r="E76" s="1624">
        <f t="shared" si="7"/>
        <v>0</v>
      </c>
      <c r="F76" s="1624">
        <f t="shared" si="7"/>
        <v>0</v>
      </c>
      <c r="G76" s="1624">
        <f t="shared" si="7"/>
        <v>0</v>
      </c>
      <c r="H76" s="1624">
        <f t="shared" si="7"/>
        <v>1797063</v>
      </c>
      <c r="I76" s="1624">
        <f t="shared" si="7"/>
        <v>33000</v>
      </c>
      <c r="J76" s="1624">
        <f t="shared" si="7"/>
        <v>0</v>
      </c>
      <c r="K76" s="1624">
        <f t="shared" si="7"/>
        <v>0</v>
      </c>
      <c r="L76" s="453"/>
    </row>
    <row r="77" spans="1:12" ht="14.25" thickTop="1" thickBot="1" x14ac:dyDescent="0.25">
      <c r="A77" s="2232" t="s">
        <v>1167</v>
      </c>
      <c r="B77" s="2233"/>
      <c r="C77" s="1624">
        <f t="shared" ref="C77:K77" si="8">C44-C76</f>
        <v>750493</v>
      </c>
      <c r="D77" s="1624">
        <f t="shared" si="8"/>
        <v>494000</v>
      </c>
      <c r="E77" s="1624">
        <f t="shared" si="8"/>
        <v>1303062</v>
      </c>
      <c r="F77" s="1624">
        <f t="shared" si="8"/>
        <v>0</v>
      </c>
      <c r="G77" s="1624">
        <f t="shared" si="8"/>
        <v>0</v>
      </c>
      <c r="H77" s="1624">
        <f t="shared" si="8"/>
        <v>-1797063</v>
      </c>
      <c r="I77" s="1624">
        <f t="shared" si="8"/>
        <v>-33000</v>
      </c>
      <c r="J77" s="1624">
        <f t="shared" si="8"/>
        <v>0</v>
      </c>
      <c r="K77" s="1624">
        <f t="shared" si="8"/>
        <v>0</v>
      </c>
      <c r="L77" s="325"/>
    </row>
    <row r="78" spans="1:12" ht="21.75" customHeight="1" thickTop="1" thickBot="1" x14ac:dyDescent="0.25">
      <c r="A78" s="2236" t="s">
        <v>593</v>
      </c>
      <c r="B78" s="2237"/>
      <c r="C78" s="1629">
        <f t="shared" ref="C78:K78" si="9">C20+C77</f>
        <v>-88850</v>
      </c>
      <c r="D78" s="1629">
        <f t="shared" si="9"/>
        <v>22545</v>
      </c>
      <c r="E78" s="1629">
        <f t="shared" si="9"/>
        <v>1325</v>
      </c>
      <c r="F78" s="1629">
        <f t="shared" si="9"/>
        <v>183792</v>
      </c>
      <c r="G78" s="1629">
        <f t="shared" si="9"/>
        <v>47242</v>
      </c>
      <c r="H78" s="1629">
        <f t="shared" si="9"/>
        <v>-248434</v>
      </c>
      <c r="I78" s="1629">
        <f t="shared" si="9"/>
        <v>1734</v>
      </c>
      <c r="J78" s="1629">
        <f t="shared" si="9"/>
        <v>89393</v>
      </c>
      <c r="K78" s="1629">
        <f t="shared" si="9"/>
        <v>4540</v>
      </c>
      <c r="L78" s="457"/>
    </row>
    <row r="79" spans="1:12" ht="13.5" thickTop="1" x14ac:dyDescent="0.2">
      <c r="A79" s="1844" t="str">
        <f>"Fund Balances - July 1, "&amp;'AFR20'!E2-1</f>
        <v>Fund Balances - July 1, 2019</v>
      </c>
      <c r="B79" s="458"/>
      <c r="C79" s="1583">
        <v>5037205</v>
      </c>
      <c r="D79" s="1630">
        <v>662353</v>
      </c>
      <c r="E79" s="1630">
        <v>51678</v>
      </c>
      <c r="F79" s="1630">
        <v>362460</v>
      </c>
      <c r="G79" s="1630">
        <v>320252</v>
      </c>
      <c r="H79" s="1630">
        <v>1718016</v>
      </c>
      <c r="I79" s="1630">
        <v>1729681</v>
      </c>
      <c r="J79" s="1630">
        <v>213096</v>
      </c>
      <c r="K79" s="1630">
        <v>31032</v>
      </c>
      <c r="L79" s="325"/>
    </row>
    <row r="80" spans="1:12" x14ac:dyDescent="0.2">
      <c r="A80" s="2242" t="s">
        <v>1771</v>
      </c>
      <c r="B80" s="2243"/>
      <c r="C80" s="1574"/>
      <c r="D80" s="1574"/>
      <c r="E80" s="1574"/>
      <c r="F80" s="1574"/>
      <c r="G80" s="1574"/>
      <c r="H80" s="1574"/>
      <c r="I80" s="1574"/>
      <c r="J80" s="1574"/>
      <c r="K80" s="1574"/>
      <c r="L80" s="325"/>
    </row>
    <row r="81" spans="1:12" ht="13.5" thickBot="1" x14ac:dyDescent="0.25">
      <c r="A81" s="2234" t="str">
        <f>"Fund Balances - June 30, "&amp;'AFR20'!E2</f>
        <v>Fund Balances - June 30, 2020</v>
      </c>
      <c r="B81" s="2235"/>
      <c r="C81" s="1594">
        <f>(SUM(C78:C80))</f>
        <v>4948355</v>
      </c>
      <c r="D81" s="1594">
        <f>SUM(D78:D80)</f>
        <v>684898</v>
      </c>
      <c r="E81" s="1594">
        <f t="shared" ref="E81:K81" si="10">SUM(E78:E80)</f>
        <v>53003</v>
      </c>
      <c r="F81" s="1594">
        <f t="shared" si="10"/>
        <v>546252</v>
      </c>
      <c r="G81" s="1594">
        <f t="shared" si="10"/>
        <v>367494</v>
      </c>
      <c r="H81" s="1594">
        <f t="shared" si="10"/>
        <v>1469582</v>
      </c>
      <c r="I81" s="1594">
        <f t="shared" si="10"/>
        <v>1731415</v>
      </c>
      <c r="J81" s="1594">
        <f t="shared" si="10"/>
        <v>302489</v>
      </c>
      <c r="K81" s="1594">
        <f t="shared" si="10"/>
        <v>35572</v>
      </c>
      <c r="L81" s="325"/>
    </row>
    <row r="82" spans="1:12" ht="0.75" customHeight="1" thickTop="1" thickBot="1" x14ac:dyDescent="0.25">
      <c r="A82" s="459" t="s">
        <v>340</v>
      </c>
      <c r="B82" s="460"/>
      <c r="C82" s="461">
        <f>(C81-C79)</f>
        <v>-88850</v>
      </c>
      <c r="D82" s="461">
        <f t="shared" ref="D82:K82" si="11">(D81-D79)</f>
        <v>22545</v>
      </c>
      <c r="E82" s="461">
        <f t="shared" si="11"/>
        <v>1325</v>
      </c>
      <c r="F82" s="461">
        <f t="shared" si="11"/>
        <v>183792</v>
      </c>
      <c r="G82" s="461">
        <f t="shared" si="11"/>
        <v>47242</v>
      </c>
      <c r="H82" s="461">
        <f t="shared" si="11"/>
        <v>-248434</v>
      </c>
      <c r="I82" s="461">
        <f t="shared" si="11"/>
        <v>1734</v>
      </c>
      <c r="J82" s="461">
        <f t="shared" si="11"/>
        <v>89393</v>
      </c>
      <c r="K82" s="461">
        <f t="shared" si="11"/>
        <v>4540</v>
      </c>
    </row>
    <row r="83" spans="1:12" ht="14.25" hidden="1" thickTop="1" thickBot="1" x14ac:dyDescent="0.25">
      <c r="A83" s="462" t="s">
        <v>341</v>
      </c>
      <c r="B83" s="428"/>
      <c r="C83" s="463">
        <f>C82/C81</f>
        <v>-1.7955461966653565E-2</v>
      </c>
      <c r="D83" s="463">
        <f t="shared" ref="D83:K83" si="12">D82/D81</f>
        <v>3.2917310314820598E-2</v>
      </c>
      <c r="E83" s="463">
        <f t="shared" si="12"/>
        <v>2.4998584985755523E-2</v>
      </c>
      <c r="F83" s="463">
        <f t="shared" si="12"/>
        <v>0.336460095340612</v>
      </c>
      <c r="G83" s="463">
        <f t="shared" si="12"/>
        <v>0.12855175866816873</v>
      </c>
      <c r="H83" s="463">
        <f t="shared" si="12"/>
        <v>-0.1690507913134483</v>
      </c>
      <c r="I83" s="463">
        <f t="shared" si="12"/>
        <v>1.0014929985012258E-3</v>
      </c>
      <c r="J83" s="463">
        <f t="shared" si="12"/>
        <v>0.29552479594299297</v>
      </c>
      <c r="K83" s="463">
        <f t="shared" si="12"/>
        <v>0.12762847183177781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view="pageBreakPreview" colorId="8" zoomScale="75" zoomScaleNormal="110" zoomScaleSheetLayoutView="75" workbookViewId="0">
      <pane ySplit="2" topLeftCell="A3" activePane="bottomLeft" state="frozen"/>
      <selection activeCell="H35" sqref="H35"/>
      <selection pane="bottomLeft" activeCell="C15" sqref="C1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8" t="s">
        <v>1778</v>
      </c>
      <c r="B1" s="416"/>
      <c r="C1" s="417" t="s">
        <v>422</v>
      </c>
      <c r="D1" s="417" t="s">
        <v>423</v>
      </c>
      <c r="E1" s="417" t="s">
        <v>424</v>
      </c>
      <c r="F1" s="417" t="s">
        <v>425</v>
      </c>
      <c r="G1" s="417" t="s">
        <v>426</v>
      </c>
      <c r="H1" s="417" t="s">
        <v>427</v>
      </c>
      <c r="I1" s="417" t="s">
        <v>428</v>
      </c>
      <c r="J1" s="417" t="s">
        <v>429</v>
      </c>
      <c r="K1" s="417" t="s">
        <v>751</v>
      </c>
    </row>
    <row r="2" spans="1:12" ht="36" x14ac:dyDescent="0.2">
      <c r="A2" s="223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4335466</v>
      </c>
      <c r="D5" s="1586">
        <v>982881</v>
      </c>
      <c r="E5" s="1573">
        <v>1147924</v>
      </c>
      <c r="F5" s="1631">
        <v>536119</v>
      </c>
      <c r="G5" s="1573">
        <v>214440</v>
      </c>
      <c r="H5" s="1573"/>
      <c r="I5" s="1573">
        <v>1331</v>
      </c>
      <c r="J5" s="1574">
        <v>580787</v>
      </c>
      <c r="K5" s="1573">
        <v>4471</v>
      </c>
    </row>
    <row r="6" spans="1:12" ht="15" x14ac:dyDescent="0.2">
      <c r="A6" s="427" t="s">
        <v>1643</v>
      </c>
      <c r="B6" s="429">
        <v>1130</v>
      </c>
      <c r="C6" s="1573">
        <v>1331</v>
      </c>
      <c r="D6" s="1573"/>
      <c r="E6" s="1580"/>
      <c r="F6" s="1580"/>
      <c r="G6" s="1575"/>
      <c r="H6" s="1575"/>
      <c r="I6" s="1575"/>
      <c r="J6" s="1575"/>
      <c r="K6" s="1575"/>
    </row>
    <row r="7" spans="1:12" x14ac:dyDescent="0.2">
      <c r="A7" s="427" t="s">
        <v>110</v>
      </c>
      <c r="B7" s="471">
        <v>1140</v>
      </c>
      <c r="C7" s="1573">
        <v>71473</v>
      </c>
      <c r="D7" s="1573"/>
      <c r="E7" s="1575"/>
      <c r="F7" s="1574"/>
      <c r="G7" s="1574"/>
      <c r="H7" s="1574"/>
      <c r="I7" s="1575"/>
      <c r="J7" s="1575"/>
      <c r="K7" s="1575"/>
    </row>
    <row r="8" spans="1:12" x14ac:dyDescent="0.2">
      <c r="A8" s="427" t="s">
        <v>410</v>
      </c>
      <c r="B8" s="429">
        <v>1150</v>
      </c>
      <c r="C8" s="1580"/>
      <c r="D8" s="1580"/>
      <c r="E8" s="1582"/>
      <c r="F8" s="1582"/>
      <c r="G8" s="1586">
        <v>285913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v>103007</v>
      </c>
      <c r="E11" s="1573"/>
      <c r="F11" s="1573"/>
      <c r="G11" s="1573"/>
      <c r="H11" s="1573"/>
      <c r="I11" s="1573"/>
      <c r="J11" s="1574"/>
      <c r="K11" s="1573"/>
      <c r="L11" s="473"/>
    </row>
    <row r="12" spans="1:12" ht="12.75" customHeight="1" thickBot="1" x14ac:dyDescent="0.25">
      <c r="A12" s="1404" t="s">
        <v>29</v>
      </c>
      <c r="B12" s="1405"/>
      <c r="C12" s="1633">
        <f t="shared" ref="C12:K12" si="0">SUM(C5:C11)</f>
        <v>4408270</v>
      </c>
      <c r="D12" s="1633">
        <f t="shared" si="0"/>
        <v>1085888</v>
      </c>
      <c r="E12" s="1633">
        <f t="shared" si="0"/>
        <v>1147924</v>
      </c>
      <c r="F12" s="1633">
        <f t="shared" si="0"/>
        <v>536119</v>
      </c>
      <c r="G12" s="1633">
        <f t="shared" si="0"/>
        <v>500353</v>
      </c>
      <c r="H12" s="1633">
        <f t="shared" si="0"/>
        <v>0</v>
      </c>
      <c r="I12" s="1633">
        <f t="shared" si="0"/>
        <v>1331</v>
      </c>
      <c r="J12" s="1633">
        <f t="shared" si="0"/>
        <v>580787</v>
      </c>
      <c r="K12" s="1594">
        <f t="shared" si="0"/>
        <v>4471</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7297</v>
      </c>
      <c r="D14" s="1573">
        <v>1627</v>
      </c>
      <c r="E14" s="1573">
        <v>1900</v>
      </c>
      <c r="F14" s="1573">
        <v>887</v>
      </c>
      <c r="G14" s="1573">
        <v>828</v>
      </c>
      <c r="H14" s="1573"/>
      <c r="I14" s="1573">
        <v>2</v>
      </c>
      <c r="J14" s="1574">
        <v>961</v>
      </c>
      <c r="K14" s="1573">
        <v>7</v>
      </c>
    </row>
    <row r="15" spans="1:12" ht="12.75" customHeight="1" x14ac:dyDescent="0.2">
      <c r="A15" s="427" t="s">
        <v>95</v>
      </c>
      <c r="B15" s="429">
        <v>1220</v>
      </c>
      <c r="C15" s="1632">
        <v>4479</v>
      </c>
      <c r="D15" s="1573">
        <v>998</v>
      </c>
      <c r="E15" s="1573">
        <v>1166</v>
      </c>
      <c r="F15" s="1573">
        <v>545</v>
      </c>
      <c r="G15" s="1573">
        <v>508</v>
      </c>
      <c r="H15" s="1573"/>
      <c r="I15" s="1573"/>
      <c r="J15" s="1574">
        <v>590</v>
      </c>
      <c r="K15" s="1573">
        <v>5</v>
      </c>
    </row>
    <row r="16" spans="1:12" ht="15" customHeight="1" x14ac:dyDescent="0.2">
      <c r="A16" s="427" t="s">
        <v>1644</v>
      </c>
      <c r="B16" s="471">
        <v>1230</v>
      </c>
      <c r="C16" s="1632">
        <v>211437</v>
      </c>
      <c r="D16" s="1573"/>
      <c r="E16" s="1573"/>
      <c r="F16" s="1573"/>
      <c r="G16" s="1573"/>
      <c r="H16" s="1573"/>
      <c r="I16" s="1573"/>
      <c r="J16" s="1574"/>
      <c r="K16" s="1573"/>
    </row>
    <row r="17" spans="1:11" ht="12.75" customHeight="1" x14ac:dyDescent="0.2">
      <c r="A17" s="427" t="s">
        <v>802</v>
      </c>
      <c r="B17" s="429">
        <v>1290</v>
      </c>
      <c r="C17" s="1632">
        <v>19724</v>
      </c>
      <c r="D17" s="1573">
        <v>4398</v>
      </c>
      <c r="E17" s="1573">
        <v>5136</v>
      </c>
      <c r="F17" s="1573">
        <v>2399</v>
      </c>
      <c r="G17" s="1573">
        <v>2238</v>
      </c>
      <c r="H17" s="1573"/>
      <c r="I17" s="1573">
        <v>6</v>
      </c>
      <c r="J17" s="1574">
        <v>2599</v>
      </c>
      <c r="K17" s="1573">
        <v>20</v>
      </c>
    </row>
    <row r="18" spans="1:11" ht="12.75" customHeight="1" thickBot="1" x14ac:dyDescent="0.25">
      <c r="A18" s="1406" t="s">
        <v>534</v>
      </c>
      <c r="B18" s="1407"/>
      <c r="C18" s="1635">
        <f>SUM(C14:C17)</f>
        <v>242937</v>
      </c>
      <c r="D18" s="1635">
        <f t="shared" ref="D18:K18" si="1">SUM(D14:D17)</f>
        <v>7023</v>
      </c>
      <c r="E18" s="1635">
        <f t="shared" si="1"/>
        <v>8202</v>
      </c>
      <c r="F18" s="1635">
        <f t="shared" si="1"/>
        <v>3831</v>
      </c>
      <c r="G18" s="1635">
        <f t="shared" si="1"/>
        <v>3574</v>
      </c>
      <c r="H18" s="1635">
        <f t="shared" si="1"/>
        <v>0</v>
      </c>
      <c r="I18" s="1635">
        <f t="shared" si="1"/>
        <v>8</v>
      </c>
      <c r="J18" s="1635">
        <f t="shared" si="1"/>
        <v>4150</v>
      </c>
      <c r="K18" s="1636">
        <f t="shared" si="1"/>
        <v>32</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9491</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9491</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24028</v>
      </c>
      <c r="D65" s="1573">
        <f>1010+7</f>
        <v>1017</v>
      </c>
      <c r="E65" s="1573">
        <v>359</v>
      </c>
      <c r="F65" s="1574">
        <v>548</v>
      </c>
      <c r="G65" s="1573">
        <v>525</v>
      </c>
      <c r="H65" s="1573">
        <v>22699</v>
      </c>
      <c r="I65" s="1573">
        <v>33395</v>
      </c>
      <c r="J65" s="1574">
        <v>240</v>
      </c>
      <c r="K65" s="1573">
        <v>37</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24028</v>
      </c>
      <c r="D67" s="1594">
        <f t="shared" ref="D67:K67" si="2">SUM(D65:D66)</f>
        <v>1017</v>
      </c>
      <c r="E67" s="1594">
        <f t="shared" si="2"/>
        <v>359</v>
      </c>
      <c r="F67" s="1594">
        <f t="shared" si="2"/>
        <v>548</v>
      </c>
      <c r="G67" s="1594">
        <f t="shared" si="2"/>
        <v>525</v>
      </c>
      <c r="H67" s="1594">
        <f t="shared" si="2"/>
        <v>22699</v>
      </c>
      <c r="I67" s="1594">
        <f t="shared" si="2"/>
        <v>33395</v>
      </c>
      <c r="J67" s="1594">
        <f t="shared" si="2"/>
        <v>240</v>
      </c>
      <c r="K67" s="1594">
        <f t="shared" si="2"/>
        <v>37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225876</v>
      </c>
      <c r="D69" s="1575"/>
      <c r="E69" s="1575"/>
      <c r="F69" s="1575"/>
      <c r="G69" s="1575"/>
      <c r="H69" s="1575"/>
      <c r="I69" s="1575"/>
      <c r="J69" s="1575"/>
      <c r="K69" s="1575"/>
    </row>
    <row r="70" spans="1:11" ht="12.75" customHeight="1" x14ac:dyDescent="0.2">
      <c r="A70" s="427" t="s">
        <v>990</v>
      </c>
      <c r="B70" s="429">
        <v>1612</v>
      </c>
      <c r="C70" s="1632">
        <v>54021</v>
      </c>
      <c r="D70" s="1575"/>
      <c r="E70" s="1575"/>
      <c r="F70" s="1575"/>
      <c r="G70" s="1575"/>
      <c r="H70" s="1575"/>
      <c r="I70" s="1575"/>
      <c r="J70" s="1575"/>
      <c r="K70" s="1575"/>
    </row>
    <row r="71" spans="1:11" ht="12.75" customHeight="1" x14ac:dyDescent="0.2">
      <c r="A71" s="427" t="s">
        <v>271</v>
      </c>
      <c r="B71" s="429">
        <v>1613</v>
      </c>
      <c r="C71" s="1632">
        <v>28537</v>
      </c>
      <c r="D71" s="1575"/>
      <c r="E71" s="1575"/>
      <c r="F71" s="1575"/>
      <c r="G71" s="1575"/>
      <c r="H71" s="1575"/>
      <c r="I71" s="1575"/>
      <c r="J71" s="1575"/>
      <c r="K71" s="1575"/>
    </row>
    <row r="72" spans="1:11" ht="12.75" customHeight="1" x14ac:dyDescent="0.2">
      <c r="A72" s="427" t="s">
        <v>24</v>
      </c>
      <c r="B72" s="429">
        <v>1614</v>
      </c>
      <c r="C72" s="1632">
        <v>363</v>
      </c>
      <c r="D72" s="1575"/>
      <c r="E72" s="1575"/>
      <c r="F72" s="1575"/>
      <c r="G72" s="1575"/>
      <c r="H72" s="1575"/>
      <c r="I72" s="1575"/>
      <c r="J72" s="1575"/>
      <c r="K72" s="1575"/>
    </row>
    <row r="73" spans="1:11" ht="12.75" customHeight="1" x14ac:dyDescent="0.2">
      <c r="A73" s="427" t="s">
        <v>991</v>
      </c>
      <c r="B73" s="429">
        <v>1620</v>
      </c>
      <c r="C73" s="1632">
        <v>4391</v>
      </c>
      <c r="D73" s="1575"/>
      <c r="E73" s="1575"/>
      <c r="F73" s="1575"/>
      <c r="G73" s="1575"/>
      <c r="H73" s="1575"/>
      <c r="I73" s="1575"/>
      <c r="J73" s="1575"/>
      <c r="K73" s="1575"/>
    </row>
    <row r="74" spans="1:11" ht="12.75" customHeight="1" x14ac:dyDescent="0.2">
      <c r="A74" s="427" t="s">
        <v>25</v>
      </c>
      <c r="B74" s="429">
        <v>1690</v>
      </c>
      <c r="C74" s="1632">
        <v>4398</v>
      </c>
      <c r="D74" s="1575"/>
      <c r="E74" s="1575"/>
      <c r="F74" s="1575"/>
      <c r="G74" s="1575"/>
      <c r="H74" s="1575"/>
      <c r="I74" s="1575"/>
      <c r="J74" s="1575"/>
      <c r="K74" s="1575"/>
    </row>
    <row r="75" spans="1:11" ht="12.75" customHeight="1" thickBot="1" x14ac:dyDescent="0.25">
      <c r="A75" s="1406" t="s">
        <v>544</v>
      </c>
      <c r="B75" s="1407"/>
      <c r="C75" s="1594">
        <f>SUM(C69:C74)</f>
        <v>317586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48592</v>
      </c>
      <c r="D77" s="1573"/>
      <c r="E77" s="1575"/>
      <c r="F77" s="1575"/>
      <c r="G77" s="1575"/>
      <c r="H77" s="1575"/>
      <c r="I77" s="1575"/>
      <c r="J77" s="1575"/>
      <c r="K77" s="1575"/>
    </row>
    <row r="78" spans="1:11" ht="12.75" customHeight="1" x14ac:dyDescent="0.2">
      <c r="A78" s="427" t="s">
        <v>76</v>
      </c>
      <c r="B78" s="429">
        <v>1719</v>
      </c>
      <c r="C78" s="1632">
        <v>2300</v>
      </c>
      <c r="D78" s="1573"/>
      <c r="E78" s="1575"/>
      <c r="F78" s="1575"/>
      <c r="G78" s="1575"/>
      <c r="H78" s="1575"/>
      <c r="I78" s="1575"/>
      <c r="J78" s="1575"/>
      <c r="K78" s="1575"/>
    </row>
    <row r="79" spans="1:11" ht="12.75" customHeight="1" x14ac:dyDescent="0.2">
      <c r="A79" s="427" t="s">
        <v>546</v>
      </c>
      <c r="B79" s="429">
        <v>1720</v>
      </c>
      <c r="C79" s="1632">
        <v>9927</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74856</v>
      </c>
      <c r="D81" s="1573"/>
      <c r="E81" s="1575"/>
      <c r="F81" s="1575"/>
      <c r="G81" s="1575"/>
      <c r="H81" s="1575"/>
      <c r="I81" s="1575"/>
      <c r="J81" s="1575"/>
      <c r="K81" s="1575"/>
    </row>
    <row r="82" spans="1:11" ht="12.75" customHeight="1" thickBot="1" x14ac:dyDescent="0.25">
      <c r="A82" s="1406" t="s">
        <v>239</v>
      </c>
      <c r="B82" s="1407"/>
      <c r="C82" s="1633">
        <f>SUM(C77:C81)</f>
        <v>135675</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68543</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v>207</v>
      </c>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68750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20138</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15840</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11395</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1525930</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2040</v>
      </c>
      <c r="D107" s="1573"/>
      <c r="E107" s="1573"/>
      <c r="F107" s="1573">
        <v>5500</v>
      </c>
      <c r="G107" s="1573"/>
      <c r="H107" s="1573"/>
      <c r="I107" s="1573"/>
      <c r="J107" s="1574"/>
      <c r="K107" s="1573"/>
    </row>
    <row r="108" spans="1:12" ht="12.75" customHeight="1" thickBot="1" x14ac:dyDescent="0.25">
      <c r="A108" s="1406" t="s">
        <v>484</v>
      </c>
      <c r="B108" s="1408"/>
      <c r="C108" s="1633">
        <f>SUM(C95:C107)</f>
        <v>49413</v>
      </c>
      <c r="D108" s="1633">
        <f t="shared" ref="D108:K108" si="3">SUM(D95:D107)</f>
        <v>0</v>
      </c>
      <c r="E108" s="1633">
        <f t="shared" si="3"/>
        <v>0</v>
      </c>
      <c r="F108" s="1633">
        <f t="shared" si="3"/>
        <v>5500</v>
      </c>
      <c r="G108" s="1633">
        <f t="shared" si="3"/>
        <v>0</v>
      </c>
      <c r="H108" s="1633">
        <f t="shared" si="3"/>
        <v>1525930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5256150</v>
      </c>
      <c r="D109" s="1641">
        <f t="shared" si="4"/>
        <v>1093928</v>
      </c>
      <c r="E109" s="1641">
        <f t="shared" si="4"/>
        <v>1156485</v>
      </c>
      <c r="F109" s="1641">
        <f t="shared" si="4"/>
        <v>545998</v>
      </c>
      <c r="G109" s="1641">
        <f t="shared" si="4"/>
        <v>504452</v>
      </c>
      <c r="H109" s="1641">
        <f t="shared" si="4"/>
        <v>1548629</v>
      </c>
      <c r="I109" s="1641">
        <f t="shared" si="4"/>
        <v>34734</v>
      </c>
      <c r="J109" s="1641">
        <f t="shared" si="4"/>
        <v>585177</v>
      </c>
      <c r="K109" s="1629">
        <f t="shared" si="4"/>
        <v>4540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9166381</v>
      </c>
      <c r="D117" s="1586">
        <v>400000</v>
      </c>
      <c r="E117" s="1573"/>
      <c r="F117" s="1586">
        <v>135000</v>
      </c>
      <c r="G117" s="1586"/>
      <c r="H117" s="1573"/>
      <c r="I117" s="1575"/>
      <c r="J117" s="1574"/>
      <c r="K117" s="1573"/>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c r="D119" s="1573"/>
      <c r="E119" s="1573"/>
      <c r="F119" s="1573"/>
      <c r="G119" s="1573"/>
      <c r="H119" s="1573"/>
      <c r="I119" s="1575"/>
      <c r="J119" s="1574"/>
      <c r="K119" s="1573"/>
    </row>
    <row r="120" spans="1:11" ht="12.75" customHeight="1" x14ac:dyDescent="0.2">
      <c r="A120" s="1539" t="s">
        <v>1894</v>
      </c>
      <c r="B120" s="478">
        <v>3030</v>
      </c>
      <c r="C120" s="1632"/>
      <c r="D120" s="1573"/>
      <c r="E120" s="1573"/>
      <c r="F120" s="1573"/>
      <c r="G120" s="1573"/>
      <c r="H120" s="1573"/>
      <c r="I120" s="1575"/>
      <c r="J120" s="1574"/>
      <c r="K120" s="1573"/>
    </row>
    <row r="121" spans="1:11" x14ac:dyDescent="0.2">
      <c r="A121" s="1266" t="s">
        <v>1777</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9166381</v>
      </c>
      <c r="D122" s="1633">
        <f t="shared" si="5"/>
        <v>400000</v>
      </c>
      <c r="E122" s="1633">
        <f t="shared" si="5"/>
        <v>0</v>
      </c>
      <c r="F122" s="1633">
        <f t="shared" si="5"/>
        <v>135000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23758</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23758</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5038</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18943</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206559</v>
      </c>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206559</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38939</v>
      </c>
      <c r="E167" s="1617"/>
      <c r="F167" s="1617"/>
      <c r="G167" s="1575"/>
      <c r="H167" s="1627"/>
      <c r="I167" s="1575"/>
      <c r="J167" s="1575"/>
      <c r="K167" s="1626"/>
    </row>
    <row r="168" spans="1:11" ht="14.25" thickTop="1" thickBot="1" x14ac:dyDescent="0.25">
      <c r="A168" s="1270" t="s">
        <v>70</v>
      </c>
      <c r="B168" s="484">
        <v>3999</v>
      </c>
      <c r="C168" s="1654">
        <v>1000</v>
      </c>
      <c r="D168" s="1655"/>
      <c r="E168" s="1655"/>
      <c r="F168" s="1655"/>
      <c r="G168" s="1656"/>
      <c r="H168" s="1657"/>
      <c r="I168" s="1656"/>
      <c r="J168" s="1656"/>
      <c r="K168" s="1657"/>
    </row>
    <row r="169" spans="1:11" ht="12.75" customHeight="1" thickTop="1" thickBot="1" x14ac:dyDescent="0.25">
      <c r="A169" s="2258" t="s">
        <v>395</v>
      </c>
      <c r="B169" s="2259"/>
      <c r="C169" s="1658">
        <f t="shared" ref="C169:K169" si="6">SUM(C132,C141,C145,C146:C150,C155,C156:C167,C168)</f>
        <v>48739</v>
      </c>
      <c r="D169" s="1658">
        <f t="shared" si="6"/>
        <v>38939</v>
      </c>
      <c r="E169" s="1658">
        <f t="shared" si="6"/>
        <v>0</v>
      </c>
      <c r="F169" s="1658">
        <f t="shared" si="6"/>
        <v>206559</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9215120</v>
      </c>
      <c r="D170" s="1641">
        <f t="shared" si="7"/>
        <v>438939</v>
      </c>
      <c r="E170" s="1641">
        <f t="shared" si="7"/>
        <v>0</v>
      </c>
      <c r="F170" s="1641">
        <f t="shared" si="7"/>
        <v>341559</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0" t="s">
        <v>1475</v>
      </c>
      <c r="B172" s="2261"/>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4" t="s">
        <v>1646</v>
      </c>
      <c r="B175" s="226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8" t="s">
        <v>1645</v>
      </c>
      <c r="B176" s="2269"/>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6" t="s">
        <v>780</v>
      </c>
      <c r="B181" s="226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2" t="s">
        <v>1779</v>
      </c>
      <c r="B182" s="2263"/>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280978</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90163</v>
      </c>
      <c r="D193" s="1575"/>
      <c r="E193" s="1640"/>
      <c r="F193" s="1575"/>
      <c r="G193" s="1664"/>
      <c r="H193" s="1575"/>
      <c r="I193" s="1575"/>
      <c r="J193" s="1575"/>
      <c r="K193" s="1575"/>
    </row>
    <row r="194" spans="1:11" ht="12.75" customHeight="1" x14ac:dyDescent="0.2">
      <c r="A194" s="427" t="s">
        <v>1434</v>
      </c>
      <c r="B194" s="429">
        <v>4225</v>
      </c>
      <c r="C194" s="1632">
        <v>148736</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519877</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688613</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688613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v>4585</v>
      </c>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4585</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88690</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1895</v>
      </c>
      <c r="B261" s="429">
        <v>4981</v>
      </c>
      <c r="C261" s="1650"/>
      <c r="D261" s="1651"/>
      <c r="E261" s="1575"/>
      <c r="F261" s="1651"/>
      <c r="G261" s="1651"/>
      <c r="H261" s="1575"/>
      <c r="I261" s="1575"/>
      <c r="J261" s="1575"/>
      <c r="K261" s="1575"/>
    </row>
    <row r="262" spans="1:11" ht="12.75" customHeight="1" thickTop="1" thickBot="1" x14ac:dyDescent="0.25">
      <c r="A262" s="1540" t="s">
        <v>1896</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20576</v>
      </c>
      <c r="D263" s="1651"/>
      <c r="E263" s="1575"/>
      <c r="F263" s="1651"/>
      <c r="G263" s="1651"/>
      <c r="H263" s="1575"/>
      <c r="I263" s="1575"/>
      <c r="J263" s="1575"/>
      <c r="K263" s="1575"/>
    </row>
    <row r="264" spans="1:11" ht="12.75" customHeight="1" thickTop="1" thickBot="1" x14ac:dyDescent="0.25">
      <c r="A264" s="427" t="s">
        <v>374</v>
      </c>
      <c r="B264" s="429">
        <v>4992</v>
      </c>
      <c r="C264" s="1650">
        <v>1768</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1324109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1324109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15795379</v>
      </c>
      <c r="D268" s="1641">
        <f t="shared" si="12"/>
        <v>1532867</v>
      </c>
      <c r="E268" s="1641">
        <f t="shared" si="12"/>
        <v>1156485</v>
      </c>
      <c r="F268" s="1641">
        <f t="shared" si="12"/>
        <v>887557</v>
      </c>
      <c r="G268" s="1641">
        <f t="shared" si="12"/>
        <v>504452</v>
      </c>
      <c r="H268" s="1641">
        <f t="shared" si="12"/>
        <v>1548629</v>
      </c>
      <c r="I268" s="1641">
        <f t="shared" si="12"/>
        <v>34734</v>
      </c>
      <c r="J268" s="1641">
        <f t="shared" si="12"/>
        <v>585177</v>
      </c>
      <c r="K268" s="1629">
        <f t="shared" si="12"/>
        <v>4540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fitToHeight="0"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view="pageBreakPreview" colorId="8" zoomScale="60" zoomScaleNormal="110" workbookViewId="0">
      <pane ySplit="2" topLeftCell="A42" activePane="bottomLeft" state="frozen"/>
      <selection activeCell="H35" sqref="H35"/>
      <selection pane="bottomLeft" activeCell="D45" sqref="D4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8" t="s">
        <v>1778</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8" t="s">
        <v>294</v>
      </c>
      <c r="B3" s="227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5628423</v>
      </c>
      <c r="D5" s="1573">
        <v>1664279</v>
      </c>
      <c r="E5" s="1573">
        <v>115838</v>
      </c>
      <c r="F5" s="1573">
        <v>345765</v>
      </c>
      <c r="G5" s="1573">
        <v>48756</v>
      </c>
      <c r="H5" s="1573">
        <v>9909</v>
      </c>
      <c r="I5" s="1574"/>
      <c r="J5" s="1574"/>
      <c r="K5" s="1672">
        <f>SUM(C5:J5)</f>
        <v>7812970</v>
      </c>
      <c r="L5" s="1573">
        <v>7853831</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435695</v>
      </c>
      <c r="D10" s="1573">
        <v>174028</v>
      </c>
      <c r="E10" s="1573"/>
      <c r="F10" s="1573">
        <v>16838</v>
      </c>
      <c r="G10" s="1573"/>
      <c r="H10" s="1573"/>
      <c r="I10" s="1574"/>
      <c r="J10" s="1574"/>
      <c r="K10" s="1672">
        <f t="shared" si="0"/>
        <v>626561</v>
      </c>
      <c r="L10" s="1573">
        <v>708835</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225644</v>
      </c>
      <c r="D13" s="1573">
        <v>70557</v>
      </c>
      <c r="E13" s="1573"/>
      <c r="F13" s="1573">
        <v>5005</v>
      </c>
      <c r="G13" s="1573"/>
      <c r="H13" s="1573"/>
      <c r="I13" s="1574"/>
      <c r="J13" s="1574"/>
      <c r="K13" s="1672">
        <f t="shared" si="0"/>
        <v>301206</v>
      </c>
      <c r="L13" s="1573">
        <v>302860</v>
      </c>
    </row>
    <row r="14" spans="1:14" x14ac:dyDescent="0.2">
      <c r="A14" s="1274" t="s">
        <v>957</v>
      </c>
      <c r="B14" s="503">
        <v>1500</v>
      </c>
      <c r="C14" s="1573">
        <v>231946</v>
      </c>
      <c r="D14" s="1573">
        <v>105</v>
      </c>
      <c r="E14" s="1573">
        <v>46486</v>
      </c>
      <c r="F14" s="1573">
        <v>41846</v>
      </c>
      <c r="G14" s="1573">
        <v>3656</v>
      </c>
      <c r="H14" s="1573">
        <v>12671</v>
      </c>
      <c r="I14" s="1574"/>
      <c r="J14" s="1574"/>
      <c r="K14" s="1672">
        <f t="shared" si="0"/>
        <v>336710</v>
      </c>
      <c r="L14" s="1573">
        <v>339000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110628</v>
      </c>
      <c r="D17" s="1574">
        <v>33125</v>
      </c>
      <c r="E17" s="1574">
        <v>13942</v>
      </c>
      <c r="F17" s="1574">
        <v>1987</v>
      </c>
      <c r="G17" s="1574"/>
      <c r="H17" s="1574">
        <v>21</v>
      </c>
      <c r="I17" s="1574"/>
      <c r="J17" s="1574"/>
      <c r="K17" s="1672">
        <f t="shared" si="0"/>
        <v>159703</v>
      </c>
      <c r="L17" s="1573">
        <v>161200</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6632336</v>
      </c>
      <c r="D33" s="1674">
        <f t="shared" ref="D33:L33" si="1">SUM(D5:D32)</f>
        <v>1942094</v>
      </c>
      <c r="E33" s="1674">
        <f t="shared" si="1"/>
        <v>176266</v>
      </c>
      <c r="F33" s="1674">
        <f t="shared" si="1"/>
        <v>411441</v>
      </c>
      <c r="G33" s="1674">
        <f t="shared" si="1"/>
        <v>52412</v>
      </c>
      <c r="H33" s="1674">
        <f t="shared" si="1"/>
        <v>22601</v>
      </c>
      <c r="I33" s="1674">
        <f t="shared" si="1"/>
        <v>0</v>
      </c>
      <c r="J33" s="1674">
        <f t="shared" si="1"/>
        <v>0</v>
      </c>
      <c r="K33" s="1674">
        <f t="shared" si="1"/>
        <v>9237150</v>
      </c>
      <c r="L33" s="1674">
        <f t="shared" si="1"/>
        <v>9365726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458160</v>
      </c>
      <c r="D37" s="1573">
        <v>126067</v>
      </c>
      <c r="E37" s="1573"/>
      <c r="F37" s="1573">
        <v>5509</v>
      </c>
      <c r="G37" s="1573"/>
      <c r="H37" s="1573">
        <v>525</v>
      </c>
      <c r="I37" s="1574"/>
      <c r="J37" s="1574"/>
      <c r="K37" s="1672">
        <f t="shared" si="2"/>
        <v>590261</v>
      </c>
      <c r="L37" s="1573">
        <v>593627</v>
      </c>
    </row>
    <row r="38" spans="1:14" x14ac:dyDescent="0.2">
      <c r="A38" s="1274" t="s">
        <v>196</v>
      </c>
      <c r="B38" s="503">
        <v>2130</v>
      </c>
      <c r="C38" s="1573">
        <v>140724</v>
      </c>
      <c r="D38" s="1573">
        <v>38550</v>
      </c>
      <c r="E38" s="1573">
        <v>276</v>
      </c>
      <c r="F38" s="1573">
        <v>5027</v>
      </c>
      <c r="G38" s="1573"/>
      <c r="H38" s="1573">
        <v>426</v>
      </c>
      <c r="I38" s="1574"/>
      <c r="J38" s="1574"/>
      <c r="K38" s="1672">
        <f t="shared" si="2"/>
        <v>185003</v>
      </c>
      <c r="L38" s="1573">
        <v>192506</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v>1500</v>
      </c>
      <c r="I41" s="1574"/>
      <c r="J41" s="1574"/>
      <c r="K41" s="1672">
        <f t="shared" si="2"/>
        <v>1500</v>
      </c>
      <c r="L41" s="1573">
        <v>1500</v>
      </c>
    </row>
    <row r="42" spans="1:14" ht="12.75" customHeight="1" thickBot="1" x14ac:dyDescent="0.25">
      <c r="A42" s="1380" t="s">
        <v>556</v>
      </c>
      <c r="B42" s="1381" t="s">
        <v>711</v>
      </c>
      <c r="C42" s="1674">
        <f>SUM(C36:C41)</f>
        <v>598884</v>
      </c>
      <c r="D42" s="1674">
        <f t="shared" ref="D42:L42" si="3">SUM(D36:D41)</f>
        <v>164617</v>
      </c>
      <c r="E42" s="1674">
        <f t="shared" si="3"/>
        <v>276</v>
      </c>
      <c r="F42" s="1674">
        <f t="shared" si="3"/>
        <v>10536</v>
      </c>
      <c r="G42" s="1674">
        <f t="shared" si="3"/>
        <v>0</v>
      </c>
      <c r="H42" s="1674">
        <f t="shared" si="3"/>
        <v>2451</v>
      </c>
      <c r="I42" s="1674">
        <f t="shared" si="3"/>
        <v>0</v>
      </c>
      <c r="J42" s="1674">
        <f t="shared" si="3"/>
        <v>0</v>
      </c>
      <c r="K42" s="1674">
        <f t="shared" si="3"/>
        <v>776764</v>
      </c>
      <c r="L42" s="1674">
        <f t="shared" si="3"/>
        <v>787633</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24312</v>
      </c>
      <c r="F44" s="1586"/>
      <c r="G44" s="1586"/>
      <c r="H44" s="1586"/>
      <c r="I44" s="1574"/>
      <c r="J44" s="1574"/>
      <c r="K44" s="1678">
        <f>SUM(C44:J44)</f>
        <v>24312</v>
      </c>
      <c r="L44" s="1586">
        <v>39142</v>
      </c>
    </row>
    <row r="45" spans="1:14" x14ac:dyDescent="0.2">
      <c r="A45" s="1274" t="s">
        <v>810</v>
      </c>
      <c r="B45" s="503">
        <v>2220</v>
      </c>
      <c r="C45" s="1573">
        <v>92510</v>
      </c>
      <c r="D45" s="1573">
        <v>42685</v>
      </c>
      <c r="E45" s="1573">
        <v>162</v>
      </c>
      <c r="F45" s="1573">
        <v>11523</v>
      </c>
      <c r="G45" s="1573"/>
      <c r="H45" s="1573"/>
      <c r="I45" s="1574"/>
      <c r="J45" s="1574"/>
      <c r="K45" s="1678">
        <f>SUM(C45:J45)</f>
        <v>146880</v>
      </c>
      <c r="L45" s="1573">
        <v>152799</v>
      </c>
    </row>
    <row r="46" spans="1:14" x14ac:dyDescent="0.2">
      <c r="A46" s="1274" t="s">
        <v>811</v>
      </c>
      <c r="B46" s="503">
        <v>2230</v>
      </c>
      <c r="C46" s="1573"/>
      <c r="D46" s="1573"/>
      <c r="E46" s="1573">
        <v>18295</v>
      </c>
      <c r="F46" s="1573"/>
      <c r="G46" s="1573"/>
      <c r="H46" s="1573"/>
      <c r="I46" s="1574"/>
      <c r="J46" s="1574"/>
      <c r="K46" s="1678">
        <f>SUM(C46:J46)</f>
        <v>18295</v>
      </c>
      <c r="L46" s="1573">
        <v>18281</v>
      </c>
    </row>
    <row r="47" spans="1:14" ht="12.75" customHeight="1" thickBot="1" x14ac:dyDescent="0.25">
      <c r="A47" s="1380" t="s">
        <v>557</v>
      </c>
      <c r="B47" s="1381" t="s">
        <v>32</v>
      </c>
      <c r="C47" s="1674">
        <f>SUM(C44:C46)</f>
        <v>92510</v>
      </c>
      <c r="D47" s="1674">
        <f t="shared" ref="D47:K47" si="4">SUM(D44:D46)</f>
        <v>42685</v>
      </c>
      <c r="E47" s="1674">
        <f t="shared" si="4"/>
        <v>42769</v>
      </c>
      <c r="F47" s="1674">
        <f t="shared" si="4"/>
        <v>11523</v>
      </c>
      <c r="G47" s="1674">
        <f t="shared" si="4"/>
        <v>0</v>
      </c>
      <c r="H47" s="1674">
        <f t="shared" si="4"/>
        <v>0</v>
      </c>
      <c r="I47" s="1674">
        <f t="shared" si="4"/>
        <v>0</v>
      </c>
      <c r="J47" s="1674">
        <f t="shared" si="4"/>
        <v>0</v>
      </c>
      <c r="K47" s="1674">
        <f t="shared" si="4"/>
        <v>189487</v>
      </c>
      <c r="L47" s="1674">
        <f>SUM(L44:L46)</f>
        <v>210222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4965</v>
      </c>
      <c r="D49" s="1586">
        <v>36318</v>
      </c>
      <c r="E49" s="1586">
        <v>104260</v>
      </c>
      <c r="F49" s="1586">
        <v>2452</v>
      </c>
      <c r="G49" s="1586"/>
      <c r="H49" s="1586">
        <v>8617</v>
      </c>
      <c r="I49" s="1574"/>
      <c r="J49" s="1574"/>
      <c r="K49" s="1678">
        <f>SUM(C49:J49)</f>
        <v>156612</v>
      </c>
      <c r="L49" s="1586">
        <v>154600</v>
      </c>
    </row>
    <row r="50" spans="1:14" x14ac:dyDescent="0.2">
      <c r="A50" s="1274" t="s">
        <v>813</v>
      </c>
      <c r="B50" s="503">
        <v>2320</v>
      </c>
      <c r="C50" s="1573">
        <v>221132</v>
      </c>
      <c r="D50" s="1573">
        <v>44851</v>
      </c>
      <c r="E50" s="1573">
        <v>24738</v>
      </c>
      <c r="F50" s="1573">
        <v>10435</v>
      </c>
      <c r="G50" s="1573">
        <v>1764</v>
      </c>
      <c r="H50" s="1573">
        <v>8945</v>
      </c>
      <c r="I50" s="1574"/>
      <c r="J50" s="1574"/>
      <c r="K50" s="1678">
        <f>SUM(C50:J50)</f>
        <v>311865</v>
      </c>
      <c r="L50" s="1573">
        <v>311903</v>
      </c>
    </row>
    <row r="51" spans="1:14" x14ac:dyDescent="0.2">
      <c r="A51" s="1274" t="s">
        <v>42</v>
      </c>
      <c r="B51" s="503">
        <v>2330</v>
      </c>
      <c r="C51" s="1573">
        <v>118125</v>
      </c>
      <c r="D51" s="1573">
        <v>26078</v>
      </c>
      <c r="E51" s="1573">
        <v>75</v>
      </c>
      <c r="F51" s="1573">
        <v>231</v>
      </c>
      <c r="G51" s="1573">
        <v>553</v>
      </c>
      <c r="H51" s="1573"/>
      <c r="I51" s="1574"/>
      <c r="J51" s="1574"/>
      <c r="K51" s="1678">
        <f>SUM(C51:J51)</f>
        <v>145062</v>
      </c>
      <c r="L51" s="1573">
        <v>145086</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344222</v>
      </c>
      <c r="D53" s="1674">
        <f t="shared" ref="D53:L53" si="5">SUM(D49:D52)</f>
        <v>107247</v>
      </c>
      <c r="E53" s="1674">
        <f t="shared" si="5"/>
        <v>129073</v>
      </c>
      <c r="F53" s="1674">
        <f t="shared" si="5"/>
        <v>13118</v>
      </c>
      <c r="G53" s="1674">
        <f t="shared" si="5"/>
        <v>2317</v>
      </c>
      <c r="H53" s="1674">
        <f t="shared" si="5"/>
        <v>17562</v>
      </c>
      <c r="I53" s="1674">
        <f t="shared" si="5"/>
        <v>0</v>
      </c>
      <c r="J53" s="1674">
        <f t="shared" si="5"/>
        <v>0</v>
      </c>
      <c r="K53" s="1674">
        <f t="shared" si="5"/>
        <v>613539</v>
      </c>
      <c r="L53" s="1674">
        <f t="shared" si="5"/>
        <v>611589</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960315</v>
      </c>
      <c r="D55" s="1586">
        <v>248746</v>
      </c>
      <c r="E55" s="1586">
        <v>17230</v>
      </c>
      <c r="F55" s="1586">
        <v>11054</v>
      </c>
      <c r="G55" s="1586">
        <v>4424</v>
      </c>
      <c r="H55" s="1586">
        <f>5282+13</f>
        <v>5295</v>
      </c>
      <c r="I55" s="1574"/>
      <c r="J55" s="1574"/>
      <c r="K55" s="1678">
        <f>SUM(C55:J55)</f>
        <v>1247064</v>
      </c>
      <c r="L55" s="1586">
        <v>1250988</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960315</v>
      </c>
      <c r="D57" s="1679">
        <f t="shared" ref="D57:K57" si="6">SUM(D55:D56)</f>
        <v>248746</v>
      </c>
      <c r="E57" s="1679">
        <f t="shared" si="6"/>
        <v>17230</v>
      </c>
      <c r="F57" s="1679">
        <f t="shared" si="6"/>
        <v>11054</v>
      </c>
      <c r="G57" s="1679">
        <f t="shared" si="6"/>
        <v>4424</v>
      </c>
      <c r="H57" s="1679">
        <f t="shared" si="6"/>
        <v>5295</v>
      </c>
      <c r="I57" s="1679">
        <f t="shared" si="6"/>
        <v>0</v>
      </c>
      <c r="J57" s="1679">
        <f t="shared" si="6"/>
        <v>0</v>
      </c>
      <c r="K57" s="1679">
        <f t="shared" si="6"/>
        <v>1247064</v>
      </c>
      <c r="L57" s="1674">
        <f>SUM(L55:L56)</f>
        <v>1250988</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69093</v>
      </c>
      <c r="D59" s="1586">
        <v>11164</v>
      </c>
      <c r="E59" s="1586"/>
      <c r="F59" s="1586"/>
      <c r="G59" s="1586"/>
      <c r="H59" s="1586"/>
      <c r="I59" s="1574"/>
      <c r="J59" s="1574"/>
      <c r="K59" s="1678">
        <f t="shared" ref="K59:K64" si="7">SUM(C59:J59)</f>
        <v>80257</v>
      </c>
      <c r="L59" s="1586">
        <v>80261</v>
      </c>
      <c r="M59" s="501"/>
      <c r="N59" s="501"/>
    </row>
    <row r="60" spans="1:14" s="321" customFormat="1" x14ac:dyDescent="0.2">
      <c r="A60" s="1274" t="s">
        <v>460</v>
      </c>
      <c r="B60" s="503">
        <v>2520</v>
      </c>
      <c r="C60" s="1573">
        <v>45779</v>
      </c>
      <c r="D60" s="1573">
        <v>11164</v>
      </c>
      <c r="E60" s="1573"/>
      <c r="F60" s="1573"/>
      <c r="G60" s="1573">
        <v>1251941</v>
      </c>
      <c r="H60" s="1573"/>
      <c r="I60" s="1574"/>
      <c r="J60" s="1574"/>
      <c r="K60" s="1678">
        <f t="shared" si="7"/>
        <v>1308884</v>
      </c>
      <c r="L60" s="1573">
        <v>1309109</v>
      </c>
      <c r="M60" s="501"/>
      <c r="N60" s="501"/>
    </row>
    <row r="61" spans="1:14" s="321" customFormat="1" x14ac:dyDescent="0.2">
      <c r="A61" s="1274" t="s">
        <v>195</v>
      </c>
      <c r="B61" s="503">
        <v>2540</v>
      </c>
      <c r="C61" s="1573"/>
      <c r="D61" s="1573"/>
      <c r="E61" s="1573">
        <v>14343</v>
      </c>
      <c r="F61" s="1573">
        <v>359778</v>
      </c>
      <c r="G61" s="1573"/>
      <c r="H61" s="1573"/>
      <c r="I61" s="1574"/>
      <c r="J61" s="1574"/>
      <c r="K61" s="1678">
        <f t="shared" si="7"/>
        <v>374121</v>
      </c>
      <c r="L61" s="1573">
        <v>375970</v>
      </c>
      <c r="M61" s="501"/>
      <c r="N61" s="501"/>
    </row>
    <row r="62" spans="1:14" s="321" customFormat="1" x14ac:dyDescent="0.2">
      <c r="A62" s="1274" t="s">
        <v>947</v>
      </c>
      <c r="B62" s="503">
        <v>2550</v>
      </c>
      <c r="C62" s="1573"/>
      <c r="D62" s="1573"/>
      <c r="E62" s="1573">
        <v>135</v>
      </c>
      <c r="F62" s="1573">
        <v>546</v>
      </c>
      <c r="G62" s="1573"/>
      <c r="H62" s="1573"/>
      <c r="I62" s="1574"/>
      <c r="J62" s="1574"/>
      <c r="K62" s="1678">
        <f t="shared" si="7"/>
        <v>681</v>
      </c>
      <c r="L62" s="1573">
        <v>2500</v>
      </c>
      <c r="M62" s="501"/>
      <c r="N62" s="501"/>
    </row>
    <row r="63" spans="1:14" s="501" customFormat="1" x14ac:dyDescent="0.2">
      <c r="A63" s="1274" t="s">
        <v>100</v>
      </c>
      <c r="B63" s="503">
        <v>2560</v>
      </c>
      <c r="C63" s="1573">
        <v>331445</v>
      </c>
      <c r="D63" s="1573">
        <v>93560</v>
      </c>
      <c r="E63" s="1573">
        <v>14010</v>
      </c>
      <c r="F63" s="1573">
        <v>513631</v>
      </c>
      <c r="G63" s="1573">
        <v>39502</v>
      </c>
      <c r="H63" s="1573">
        <v>561</v>
      </c>
      <c r="I63" s="1574"/>
      <c r="J63" s="1574"/>
      <c r="K63" s="1678">
        <f t="shared" si="7"/>
        <v>992709</v>
      </c>
      <c r="L63" s="1573">
        <v>1004341</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446317</v>
      </c>
      <c r="D65" s="1674">
        <f t="shared" ref="D65:L65" si="8">SUM(D59:D64)</f>
        <v>115888</v>
      </c>
      <c r="E65" s="1674">
        <f t="shared" si="8"/>
        <v>28488</v>
      </c>
      <c r="F65" s="1674">
        <f t="shared" si="8"/>
        <v>873955</v>
      </c>
      <c r="G65" s="1674">
        <f t="shared" si="8"/>
        <v>1291443</v>
      </c>
      <c r="H65" s="1674">
        <f t="shared" si="8"/>
        <v>561</v>
      </c>
      <c r="I65" s="1674">
        <f t="shared" si="8"/>
        <v>0</v>
      </c>
      <c r="J65" s="1674">
        <f t="shared" si="8"/>
        <v>0</v>
      </c>
      <c r="K65" s="1674">
        <f t="shared" si="8"/>
        <v>2756652</v>
      </c>
      <c r="L65" s="1674">
        <f t="shared" si="8"/>
        <v>2772181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2442248</v>
      </c>
      <c r="D74" s="1681">
        <f t="shared" ref="D74:K74" si="10">SUM(D42,D47,D53,D57,D65,D72,D73)</f>
        <v>679183</v>
      </c>
      <c r="E74" s="1681">
        <f t="shared" si="10"/>
        <v>217836</v>
      </c>
      <c r="F74" s="1681">
        <f t="shared" si="10"/>
        <v>920186</v>
      </c>
      <c r="G74" s="1681">
        <f t="shared" si="10"/>
        <v>1298184</v>
      </c>
      <c r="H74" s="1681">
        <f t="shared" si="10"/>
        <v>25869</v>
      </c>
      <c r="I74" s="1681">
        <f t="shared" si="10"/>
        <v>0</v>
      </c>
      <c r="J74" s="1681">
        <f t="shared" si="10"/>
        <v>0</v>
      </c>
      <c r="K74" s="1681">
        <f t="shared" si="10"/>
        <v>5583506</v>
      </c>
      <c r="L74" s="1681">
        <f>SUM(L42,L47,L53,L57,L65,L72,L73)</f>
        <v>5632613</v>
      </c>
    </row>
    <row r="75" spans="1:14" s="254" customFormat="1" ht="15.75" customHeight="1" thickTop="1" thickBot="1" x14ac:dyDescent="0.25">
      <c r="A75" s="1348" t="s">
        <v>47</v>
      </c>
      <c r="B75" s="1349" t="s">
        <v>571</v>
      </c>
      <c r="C75" s="1649"/>
      <c r="D75" s="1649"/>
      <c r="E75" s="1649">
        <v>27824</v>
      </c>
      <c r="F75" s="1649">
        <v>1632</v>
      </c>
      <c r="G75" s="1649"/>
      <c r="H75" s="1649"/>
      <c r="I75" s="1627"/>
      <c r="J75" s="1627"/>
      <c r="K75" s="1674">
        <f>SUM(C75:J75)</f>
        <v>29456</v>
      </c>
      <c r="L75" s="1651">
        <v>39000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1773805</v>
      </c>
      <c r="I79" s="1582"/>
      <c r="J79" s="1582"/>
      <c r="K79" s="1672">
        <f t="shared" si="11"/>
        <v>1773805</v>
      </c>
      <c r="L79" s="1573">
        <v>1771610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1773805</v>
      </c>
      <c r="I84" s="1582"/>
      <c r="J84" s="1582"/>
      <c r="K84" s="1674">
        <f>SUM(K78:K83)</f>
        <v>1773805</v>
      </c>
      <c r="L84" s="1674">
        <f>SUM(L78:L83)</f>
        <v>1771610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1773805</v>
      </c>
      <c r="I102" s="1582"/>
      <c r="J102" s="1582"/>
      <c r="K102" s="1681">
        <f>SUM(K84,K92,K100,K101)</f>
        <v>1773805</v>
      </c>
      <c r="L102" s="1681">
        <f>SUM(L84,L92,L100,L101)</f>
        <v>1771610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10805</v>
      </c>
      <c r="I111" s="1575"/>
      <c r="J111" s="1575"/>
      <c r="K111" s="1688">
        <f>H111</f>
        <v>10805</v>
      </c>
      <c r="L111" s="1628">
        <v>10900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10805</v>
      </c>
      <c r="I112" s="1575"/>
      <c r="J112" s="1575"/>
      <c r="K112" s="1674">
        <f>SUM(K110:K111)</f>
        <v>10805</v>
      </c>
      <c r="L112" s="1681">
        <f>SUM(L110,L111)</f>
        <v>10900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9074584</v>
      </c>
      <c r="D114" s="1674">
        <f t="shared" ref="D114:K114" si="13">SUM(D33,D74,D75,D102,D112,D113)</f>
        <v>2621277</v>
      </c>
      <c r="E114" s="1674">
        <f t="shared" si="13"/>
        <v>421926</v>
      </c>
      <c r="F114" s="1674">
        <f t="shared" si="13"/>
        <v>1333259</v>
      </c>
      <c r="G114" s="1674">
        <f t="shared" si="13"/>
        <v>1350596</v>
      </c>
      <c r="H114" s="1674">
        <f>SUM(H33,H74,H75,H102,H112,H113)</f>
        <v>1833080</v>
      </c>
      <c r="I114" s="1674">
        <f t="shared" si="13"/>
        <v>0</v>
      </c>
      <c r="J114" s="1674">
        <f t="shared" si="13"/>
        <v>0</v>
      </c>
      <c r="K114" s="1674">
        <f t="shared" si="13"/>
        <v>16634722</v>
      </c>
      <c r="L114" s="1674">
        <f>SUM(L33,L74,L75,L102,L112,L113)</f>
        <v>16819849</v>
      </c>
    </row>
    <row r="115" spans="1:14" ht="13.5" thickTop="1" x14ac:dyDescent="0.2">
      <c r="A115" s="2270" t="s">
        <v>989</v>
      </c>
      <c r="B115" s="2271"/>
      <c r="C115" s="1675"/>
      <c r="D115" s="1675"/>
      <c r="E115" s="1675"/>
      <c r="F115" s="1675"/>
      <c r="G115" s="1675"/>
      <c r="H115" s="1675"/>
      <c r="I115" s="1675"/>
      <c r="J115" s="1675"/>
      <c r="K115" s="1689">
        <f>'Revenues 9-14'!C268-'Expenditures 15-22'!K114</f>
        <v>-839343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5" t="s">
        <v>293</v>
      </c>
      <c r="B117" s="227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1962</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v>67735</v>
      </c>
      <c r="F123" s="1573"/>
      <c r="G123" s="1573"/>
      <c r="H123" s="1573"/>
      <c r="I123" s="1574"/>
      <c r="J123" s="1574"/>
      <c r="K123" s="1674">
        <f>SUM(C123:J123)</f>
        <v>67735</v>
      </c>
      <c r="L123" s="1573">
        <v>68500</v>
      </c>
    </row>
    <row r="124" spans="1:14" ht="14.25" thickTop="1" thickBot="1" x14ac:dyDescent="0.25">
      <c r="A124" s="1274" t="s">
        <v>195</v>
      </c>
      <c r="B124" s="503">
        <v>2540</v>
      </c>
      <c r="C124" s="1573">
        <v>609355</v>
      </c>
      <c r="D124" s="1573">
        <v>190940</v>
      </c>
      <c r="E124" s="1573">
        <v>399953</v>
      </c>
      <c r="F124" s="1573">
        <v>137934</v>
      </c>
      <c r="G124" s="1573">
        <v>596866</v>
      </c>
      <c r="H124" s="1573">
        <v>1539</v>
      </c>
      <c r="I124" s="1574"/>
      <c r="J124" s="1574"/>
      <c r="K124" s="1674">
        <f>SUM(C124:J124)</f>
        <v>1936587</v>
      </c>
      <c r="L124" s="1573">
        <v>1960419</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609355</v>
      </c>
      <c r="D127" s="1674">
        <f t="shared" ref="D127:L127" si="14">SUM(D122:D126)</f>
        <v>190940</v>
      </c>
      <c r="E127" s="1674">
        <f t="shared" si="14"/>
        <v>467688</v>
      </c>
      <c r="F127" s="1674">
        <f t="shared" si="14"/>
        <v>137934</v>
      </c>
      <c r="G127" s="1674">
        <f t="shared" si="14"/>
        <v>596866</v>
      </c>
      <c r="H127" s="1674">
        <f t="shared" si="14"/>
        <v>1539</v>
      </c>
      <c r="I127" s="1674">
        <f t="shared" si="14"/>
        <v>0</v>
      </c>
      <c r="J127" s="1674">
        <f t="shared" si="14"/>
        <v>0</v>
      </c>
      <c r="K127" s="1674">
        <f t="shared" si="14"/>
        <v>2004322</v>
      </c>
      <c r="L127" s="1674">
        <f t="shared" si="14"/>
        <v>2028919</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609355</v>
      </c>
      <c r="D129" s="1681">
        <f t="shared" ref="D129:L129" si="15">SUM(D120,D127,D128)</f>
        <v>190940</v>
      </c>
      <c r="E129" s="1681">
        <f t="shared" si="15"/>
        <v>467688</v>
      </c>
      <c r="F129" s="1681">
        <f t="shared" si="15"/>
        <v>137934</v>
      </c>
      <c r="G129" s="1681">
        <f t="shared" si="15"/>
        <v>596866</v>
      </c>
      <c r="H129" s="1681">
        <f t="shared" si="15"/>
        <v>1539</v>
      </c>
      <c r="I129" s="1681">
        <f t="shared" si="15"/>
        <v>0</v>
      </c>
      <c r="J129" s="1681">
        <f t="shared" si="15"/>
        <v>0</v>
      </c>
      <c r="K129" s="1681">
        <f t="shared" si="15"/>
        <v>2004322</v>
      </c>
      <c r="L129" s="1681">
        <f t="shared" si="15"/>
        <v>2028919</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1815</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7" t="s">
        <v>616</v>
      </c>
      <c r="B151" s="2267"/>
      <c r="C151" s="1674">
        <f>SUM(C129,C130,C139,C149,C150)</f>
        <v>609355</v>
      </c>
      <c r="D151" s="1674">
        <f t="shared" ref="D151:K151" si="16">SUM(D129,D130,D139,D149,D150)</f>
        <v>190940</v>
      </c>
      <c r="E151" s="1674">
        <f t="shared" si="16"/>
        <v>467688</v>
      </c>
      <c r="F151" s="1674">
        <f t="shared" si="16"/>
        <v>137934</v>
      </c>
      <c r="G151" s="1674">
        <f t="shared" si="16"/>
        <v>596866</v>
      </c>
      <c r="H151" s="1674">
        <f t="shared" si="16"/>
        <v>1539</v>
      </c>
      <c r="I151" s="1674">
        <f t="shared" si="16"/>
        <v>0</v>
      </c>
      <c r="J151" s="1674">
        <f t="shared" si="16"/>
        <v>0</v>
      </c>
      <c r="K151" s="1674">
        <f t="shared" si="16"/>
        <v>2004322</v>
      </c>
      <c r="L151" s="1674">
        <f>SUM(L129,L130,L139,L149,L150)</f>
        <v>2028919</v>
      </c>
    </row>
    <row r="152" spans="1:14" ht="12.75" customHeight="1" thickTop="1" x14ac:dyDescent="0.2">
      <c r="A152" s="2290" t="s">
        <v>1168</v>
      </c>
      <c r="B152" s="2291"/>
      <c r="C152" s="1675"/>
      <c r="D152" s="1675"/>
      <c r="E152" s="1675"/>
      <c r="F152" s="1675"/>
      <c r="G152" s="1675"/>
      <c r="H152" s="1675"/>
      <c r="I152" s="1675"/>
      <c r="J152" s="1673"/>
      <c r="K152" s="1689">
        <f>'Revenues 9-14'!D268-'Expenditures 15-22'!K151</f>
        <v>-471455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5" t="s">
        <v>617</v>
      </c>
      <c r="B154" s="227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1815</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1817</v>
      </c>
      <c r="C158" s="1673"/>
      <c r="D158" s="1673"/>
      <c r="E158" s="1673"/>
      <c r="F158" s="1673"/>
      <c r="G158" s="1673"/>
      <c r="H158" s="1574"/>
      <c r="I158" s="1673"/>
      <c r="J158" s="1673"/>
      <c r="K158" s="1672">
        <f>H158</f>
        <v>0</v>
      </c>
      <c r="L158" s="1574"/>
      <c r="M158" s="505"/>
      <c r="N158" s="505"/>
    </row>
    <row r="159" spans="1:14" s="506" customFormat="1" ht="12" x14ac:dyDescent="0.2">
      <c r="A159" s="1462" t="s">
        <v>1818</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1819</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1478473</v>
      </c>
      <c r="I169" s="1673"/>
      <c r="J169" s="1673"/>
      <c r="K169" s="1672">
        <f>SUM(C169:H169)</f>
        <v>1478473</v>
      </c>
      <c r="L169" s="1695">
        <v>1478474</v>
      </c>
    </row>
    <row r="170" spans="1:14" ht="33.75" customHeight="1" x14ac:dyDescent="0.2">
      <c r="A170" s="543" t="s">
        <v>1651</v>
      </c>
      <c r="B170" s="545" t="s">
        <v>31</v>
      </c>
      <c r="C170" s="1673"/>
      <c r="D170" s="1673"/>
      <c r="E170" s="1673"/>
      <c r="F170" s="1673"/>
      <c r="G170" s="1673"/>
      <c r="H170" s="1646">
        <v>975000</v>
      </c>
      <c r="I170" s="1673"/>
      <c r="J170" s="1673"/>
      <c r="K170" s="1672">
        <f>SUM(C170:J170)</f>
        <v>975000</v>
      </c>
      <c r="L170" s="1646">
        <v>975000</v>
      </c>
    </row>
    <row r="171" spans="1:14" ht="15.75" customHeight="1" x14ac:dyDescent="0.2">
      <c r="A171" s="507" t="s">
        <v>761</v>
      </c>
      <c r="B171" s="546" t="s">
        <v>84</v>
      </c>
      <c r="C171" s="1673"/>
      <c r="D171" s="1673"/>
      <c r="E171" s="1573"/>
      <c r="F171" s="1673"/>
      <c r="G171" s="1673"/>
      <c r="H171" s="1646">
        <v>4749</v>
      </c>
      <c r="I171" s="1582"/>
      <c r="J171" s="1673"/>
      <c r="K171" s="1672">
        <f>SUM(C171:J171)</f>
        <v>4749</v>
      </c>
      <c r="L171" s="1646">
        <v>4750</v>
      </c>
    </row>
    <row r="172" spans="1:14" ht="12.75" customHeight="1" thickBot="1" x14ac:dyDescent="0.25">
      <c r="A172" s="1380" t="s">
        <v>633</v>
      </c>
      <c r="B172" s="1381" t="s">
        <v>489</v>
      </c>
      <c r="C172" s="1673"/>
      <c r="D172" s="1673"/>
      <c r="E172" s="1681">
        <f>SUM(E168,E169,E170,E171)</f>
        <v>0</v>
      </c>
      <c r="F172" s="1673"/>
      <c r="G172" s="1673"/>
      <c r="H172" s="1681">
        <f>SUM(H168,H169,H170,H171)</f>
        <v>2458222</v>
      </c>
      <c r="I172" s="1684"/>
      <c r="J172" s="1673"/>
      <c r="K172" s="1681">
        <f>SUM(K168,K169,K170,K171)</f>
        <v>2458222</v>
      </c>
      <c r="L172" s="1681">
        <f>SUM(L168,L169,L170,L171)</f>
        <v>2458224</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2458222</v>
      </c>
      <c r="I174" s="1684"/>
      <c r="J174" s="1673"/>
      <c r="K174" s="1681">
        <f>SUM(K160,K172,K173)</f>
        <v>2458222</v>
      </c>
      <c r="L174" s="1681">
        <f>SUM(L160,L172,L173)</f>
        <v>2458224</v>
      </c>
    </row>
    <row r="175" spans="1:14" ht="13.5" thickTop="1" x14ac:dyDescent="0.2">
      <c r="A175" s="2270" t="s">
        <v>989</v>
      </c>
      <c r="B175" s="2271"/>
      <c r="C175" s="1673"/>
      <c r="D175" s="1673"/>
      <c r="E175" s="1673"/>
      <c r="F175" s="1673"/>
      <c r="G175" s="1673"/>
      <c r="H175" s="1675"/>
      <c r="I175" s="1673"/>
      <c r="J175" s="1673"/>
      <c r="K175" s="1689">
        <f>'Revenues 9-14'!E268-'Expenditures 15-22'!K174</f>
        <v>-1301737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273834</v>
      </c>
      <c r="D182" s="1573">
        <v>10687</v>
      </c>
      <c r="E182" s="1573">
        <v>76461</v>
      </c>
      <c r="F182" s="1573">
        <v>49803</v>
      </c>
      <c r="G182" s="1573"/>
      <c r="H182" s="1573">
        <v>1398</v>
      </c>
      <c r="I182" s="1574"/>
      <c r="J182" s="1574"/>
      <c r="K182" s="1672">
        <f>SUM(C182:J182)</f>
        <v>412183</v>
      </c>
      <c r="L182" s="1573">
        <v>421013</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273834</v>
      </c>
      <c r="D184" s="1681">
        <f t="shared" ref="D184:J184" si="17">SUM(D180,D182,D183)</f>
        <v>10687</v>
      </c>
      <c r="E184" s="1681">
        <f t="shared" si="17"/>
        <v>76461</v>
      </c>
      <c r="F184" s="1681">
        <f t="shared" si="17"/>
        <v>49803</v>
      </c>
      <c r="G184" s="1681">
        <f t="shared" si="17"/>
        <v>0</v>
      </c>
      <c r="H184" s="1681">
        <f t="shared" si="17"/>
        <v>1398</v>
      </c>
      <c r="I184" s="1681">
        <f t="shared" si="17"/>
        <v>0</v>
      </c>
      <c r="J184" s="1681">
        <f t="shared" si="17"/>
        <v>0</v>
      </c>
      <c r="K184" s="1681">
        <f>SUM(K180,K182,K183)</f>
        <v>412183</v>
      </c>
      <c r="L184" s="1681">
        <f>SUM(L180, L182:L183)</f>
        <v>421013</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v>5494</v>
      </c>
      <c r="I188" s="1582"/>
      <c r="J188" s="1673"/>
      <c r="K188" s="1672">
        <f t="shared" ref="K188:K193" si="18">SUM(E188,H188)</f>
        <v>5494</v>
      </c>
      <c r="L188" s="1573">
        <v>5500</v>
      </c>
    </row>
    <row r="189" spans="1:14" x14ac:dyDescent="0.2">
      <c r="A189" s="1274" t="s">
        <v>301</v>
      </c>
      <c r="B189" s="503">
        <v>4120</v>
      </c>
      <c r="C189" s="1673"/>
      <c r="D189" s="1673"/>
      <c r="E189" s="1573"/>
      <c r="F189" s="1673"/>
      <c r="G189" s="1673"/>
      <c r="H189" s="1573">
        <v>93347</v>
      </c>
      <c r="I189" s="1582"/>
      <c r="J189" s="1673"/>
      <c r="K189" s="1672">
        <f t="shared" si="18"/>
        <v>93347</v>
      </c>
      <c r="L189" s="1573">
        <v>93350</v>
      </c>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98841</v>
      </c>
      <c r="I194" s="1582"/>
      <c r="J194" s="1673"/>
      <c r="K194" s="1674">
        <f>SUM(K188:K193)</f>
        <v>98841</v>
      </c>
      <c r="L194" s="1674">
        <f>SUM(L188:L193)</f>
        <v>98850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98841</v>
      </c>
      <c r="I196" s="1582"/>
      <c r="J196" s="1673"/>
      <c r="K196" s="1681">
        <f>SUM(K194,K195)</f>
        <v>98841</v>
      </c>
      <c r="L196" s="1681">
        <f>SUM(L194,L195)</f>
        <v>98850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v>192741</v>
      </c>
      <c r="I206" s="1673"/>
      <c r="J206" s="1673"/>
      <c r="K206" s="1672">
        <f>SUM(H206)</f>
        <v>192741</v>
      </c>
      <c r="L206" s="1573">
        <v>193000</v>
      </c>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192741</v>
      </c>
      <c r="I208" s="1673"/>
      <c r="J208" s="1673"/>
      <c r="K208" s="1681">
        <f>SUM(K204,K205,K206,K207)</f>
        <v>192741</v>
      </c>
      <c r="L208" s="1681">
        <f>SUM(L204,L205,L206,L207)</f>
        <v>193000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273834</v>
      </c>
      <c r="D210" s="1674">
        <f>SUM(D184,D185)</f>
        <v>10687</v>
      </c>
      <c r="E210" s="1674">
        <f>SUM(E184,E185,E196)</f>
        <v>76461</v>
      </c>
      <c r="F210" s="1674">
        <f>SUM(F184,F185)</f>
        <v>49803</v>
      </c>
      <c r="G210" s="1674">
        <f>SUM(G184,G185)</f>
        <v>0</v>
      </c>
      <c r="H210" s="1674">
        <f>SUM(H184,H185,H196,H208,H209)</f>
        <v>292980</v>
      </c>
      <c r="I210" s="1674">
        <f>SUM(I184,I185)</f>
        <v>0</v>
      </c>
      <c r="J210" s="1674">
        <f>SUM(J184,J185)</f>
        <v>0</v>
      </c>
      <c r="K210" s="1672">
        <f>SUM(K184,K185,K196,K208,K209)</f>
        <v>703765</v>
      </c>
      <c r="L210" s="1674">
        <f>SUM(L184,L185,L196,L208,L209)</f>
        <v>712863</v>
      </c>
    </row>
    <row r="211" spans="1:14" ht="13.5" thickTop="1" x14ac:dyDescent="0.2">
      <c r="A211" s="2270" t="s">
        <v>989</v>
      </c>
      <c r="B211" s="2271"/>
      <c r="C211" s="1675"/>
      <c r="D211" s="1675"/>
      <c r="E211" s="1675"/>
      <c r="F211" s="1675"/>
      <c r="G211" s="1675"/>
      <c r="H211" s="1675"/>
      <c r="I211" s="1673"/>
      <c r="J211" s="1673"/>
      <c r="K211" s="1689">
        <f>'Revenues 9-14'!F268-'Expenditures 15-22'!K210</f>
        <v>183792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2" t="s">
        <v>959</v>
      </c>
      <c r="B213" s="229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118348</v>
      </c>
      <c r="E215" s="1673"/>
      <c r="F215" s="1673"/>
      <c r="G215" s="1673"/>
      <c r="H215" s="1673"/>
      <c r="I215" s="1673"/>
      <c r="J215" s="1673"/>
      <c r="K215" s="1672">
        <f>D215</f>
        <v>118348</v>
      </c>
      <c r="L215" s="1573">
        <v>120158</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12870</v>
      </c>
      <c r="E219" s="1673"/>
      <c r="F219" s="1673"/>
      <c r="G219" s="1673"/>
      <c r="H219" s="1673"/>
      <c r="I219" s="1673"/>
      <c r="J219" s="1673"/>
      <c r="K219" s="1672">
        <f t="shared" si="19"/>
        <v>12870</v>
      </c>
      <c r="L219" s="1573">
        <v>13379</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2715</v>
      </c>
      <c r="E222" s="1673"/>
      <c r="F222" s="1673"/>
      <c r="G222" s="1673"/>
      <c r="H222" s="1673"/>
      <c r="I222" s="1673"/>
      <c r="J222" s="1673"/>
      <c r="K222" s="1672">
        <f t="shared" si="19"/>
        <v>2715</v>
      </c>
      <c r="L222" s="1573">
        <v>2800</v>
      </c>
    </row>
    <row r="223" spans="1:14" x14ac:dyDescent="0.2">
      <c r="A223" s="1274" t="s">
        <v>957</v>
      </c>
      <c r="B223" s="503">
        <v>1500</v>
      </c>
      <c r="C223" s="1673"/>
      <c r="D223" s="1573">
        <v>7192</v>
      </c>
      <c r="E223" s="1673"/>
      <c r="F223" s="1673"/>
      <c r="G223" s="1673"/>
      <c r="H223" s="1673"/>
      <c r="I223" s="1673"/>
      <c r="J223" s="1673"/>
      <c r="K223" s="1672">
        <f t="shared" si="19"/>
        <v>7192</v>
      </c>
      <c r="L223" s="1573">
        <v>7400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1662</v>
      </c>
      <c r="E226" s="1673"/>
      <c r="F226" s="1673"/>
      <c r="G226" s="1673"/>
      <c r="H226" s="1673"/>
      <c r="I226" s="1673"/>
      <c r="J226" s="1673"/>
      <c r="K226" s="1672">
        <f t="shared" si="19"/>
        <v>1662</v>
      </c>
      <c r="L226" s="1573">
        <v>1710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142787</v>
      </c>
      <c r="E229" s="1673"/>
      <c r="F229" s="1673"/>
      <c r="G229" s="1673"/>
      <c r="H229" s="1673"/>
      <c r="I229" s="1673"/>
      <c r="J229" s="1673"/>
      <c r="K229" s="1674">
        <f>SUM(K215:K228)</f>
        <v>142787</v>
      </c>
      <c r="L229" s="1674">
        <f>SUM(L215:L228)</f>
        <v>145447</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6333</v>
      </c>
      <c r="E233" s="1673"/>
      <c r="F233" s="1673"/>
      <c r="G233" s="1673"/>
      <c r="H233" s="1673"/>
      <c r="I233" s="1673"/>
      <c r="J233" s="1673"/>
      <c r="K233" s="1672">
        <f t="shared" si="20"/>
        <v>6333</v>
      </c>
      <c r="L233" s="1573">
        <v>6512</v>
      </c>
    </row>
    <row r="234" spans="1:12" x14ac:dyDescent="0.2">
      <c r="A234" s="1274" t="s">
        <v>196</v>
      </c>
      <c r="B234" s="503">
        <v>2130</v>
      </c>
      <c r="C234" s="1673"/>
      <c r="D234" s="1573">
        <v>14518</v>
      </c>
      <c r="E234" s="1673"/>
      <c r="F234" s="1673"/>
      <c r="G234" s="1673"/>
      <c r="H234" s="1673"/>
      <c r="I234" s="1673"/>
      <c r="J234" s="1673"/>
      <c r="K234" s="1672">
        <f t="shared" si="20"/>
        <v>14518</v>
      </c>
      <c r="L234" s="1573">
        <v>15226</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20851</v>
      </c>
      <c r="E238" s="1673"/>
      <c r="F238" s="1673"/>
      <c r="G238" s="1673"/>
      <c r="H238" s="1673"/>
      <c r="I238" s="1673"/>
      <c r="J238" s="1673"/>
      <c r="K238" s="1674">
        <f>SUM(K232:K237)</f>
        <v>20851</v>
      </c>
      <c r="L238" s="1674">
        <f>SUM(L232:L237)</f>
        <v>21738</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15240</v>
      </c>
      <c r="E241" s="1673"/>
      <c r="F241" s="1673"/>
      <c r="G241" s="1673"/>
      <c r="H241" s="1673"/>
      <c r="I241" s="1673"/>
      <c r="J241" s="1673"/>
      <c r="K241" s="1678">
        <f>D241</f>
        <v>15240</v>
      </c>
      <c r="L241" s="1573">
        <v>16026</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15240</v>
      </c>
      <c r="E243" s="1673"/>
      <c r="F243" s="1673"/>
      <c r="G243" s="1673"/>
      <c r="H243" s="1673"/>
      <c r="I243" s="1673"/>
      <c r="J243" s="1673"/>
      <c r="K243" s="1674">
        <f>SUM(K240:K242)</f>
        <v>15240</v>
      </c>
      <c r="L243" s="1674">
        <f>SUM(L240:L242)</f>
        <v>16026</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13260</v>
      </c>
      <c r="E246" s="1673"/>
      <c r="F246" s="1673"/>
      <c r="G246" s="1673"/>
      <c r="H246" s="1673"/>
      <c r="I246" s="1673"/>
      <c r="J246" s="1673"/>
      <c r="K246" s="1678">
        <f t="shared" ref="K246:K256" si="21">D246</f>
        <v>13260</v>
      </c>
      <c r="L246" s="1573">
        <v>11750</v>
      </c>
    </row>
    <row r="247" spans="1:12" x14ac:dyDescent="0.2">
      <c r="A247" s="1274" t="s">
        <v>814</v>
      </c>
      <c r="B247" s="503">
        <v>2330</v>
      </c>
      <c r="C247" s="1673"/>
      <c r="D247" s="1573">
        <v>11</v>
      </c>
      <c r="E247" s="1673"/>
      <c r="F247" s="1673"/>
      <c r="G247" s="1673"/>
      <c r="H247" s="1673"/>
      <c r="I247" s="1673"/>
      <c r="J247" s="1673"/>
      <c r="K247" s="1678">
        <f t="shared" si="21"/>
        <v>11</v>
      </c>
      <c r="L247" s="1573">
        <v>1815</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1781</v>
      </c>
      <c r="B249" s="557" t="s">
        <v>280</v>
      </c>
      <c r="C249" s="1673"/>
      <c r="D249" s="1579"/>
      <c r="E249" s="1673"/>
      <c r="F249" s="1673"/>
      <c r="G249" s="1673"/>
      <c r="H249" s="1673"/>
      <c r="I249" s="1673"/>
      <c r="J249" s="1673"/>
      <c r="K249" s="1678">
        <f t="shared" si="21"/>
        <v>0</v>
      </c>
      <c r="L249" s="1573"/>
    </row>
    <row r="250" spans="1:12" x14ac:dyDescent="0.2">
      <c r="A250" s="1275" t="s">
        <v>1782</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13271</v>
      </c>
      <c r="E257" s="1673"/>
      <c r="F257" s="1673"/>
      <c r="G257" s="1673"/>
      <c r="H257" s="1673"/>
      <c r="I257" s="1673"/>
      <c r="J257" s="1673"/>
      <c r="K257" s="1674">
        <f>SUM(K245:K256)</f>
        <v>13271</v>
      </c>
      <c r="L257" s="1674">
        <f>SUM(L245:L256)</f>
        <v>13565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49607</v>
      </c>
      <c r="E259" s="1673"/>
      <c r="F259" s="1673"/>
      <c r="G259" s="1673"/>
      <c r="H259" s="1673"/>
      <c r="I259" s="1673"/>
      <c r="J259" s="1673"/>
      <c r="K259" s="1678">
        <f>D259</f>
        <v>49607</v>
      </c>
      <c r="L259" s="1586">
        <v>50850</v>
      </c>
    </row>
    <row r="260" spans="1:14" s="493" customFormat="1" x14ac:dyDescent="0.2">
      <c r="A260" s="1292" t="s">
        <v>1780</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49607</v>
      </c>
      <c r="E261" s="1673"/>
      <c r="F261" s="1673"/>
      <c r="G261" s="1673"/>
      <c r="H261" s="1673"/>
      <c r="I261" s="1673"/>
      <c r="J261" s="1673"/>
      <c r="K261" s="1674">
        <f>SUM(K259:K260)</f>
        <v>49607</v>
      </c>
      <c r="L261" s="1674">
        <f>SUM(L259:L260)</f>
        <v>50850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11373</v>
      </c>
      <c r="E263" s="1673"/>
      <c r="F263" s="1673"/>
      <c r="G263" s="1673"/>
      <c r="H263" s="1673"/>
      <c r="I263" s="1673"/>
      <c r="J263" s="1673"/>
      <c r="K263" s="1678">
        <f>D263</f>
        <v>11373</v>
      </c>
      <c r="L263" s="1586">
        <v>11500</v>
      </c>
    </row>
    <row r="264" spans="1:14" x14ac:dyDescent="0.2">
      <c r="A264" s="1274" t="s">
        <v>460</v>
      </c>
      <c r="B264" s="559">
        <v>2520</v>
      </c>
      <c r="C264" s="1673"/>
      <c r="D264" s="1573">
        <v>8153</v>
      </c>
      <c r="E264" s="1673"/>
      <c r="F264" s="1673"/>
      <c r="G264" s="1673"/>
      <c r="H264" s="1673"/>
      <c r="I264" s="1673"/>
      <c r="J264" s="1673"/>
      <c r="K264" s="1678">
        <f t="shared" ref="K264:K269" si="22">D264</f>
        <v>8153</v>
      </c>
      <c r="L264" s="1573">
        <v>8300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106411</v>
      </c>
      <c r="E266" s="1673"/>
      <c r="F266" s="1673"/>
      <c r="G266" s="1673"/>
      <c r="H266" s="1673"/>
      <c r="I266" s="1673"/>
      <c r="J266" s="1673"/>
      <c r="K266" s="1678">
        <f t="shared" si="22"/>
        <v>106411</v>
      </c>
      <c r="L266" s="1573">
        <v>107500</v>
      </c>
    </row>
    <row r="267" spans="1:14" x14ac:dyDescent="0.2">
      <c r="A267" s="1274" t="s">
        <v>947</v>
      </c>
      <c r="B267" s="503">
        <v>2550</v>
      </c>
      <c r="C267" s="1673"/>
      <c r="D267" s="1573">
        <v>36813</v>
      </c>
      <c r="E267" s="1673"/>
      <c r="F267" s="1673"/>
      <c r="G267" s="1673"/>
      <c r="H267" s="1673"/>
      <c r="I267" s="1673"/>
      <c r="J267" s="1673"/>
      <c r="K267" s="1678">
        <f t="shared" si="22"/>
        <v>36813</v>
      </c>
      <c r="L267" s="1573">
        <v>37500</v>
      </c>
    </row>
    <row r="268" spans="1:14" x14ac:dyDescent="0.2">
      <c r="A268" s="1274" t="s">
        <v>100</v>
      </c>
      <c r="B268" s="503">
        <v>2560</v>
      </c>
      <c r="C268" s="1673"/>
      <c r="D268" s="1573">
        <v>52704</v>
      </c>
      <c r="E268" s="1673"/>
      <c r="F268" s="1673"/>
      <c r="G268" s="1673"/>
      <c r="H268" s="1673"/>
      <c r="I268" s="1673"/>
      <c r="J268" s="1673"/>
      <c r="K268" s="1678">
        <f t="shared" si="22"/>
        <v>52704</v>
      </c>
      <c r="L268" s="1573">
        <v>53855</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215454</v>
      </c>
      <c r="E270" s="1673"/>
      <c r="F270" s="1673"/>
      <c r="G270" s="1673"/>
      <c r="H270" s="1673"/>
      <c r="I270" s="1673"/>
      <c r="J270" s="1673"/>
      <c r="K270" s="1674">
        <f>SUM(K263:K269)</f>
        <v>215454</v>
      </c>
      <c r="L270" s="1674">
        <f>SUM(L263:L269)</f>
        <v>218655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314423</v>
      </c>
      <c r="E279" s="1673"/>
      <c r="F279" s="1673"/>
      <c r="G279" s="1673"/>
      <c r="H279" s="1673"/>
      <c r="I279" s="1673"/>
      <c r="J279" s="1673"/>
      <c r="K279" s="1681">
        <f>SUM(K238,K243,K257,K261,K270,K277,K278)</f>
        <v>314423</v>
      </c>
      <c r="L279" s="1681">
        <f>SUM(L238,L243,L257,L261,L270,L277,L278)</f>
        <v>320834</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1815</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8" t="s">
        <v>502</v>
      </c>
      <c r="B295" s="2289"/>
      <c r="C295" s="1673"/>
      <c r="D295" s="1674">
        <f>SUM(D229,D279,D280,D285)</f>
        <v>457210</v>
      </c>
      <c r="E295" s="1673"/>
      <c r="F295" s="1673"/>
      <c r="G295" s="1673"/>
      <c r="H295" s="1674">
        <f>H293</f>
        <v>0</v>
      </c>
      <c r="I295" s="1673"/>
      <c r="J295" s="1673"/>
      <c r="K295" s="1674">
        <f>SUM(K229,K279,K280,K285,K293,K294)</f>
        <v>457210</v>
      </c>
      <c r="L295" s="1674">
        <f>SUM(L229,L279,L280,L285,L293,L294)</f>
        <v>466281</v>
      </c>
    </row>
    <row r="296" spans="1:14" ht="13.5" thickTop="1" x14ac:dyDescent="0.2">
      <c r="A296" s="2270" t="s">
        <v>989</v>
      </c>
      <c r="B296" s="2271"/>
      <c r="C296" s="1673"/>
      <c r="D296" s="1675"/>
      <c r="E296" s="1673"/>
      <c r="F296" s="1673"/>
      <c r="G296" s="1673"/>
      <c r="H296" s="1707"/>
      <c r="I296" s="1673"/>
      <c r="J296" s="1673"/>
      <c r="K296" s="1689">
        <f>'Revenues 9-14'!G268-'Expenditures 15-22'!K295</f>
        <v>47242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0" t="s">
        <v>142</v>
      </c>
      <c r="B298" s="227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85" t="s">
        <v>275</v>
      </c>
      <c r="B312" s="2286"/>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81" t="s">
        <v>989</v>
      </c>
      <c r="B313" s="2282"/>
      <c r="C313" s="1677"/>
      <c r="D313" s="1677"/>
      <c r="E313" s="1677"/>
      <c r="F313" s="1677"/>
      <c r="G313" s="1677"/>
      <c r="H313" s="1677"/>
      <c r="I313" s="1677"/>
      <c r="J313" s="1677"/>
      <c r="K313" s="1696">
        <f>'Revenues 9-14'!H268-'Expenditures 15-22'!K312</f>
        <v>1548629</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4" t="s">
        <v>148</v>
      </c>
      <c r="B315" s="229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6" t="s">
        <v>892</v>
      </c>
      <c r="B317" s="229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1781</v>
      </c>
      <c r="B320" s="568" t="s">
        <v>280</v>
      </c>
      <c r="C320" s="1574"/>
      <c r="D320" s="1574"/>
      <c r="E320" s="1574">
        <v>103612</v>
      </c>
      <c r="F320" s="1574"/>
      <c r="G320" s="1574"/>
      <c r="H320" s="1574"/>
      <c r="I320" s="1574"/>
      <c r="J320" s="1574"/>
      <c r="K320" s="1672">
        <f t="shared" ref="K320:K327" si="24">SUM(C320:J320)</f>
        <v>103612</v>
      </c>
      <c r="L320" s="1574">
        <v>104000</v>
      </c>
      <c r="M320" s="539"/>
      <c r="N320" s="539"/>
    </row>
    <row r="321" spans="1:14" s="548" customFormat="1" x14ac:dyDescent="0.2">
      <c r="A321" s="1289" t="s">
        <v>297</v>
      </c>
      <c r="B321" s="567" t="s">
        <v>281</v>
      </c>
      <c r="C321" s="1574"/>
      <c r="D321" s="1574"/>
      <c r="E321" s="1574">
        <v>17557</v>
      </c>
      <c r="F321" s="1574"/>
      <c r="G321" s="1574"/>
      <c r="H321" s="1574"/>
      <c r="I321" s="1574"/>
      <c r="J321" s="1574"/>
      <c r="K321" s="1672">
        <f t="shared" si="24"/>
        <v>17557</v>
      </c>
      <c r="L321" s="1574">
        <v>18000</v>
      </c>
      <c r="M321" s="539"/>
      <c r="N321" s="539"/>
    </row>
    <row r="322" spans="1:14" s="548" customFormat="1" x14ac:dyDescent="0.2">
      <c r="A322" s="1289" t="s">
        <v>236</v>
      </c>
      <c r="B322" s="567" t="s">
        <v>282</v>
      </c>
      <c r="C322" s="1574"/>
      <c r="D322" s="1574"/>
      <c r="E322" s="1574">
        <v>266913</v>
      </c>
      <c r="F322" s="1574"/>
      <c r="G322" s="1574"/>
      <c r="H322" s="1574"/>
      <c r="I322" s="1574"/>
      <c r="J322" s="1574"/>
      <c r="K322" s="1672">
        <f t="shared" si="24"/>
        <v>266913</v>
      </c>
      <c r="L322" s="1574">
        <v>267000</v>
      </c>
      <c r="M322" s="539"/>
      <c r="N322" s="539"/>
    </row>
    <row r="323" spans="1:14" s="548" customFormat="1" x14ac:dyDescent="0.2">
      <c r="A323" s="1289" t="s">
        <v>697</v>
      </c>
      <c r="B323" s="567" t="s">
        <v>283</v>
      </c>
      <c r="C323" s="1574"/>
      <c r="D323" s="1574"/>
      <c r="E323" s="1574">
        <v>2000</v>
      </c>
      <c r="F323" s="1574"/>
      <c r="G323" s="1574"/>
      <c r="H323" s="1574">
        <v>50000</v>
      </c>
      <c r="I323" s="1574"/>
      <c r="J323" s="1574"/>
      <c r="K323" s="1672">
        <f t="shared" si="24"/>
        <v>52000</v>
      </c>
      <c r="L323" s="1574">
        <v>52000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55702</v>
      </c>
      <c r="F327" s="1574"/>
      <c r="G327" s="1574"/>
      <c r="H327" s="1574"/>
      <c r="I327" s="1574"/>
      <c r="J327" s="1574"/>
      <c r="K327" s="1672">
        <f t="shared" si="24"/>
        <v>55702</v>
      </c>
      <c r="L327" s="1574">
        <v>60000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445784</v>
      </c>
      <c r="F330" s="1674">
        <f t="shared" si="25"/>
        <v>0</v>
      </c>
      <c r="G330" s="1674">
        <f t="shared" si="25"/>
        <v>0</v>
      </c>
      <c r="H330" s="1674">
        <f t="shared" si="25"/>
        <v>50000</v>
      </c>
      <c r="I330" s="1674">
        <f t="shared" si="25"/>
        <v>0</v>
      </c>
      <c r="J330" s="1674">
        <f t="shared" si="25"/>
        <v>0</v>
      </c>
      <c r="K330" s="1674">
        <f>SUM(K319:K329)</f>
        <v>495784</v>
      </c>
      <c r="L330" s="1674">
        <f>SUM(L319:L329)</f>
        <v>501000</v>
      </c>
      <c r="M330" s="539"/>
      <c r="N330" s="539"/>
    </row>
    <row r="331" spans="1:14" s="548" customFormat="1" ht="12.75" customHeight="1" thickTop="1" x14ac:dyDescent="0.2">
      <c r="A331" s="1467" t="s">
        <v>1821</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1815</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1817</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1822</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445784</v>
      </c>
      <c r="F342" s="1674">
        <f>SUM(F330)</f>
        <v>0</v>
      </c>
      <c r="G342" s="1674">
        <f>SUM(G330)</f>
        <v>0</v>
      </c>
      <c r="H342" s="1674">
        <f>SUM(H330,H334,H340)</f>
        <v>50000</v>
      </c>
      <c r="I342" s="1674">
        <f>SUM(I330)</f>
        <v>0</v>
      </c>
      <c r="J342" s="1674">
        <f>SUM(J330)</f>
        <v>0</v>
      </c>
      <c r="K342" s="1674">
        <f>SUM(K330,K334,K340)</f>
        <v>495784</v>
      </c>
      <c r="L342" s="1681">
        <f>SUM(L330,L334,L340,L341)</f>
        <v>501000</v>
      </c>
    </row>
    <row r="343" spans="1:14" ht="12.75" customHeight="1" thickTop="1" x14ac:dyDescent="0.2">
      <c r="A343" s="2283" t="s">
        <v>989</v>
      </c>
      <c r="B343" s="2284"/>
      <c r="C343" s="1673"/>
      <c r="D343" s="1673"/>
      <c r="E343" s="1673"/>
      <c r="F343" s="1673"/>
      <c r="G343" s="1673"/>
      <c r="H343" s="1673"/>
      <c r="I343" s="1673"/>
      <c r="J343" s="1673"/>
      <c r="K343" s="1689">
        <f>'Revenues 9-14'!J268-'Expenditures 15-22'!K342</f>
        <v>89393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3" t="s">
        <v>960</v>
      </c>
      <c r="B345" s="227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c r="I354" s="1716"/>
      <c r="J354" s="1673"/>
      <c r="K354" s="1713">
        <f>H354</f>
        <v>0</v>
      </c>
      <c r="L354" s="1577"/>
    </row>
    <row r="355" spans="1:14" ht="12.75" customHeight="1" x14ac:dyDescent="0.2">
      <c r="A355" s="1283" t="s">
        <v>1824</v>
      </c>
      <c r="B355" s="562" t="s">
        <v>1817</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70" t="s">
        <v>989</v>
      </c>
      <c r="B368" s="2271"/>
      <c r="C368" s="1694"/>
      <c r="D368" s="1694"/>
      <c r="E368" s="1677"/>
      <c r="F368" s="1677"/>
      <c r="G368" s="1677"/>
      <c r="H368" s="1677"/>
      <c r="I368" s="1677"/>
      <c r="J368" s="1676"/>
      <c r="K368" s="1672">
        <f>'Revenues 9-14'!K268-'Expenditures 15-22'!K367</f>
        <v>4540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openxmlformats.org/package/2006/metadata/core-properties"/>
    <ds:schemaRef ds:uri="http://schemas.microsoft.com/sharepoint/v3"/>
    <ds:schemaRef ds:uri="http://schemas.microsoft.com/office/2006/metadata/properties"/>
    <ds:schemaRef ds:uri="http://schemas.microsoft.com/office/infopath/2007/PartnerControls"/>
    <ds:schemaRef ds:uri="d21dc803-237d-4c68-8692-8d731fd29118"/>
    <ds:schemaRef ds:uri="4d435f69-8686-490b-bd6d-b153bf22ab50"/>
    <ds:schemaRef ds:uri="http://purl.org/dc/elements/1.1/"/>
    <ds:schemaRef ds:uri="http://schemas.microsoft.com/office/2006/documentManagement/types"/>
    <ds:schemaRef ds:uri="6ce3111e-7420-4802-b50a-75d4e9a0b980"/>
    <ds:schemaRef ds:uri="http://purl.org/dc/dcmitype/"/>
    <ds:schemaRef ds:uri="http://purl.org/dc/te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2020-10-02T14:32:55Z</cp:lastPrinted>
  <dcterms:created xsi:type="dcterms:W3CDTF">2003-10-29T19:06:34Z</dcterms:created>
  <dcterms:modified xsi:type="dcterms:W3CDTF">2020-10-30T20:16:10Z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