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EC9BD37-DB46-497A-85E4-63DE5370DD1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7" i="3"/>
  <c r="I12" i="11"/>
  <c r="D12" i="11"/>
  <c r="E12" i="11"/>
  <c r="C13" i="11" l="1"/>
  <c r="D215" i="29" l="1"/>
  <c r="G65" i="5"/>
  <c r="D182" i="29"/>
  <c r="E61" i="29" l="1"/>
  <c r="D5" i="29"/>
  <c r="D63" i="29"/>
  <c r="D61" i="29"/>
  <c r="D60" i="29"/>
  <c r="E50" i="29"/>
  <c r="D50" i="29"/>
  <c r="E49" i="29"/>
  <c r="F45" i="29"/>
  <c r="D45" i="29"/>
  <c r="F44" i="29"/>
  <c r="E44" i="29"/>
  <c r="F38" i="29"/>
  <c r="D38" i="29"/>
  <c r="C38" i="29"/>
  <c r="E38" i="29"/>
  <c r="D37" i="29"/>
  <c r="C37" i="29"/>
  <c r="D10" i="29"/>
  <c r="H5" i="29"/>
  <c r="G5" i="29"/>
  <c r="F5" i="29"/>
  <c r="E5" i="29"/>
  <c r="C5" i="29"/>
  <c r="F124" i="29" l="1"/>
  <c r="G124" i="29"/>
  <c r="E124" i="29"/>
  <c r="D268" i="29"/>
  <c r="D267" i="29"/>
  <c r="D266" i="29"/>
  <c r="D264" i="29"/>
  <c r="D259" i="29"/>
  <c r="D246" i="29"/>
  <c r="D237" i="29"/>
  <c r="D234" i="29"/>
  <c r="D233" i="29"/>
  <c r="E182"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A15" i="183" l="1"/>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D24" i="37"/>
  <c r="B4270" i="106" s="1"/>
  <c r="D4270" i="106" s="1"/>
  <c r="H15" i="184" l="1"/>
  <c r="B7074" i="106"/>
  <c r="D7074" i="106" s="1"/>
  <c r="B7047" i="106"/>
  <c r="D7047" i="106" s="1"/>
  <c r="H28" i="118"/>
  <c r="F77" i="4"/>
  <c r="B3255" i="106" s="1"/>
  <c r="D3255" i="106" s="1"/>
  <c r="J129" i="29"/>
  <c r="B7038" i="106" s="1"/>
  <c r="D7038" i="106" s="1"/>
  <c r="C129" i="29"/>
  <c r="F42" i="34"/>
  <c r="F37" i="34"/>
  <c r="B7829" i="106" s="1"/>
  <c r="D7829" i="106" s="1"/>
  <c r="B6995" i="106"/>
  <c r="D6995" i="106" s="1"/>
  <c r="F71" i="34"/>
  <c r="C342" i="29"/>
  <c r="B7216" i="106" s="1"/>
  <c r="D7216" i="106" s="1"/>
  <c r="I129" i="29"/>
  <c r="B7037" i="106" s="1"/>
  <c r="D7037" i="106" s="1"/>
  <c r="B7078" i="106"/>
  <c r="D7078" i="106" s="1"/>
  <c r="J210" i="29"/>
  <c r="B7072" i="106" s="1"/>
  <c r="D7072" i="106" s="1"/>
  <c r="I210" i="29"/>
  <c r="B7071" i="106" s="1"/>
  <c r="D7071" i="106" s="1"/>
  <c r="H342" i="29"/>
  <c r="B7221" i="106" s="1"/>
  <c r="D7221" i="106" s="1"/>
  <c r="B7135" i="106"/>
  <c r="D7135" i="106" s="1"/>
  <c r="E58" i="184"/>
  <c r="N58" i="184" s="1"/>
  <c r="L22" i="37"/>
  <c r="F72" i="34"/>
  <c r="F36" i="34"/>
  <c r="B7828" i="106" s="1"/>
  <c r="D7828" i="106" s="1"/>
  <c r="B7162" i="106"/>
  <c r="D7162" i="106" s="1"/>
  <c r="E61" i="184"/>
  <c r="N61" i="184" s="1"/>
  <c r="G30" i="108"/>
  <c r="F50" i="34"/>
  <c r="H33" i="118"/>
  <c r="B7198" i="106"/>
  <c r="D7198" i="106" s="1"/>
  <c r="E65" i="184"/>
  <c r="N65" i="184" s="1"/>
  <c r="B7126" i="106"/>
  <c r="D7126" i="106" s="1"/>
  <c r="E57" i="184"/>
  <c r="F34" i="34"/>
  <c r="B7826" i="106" s="1"/>
  <c r="D7826" i="106" s="1"/>
  <c r="B7189" i="106"/>
  <c r="D7189" i="106" s="1"/>
  <c r="E64" i="184"/>
  <c r="N64" i="184" s="1"/>
  <c r="G14" i="4"/>
  <c r="B2609" i="106" s="1"/>
  <c r="D2609" i="106" s="1"/>
  <c r="B7180" i="106"/>
  <c r="D7180" i="106" s="1"/>
  <c r="E63" i="184"/>
  <c r="N63" i="184" s="1"/>
  <c r="B7153" i="106"/>
  <c r="D7153" i="106" s="1"/>
  <c r="E60" i="184"/>
  <c r="N60" i="184" s="1"/>
  <c r="B7696" i="106"/>
  <c r="D7696" i="106" s="1"/>
  <c r="E66" i="184"/>
  <c r="N66" i="184" s="1"/>
  <c r="C352" i="29"/>
  <c r="B3621" i="106" s="1"/>
  <c r="D3621" i="106" s="1"/>
  <c r="D31" i="108"/>
  <c r="E16" i="184"/>
  <c r="H16" i="184" s="1"/>
  <c r="H76" i="4"/>
  <c r="B3298" i="106" s="1"/>
  <c r="D3298" i="106" s="1"/>
  <c r="H12" i="184"/>
  <c r="G33" i="108"/>
  <c r="E17" i="184"/>
  <c r="H17" i="184" s="1"/>
  <c r="B7705" i="106"/>
  <c r="D7705" i="106" s="1"/>
  <c r="E67" i="184"/>
  <c r="N67" i="184" s="1"/>
  <c r="B7171" i="106"/>
  <c r="D7171" i="106" s="1"/>
  <c r="E62" i="184"/>
  <c r="N62" i="184" s="1"/>
  <c r="H365" i="29"/>
  <c r="B7242" i="106" s="1"/>
  <c r="D7242" i="106" s="1"/>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66" i="34" l="1"/>
  <c r="B6216" i="106"/>
  <c r="D6216" i="106" s="1"/>
  <c r="K365" i="29"/>
  <c r="H19" i="184"/>
  <c r="L20" i="184" s="1"/>
  <c r="E19" i="184"/>
  <c r="B1328" i="106"/>
  <c r="D1328" i="106" s="1"/>
  <c r="K342" i="29"/>
  <c r="F13" i="34" s="1"/>
  <c r="F41" i="108"/>
  <c r="G43" i="108" s="1"/>
  <c r="B7235" i="106"/>
  <c r="D7235" i="106" s="1"/>
  <c r="H77" i="4"/>
  <c r="B3299" i="106" s="1"/>
  <c r="D3299" i="106" s="1"/>
  <c r="N57" i="184"/>
  <c r="N68" i="184" s="1"/>
  <c r="E68" i="184"/>
  <c r="B4435" i="106"/>
  <c r="D4435" i="106" s="1"/>
  <c r="N23" i="3"/>
  <c r="B284" i="106" s="1"/>
  <c r="D284" i="106" s="1"/>
  <c r="J16" i="4"/>
  <c r="B6226" i="106" s="1"/>
  <c r="D6226" i="106" s="1"/>
  <c r="L16" i="11"/>
  <c r="B2061" i="106" s="1"/>
  <c r="D2061" i="106" s="1"/>
  <c r="C367" i="29"/>
  <c r="B3622" i="106" s="1"/>
  <c r="D3622" i="106" s="1"/>
  <c r="B7220" i="106"/>
  <c r="D7220" i="106" s="1"/>
  <c r="F75" i="34"/>
  <c r="B7886" i="106" s="1"/>
  <c r="D7886" i="106" s="1"/>
  <c r="H151" i="29"/>
  <c r="B1273" i="106" s="1"/>
  <c r="D1273" i="106" s="1"/>
  <c r="B1381" i="106"/>
  <c r="D1381" i="106" s="1"/>
  <c r="K77" i="4"/>
  <c r="B3587" i="106" s="1"/>
  <c r="D3587" i="106" s="1"/>
  <c r="E367" i="29"/>
  <c r="B3636" i="106" s="1"/>
  <c r="D3636" i="106" s="1"/>
  <c r="B3635" i="106"/>
  <c r="D3635" i="106" s="1"/>
  <c r="B7215" i="106"/>
  <c r="D7215" i="106" s="1"/>
  <c r="B7222" i="106"/>
  <c r="D7222" i="106" s="1"/>
  <c r="F76" i="34"/>
  <c r="B7887" i="106" s="1"/>
  <c r="D7887" i="106" s="1"/>
  <c r="B5527" i="106"/>
  <c r="D5527"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B7834" i="106" s="1"/>
  <c r="D7834" i="106" s="1"/>
  <c r="J10" i="4"/>
  <c r="B6225" i="106" s="1"/>
  <c r="D6225" i="106" s="1"/>
  <c r="J20" i="4"/>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24" i="106" l="1"/>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<sst xmlns="http://schemas.openxmlformats.org/spreadsheetml/2006/main" count="5166" uniqueCount="2094">
  <si>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</si>
  <si>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</si>
  <si>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</si>
  <si>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</si>
  <si>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</si>
  <si>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</si>
  <si>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</si>
  <si>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</si>
  <si>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</si>
  <si>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</si>
  <si>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</si>
  <si>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</si>
  <si>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</si>
  <si>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</si>
  <si>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</si>
  <si>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</si>
  <si>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</si>
  <si>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</si>
  <si>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</si>
  <si>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</si>
  <si>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</si>
  <si>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</si>
  <si>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</si>
  <si>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</si>
  <si>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</si>
  <si>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</si>
  <si>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</si>
  <si>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</si>
  <si>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</si>
  <si>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</si>
  <si>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</si>
  <si>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</si>
  <si>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</si>
  <si>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</si>
  <si>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</si>
  <si>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</si>
  <si>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</si>
  <si>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</si>
  <si>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</si>
  <si>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</si>
  <si>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</si>
  <si>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</si>
  <si>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</si>
  <si>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</si>
  <si>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</si>
  <si>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</si>
  <si>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</si>
  <si>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</si>
  <si>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</si>
  <si>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</si>
  <si>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</si>
  <si>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</si>
  <si>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</si>
  <si>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</si>
  <si>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</si>
  <si>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</si>
  <si>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</si>
  <si>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</si>
  <si>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</si>
  <si>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</si>
  <si>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</si>
  <si>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</si>
  <si>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</si>
  <si>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</si>
  <si>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</si>
  <si>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</si>
  <si>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</si>
  <si>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</si>
  <si>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</si>
  <si>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</si>
  <si>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</si>
  <si>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</si>
  <si>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</si>
  <si>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</si>
  <si>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</si>
  <si>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</si>
  <si>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</si>
  <si>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</si>
  <si>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</si>
  <si>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</si>
  <si>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</si>
  <si>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</si>
  <si>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</si>
  <si>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</si>
  <si>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</si>
  <si>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</si>
  <si>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</si>
  <si>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</si>
  <si>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</si>
  <si>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</si>
  <si>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</si>
  <si>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</si>
  <si>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</si>
  <si>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</si>
  <si>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</si>
  <si>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</si>
  <si>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</si>
  <si>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</si>
  <si>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</si>
  <si>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</si>
  <si>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</si>
  <si>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</si>
  <si>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</si>
  <si>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</si>
  <si>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</si>
  <si>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</si>
  <si>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</si>
  <si>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</si>
  <si>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</si>
  <si>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</si>
  <si>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</si>
  <si>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</si>
  <si>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</si>
  <si>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</si>
  <si>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</si>
  <si>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</si>
  <si>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</si>
  <si>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</si>
  <si>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</si>
  <si>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</si>
  <si>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</si>
  <si>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</si>
  <si>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</si>
  <si>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</si>
  <si>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</si>
  <si>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</si>
  <si>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</si>
  <si>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</si>
  <si>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</si>
  <si>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</si>
  <si>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</si>
  <si>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</si>
  <si>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</si>
  <si>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</si>
  <si>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</si>
  <si>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</si>
  <si>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</si>
  <si>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</si>
  <si>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</si>
  <si>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</si>
  <si>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</si>
  <si>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</si>
  <si>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</si>
  <si>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</si>
  <si>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</si>
  <si>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</si>
  <si>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</si>
  <si>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</si>
  <si>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</si>
  <si>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</si>
  <si>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</si>
  <si>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</si>
  <si>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</si>
  <si>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</si>
  <si>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</si>
  <si>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</si>
  <si>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</si>
  <si>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</si>
  <si>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</si>
  <si>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</si>
  <si>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</si>
  <si>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</si>
  <si>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</si>
  <si>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</si>
  <si>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</si>
  <si>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</si>
  <si>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</si>
  <si>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</si>
  <si>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</si>
  <si>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</si>
  <si>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</si>
  <si>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</si>
  <si>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</si>
  <si>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</si>
  <si>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</si>
  <si>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</si>
  <si>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</si>
  <si>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</si>
  <si>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</si>
  <si>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</si>
  <si>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</si>
  <si>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</si>
  <si>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</si>
  <si>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</si>
  <si>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</si>
  <si>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</si>
  <si>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</si>
  <si>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</si>
  <si>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</si>
  <si>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</si>
  <si>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</si>
  <si>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</si>
  <si>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</si>
  <si>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</si>
  <si>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</si>
  <si>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</si>
  <si>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</si>
  <si>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</si>
  <si>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</si>
  <si>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</si>
  <si>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</si>
  <si>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</si>
  <si>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</si>
  <si>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</si>
  <si>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</si>
  <si>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</si>
  <si>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</si>
  <si>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</si>
  <si>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</si>
  <si>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</si>
  <si>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</si>
  <si>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</si>
  <si>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</si>
  <si>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</si>
  <si>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</si>
  <si>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</si>
  <si>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</si>
  <si>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</si>
  <si>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</si>
  <si>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</si>
  <si>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</si>
  <si>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</si>
  <si>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</si>
  <si>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</si>
  <si>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</si>
  <si>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</si>
  <si>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</si>
  <si>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</si>
  <si>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</si>
  <si>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</si>
  <si>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</si>
  <si>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</si>
  <si>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</si>
  <si>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</si>
  <si>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</si>
  <si>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</si>
  <si>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</si>
  <si>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</si>
  <si>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</si>
  <si>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</si>
  <si>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</si>
  <si>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</si>
  <si>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</si>
  <si>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</si>
  <si>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</si>
  <si>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</si>
  <si>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</si>
  <si>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</si>
  <si>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</si>
  <si>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</si>
  <si>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</si>
  <si>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</si>
  <si>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</si>
  <si>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</si>
  <si>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</si>
  <si>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</si>
  <si>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</si>
  <si>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</si>
  <si>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</si>
  <si>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</si>
  <si>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</si>
  <si>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</si>
  <si>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</si>
  <si>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</si>
  <si>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</si>
  <si>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</si>
  <si>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</si>
  <si>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</si>
  <si>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</si>
  <si>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</si>
  <si>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</si>
  <si>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</si>
  <si>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</si>
  <si>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</si>
  <si>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</si>
  <si>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</si>
  <si>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</si>
  <si>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</si>
  <si>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</si>
  <si>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</si>
  <si>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</si>
  <si>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</si>
  <si>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</si>
  <si>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</si>
  <si>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</si>
  <si>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</si>
  <si>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</si>
  <si>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</si>
  <si>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</si>
  <si>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</si>
  <si>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</si>
  <si>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</si>
  <si>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</si>
  <si>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</si>
  <si>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</si>
  <si>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</si>
  <si>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</si>
  <si>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</si>
  <si>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</si>
  <si>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</si>
  <si>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</si>
  <si>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</si>
  <si>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</si>
  <si>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</si>
  <si>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</si>
  <si>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</si>
  <si>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</si>
  <si>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</si>
  <si>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</si>
  <si>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</si>
  <si>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</si>
  <si>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</si>
  <si>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</si>
  <si>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</si>
  <si>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</si>
  <si>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</si>
  <si>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</si>
  <si>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</si>
  <si>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</si>
  <si>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</si>
  <si>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</si>
  <si>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</si>
  <si>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</si>
  <si>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</si>
  <si>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</si>
  <si>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</si>
  <si>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</si>
  <si>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</si>
  <si>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</si>
  <si>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</si>
  <si>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</si>
  <si>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</si>
  <si>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</si>
  <si>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</si>
  <si>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</si>
  <si>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</si>
  <si>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</si>
  <si>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</si>
  <si>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</si>
  <si>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</si>
  <si>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</si>
  <si>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</si>
  <si>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</si>
  <si>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</si>
  <si>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</si>
  <si>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</si>
  <si>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</si>
  <si>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</si>
  <si>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</si>
  <si>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</si>
  <si>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</si>
  <si>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</si>
  <si>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</si>
  <si>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</si>
  <si>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</si>
  <si>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</si>
  <si>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</si>
  <si>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</si>
  <si>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</si>
  <si>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</si>
  <si>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</si>
  <si>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</si>
  <si>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</si>
  <si>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</si>
  <si>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</si>
  <si>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</si>
  <si>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</si>
  <si>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</si>
  <si>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</si>
  <si>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</si>
  <si>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</si>
  <si>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</si>
  <si>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</si>
  <si>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</si>
  <si>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</si>
  <si>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</si>
  <si>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</si>
  <si>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</si>
  <si>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</si>
  <si>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</si>
  <si>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</si>
  <si>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</si>
  <si>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</si>
  <si>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</si>
  <si>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</si>
  <si>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</si>
  <si>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</si>
  <si>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</si>
  <si>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</si>
  <si>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</si>
  <si>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</si>
  <si>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</si>
  <si>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</si>
  <si>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</si>
  <si>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</si>
  <si>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</si>
  <si>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</si>
  <si>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</si>
  <si>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</si>
  <si>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</si>
  <si>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</si>
  <si>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</si>
  <si>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</si>
  <si>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</si>
  <si>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</si>
  <si>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</si>
  <si>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</si>
  <si>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</si>
  <si>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</si>
  <si>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</si>
  <si>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</si>
  <si>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</si>
  <si>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</si>
  <si>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</si>
  <si>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</si>
  <si>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</si>
  <si>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</si>
  <si>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</si>
  <si>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</si>
  <si>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</si>
  <si>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</si>
  <si>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</si>
  <si>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</si>
  <si>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</si>
  <si>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</si>
  <si>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</si>
  <si>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</si>
  <si>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</si>
  <si>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</si>
  <si>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</si>
  <si>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</si>
  <si>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</si>
  <si>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</si>
  <si>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</si>
  <si>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</si>
  <si>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</si>
  <si>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</si>
  <si>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</si>
  <si>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</si>
  <si>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</si>
  <si>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</si>
  <si>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</si>
  <si>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</si>
  <si>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</si>
  <si>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</si>
  <si>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</si>
  <si>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</si>
  <si>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</si>
  <si>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</si>
  <si>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</si>
  <si>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</si>
  <si>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</si>
  <si>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</si>
  <si>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</si>
  <si>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</si>
  <si>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</si>
  <si>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</si>
  <si>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</si>
  <si>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</si>
  <si>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</si>
  <si>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</si>
  <si>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</si>
  <si>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</si>
  <si>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</si>
  <si>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</si>
  <si>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</si>
  <si>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</si>
  <si>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</si>
  <si>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</si>
  <si>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</si>
  <si>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</si>
  <si>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</si>
  <si>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</si>
  <si>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</si>
  <si>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</si>
  <si>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</si>
  <si>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</si>
  <si>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</si>
  <si>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</si>
  <si>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</si>
  <si>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</si>
  <si>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</si>
  <si>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</si>
  <si>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</si>
  <si>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</si>
  <si>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</si>
  <si>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</si>
  <si>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</si>
  <si>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</si>
  <si>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</si>
  <si>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</si>
  <si>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</si>
  <si>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</si>
  <si>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</si>
  <si>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</si>
  <si>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</si>
  <si>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</si>
  <si>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</si>
  <si>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</si>
  <si>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</si>
  <si>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</si>
  <si>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</si>
  <si>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</si>
  <si>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</si>
  <si>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</si>
  <si>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</si>
  <si>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</si>
  <si>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</si>
  <si>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</si>
  <si>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</si>
  <si>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</si>
  <si>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</si>
  <si>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</si>
  <si>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</si>
  <si>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</si>
  <si>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</si>
  <si>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</si>
  <si>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</si>
  <si>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</si>
  <si>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</si>
  <si>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</si>
  <si>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</si>
  <si>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</si>
  <si>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</si>
  <si>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</si>
  <si>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</si>
  <si>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</si>
  <si>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</si>
  <si>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</si>
  <si>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</si>
  <si>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</si>
  <si>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</si>
  <si>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</si>
  <si>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</si>
  <si>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</si>
  <si>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</si>
  <si>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</si>
  <si>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</si>
  <si>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</si>
  <si>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</si>
  <si>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</si>
  <si>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</si>
  <si>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</si>
  <si>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</si>
  <si>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</si>
  <si>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</si>
  <si>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</si>
  <si>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</si>
  <si>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</si>
  <si>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</si>
  <si>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</si>
  <si>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</si>
  <si>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</si>
  <si>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</si>
  <si>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</si>
  <si>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</si>
  <si>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</si>
  <si>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</si>
  <si>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</si>
  <si>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</si>
  <si>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</si>
  <si>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</si>
  <si>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</si>
  <si>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</si>
  <si>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</si>
  <si>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</si>
  <si>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</si>
  <si>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</si>
  <si>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</si>
  <si>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</si>
  <si>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</si>
  <si>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</si>
  <si>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</si>
  <si>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</si>
  <si>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</si>
  <si>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</si>
  <si>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</si>
  <si>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</si>
  <si>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</si>
  <si>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</si>
  <si>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</si>
  <si>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</si>
  <si>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</si>
  <si>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</si>
  <si>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</si>
  <si>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</si>
  <si>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</si>
  <si>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</si>
  <si>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</si>
  <si>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</si>
  <si>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</si>
  <si>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</si>
  <si>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</si>
  <si>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</si>
  <si>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</si>
  <si>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</si>
  <si>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</si>
  <si>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</si>
  <si>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</si>
  <si>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</si>
  <si>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</si>
  <si>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</si>
  <si>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</si>
  <si>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</si>
  <si>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</si>
  <si>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</si>
  <si>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</si>
  <si>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</si>
  <si>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</si>
  <si>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</si>
  <si>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</si>
  <si>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</si>
  <si>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</si>
  <si>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</si>
  <si>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</si>
  <si>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</si>
  <si>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</si>
  <si>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</si>
  <si>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</si>
  <si>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</si>
  <si>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</si>
  <si>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</si>
  <si>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</si>
  <si>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</si>
  <si>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</si>
  <si>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</si>
  <si>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</si>
  <si>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</si>
  <si>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</si>
  <si>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</si>
  <si>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</si>
  <si>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</si>
  <si>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</si>
  <si>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</si>
  <si>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</si>
  <si>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</si>
  <si>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</si>
  <si>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</si>
  <si>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</si>
  <si>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</si>
  <si>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</si>
  <si>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</si>
  <si>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</si>
  <si>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</si>
  <si>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</si>
  <si>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</si>
  <si>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</si>
  <si>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</si>
  <si>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</si>
  <si>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</si>
  <si>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</si>
  <si>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</si>
  <si>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</si>
  <si>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</si>
  <si>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</si>
  <si>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</si>
  <si>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</si>
  <si>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</si>
  <si>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</si>
  <si>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</si>
  <si>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</si>
  <si>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</si>
  <si>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</si>
  <si>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</si>
  <si>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</si>
  <si>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</si>
  <si>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</si>
  <si>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</si>
  <si>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</si>
  <si>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</si>
  <si>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</si>
  <si>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</si>
  <si>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</si>
  <si>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</si>
  <si>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</si>
  <si>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</si>
  <si>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</si>
  <si>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</si>
  <si>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</si>
  <si>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</si>
  <si>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</si>
  <si>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</si>
  <si>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</si>
  <si>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</si>
  <si>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</si>
  <si>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</si>
  <si>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</si>
  <si>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</si>
  <si>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</si>
  <si>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</si>
  <si>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</si>
  <si>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</si>
  <si>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</si>
  <si>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</si>
  <si>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</si>
  <si>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</si>
  <si>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</si>
  <si>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</si>
  <si>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</si>
  <si>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</si>
  <si>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</si>
  <si>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</si>
  <si>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</si>
  <si>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</si>
  <si>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</si>
  <si>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</si>
  <si>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</si>
  <si>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</si>
  <si>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</si>
  <si>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</si>
  <si>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</si>
  <si>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</si>
  <si>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</si>
  <si>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</si>
  <si>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</si>
  <si>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</si>
  <si>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</si>
  <si>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</si>
  <si>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</si>
  <si>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</si>
  <si>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</si>
  <si>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</si>
  <si>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</si>
  <si>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</si>
  <si>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</si>
  <si>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</si>
  <si>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</si>
  <si>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</si>
  <si>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</si>
  <si>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</si>
  <si>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</si>
  <si>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</si>
  <si>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</si>
  <si>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</si>
  <si>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</si>
  <si>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</si>
  <si>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</si>
  <si>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</si>
  <si>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</si>
  <si>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</si>
  <si>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</si>
  <si>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</si>
  <si>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</si>
  <si>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</si>
  <si>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</si>
  <si>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</si>
  <si>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</si>
  <si>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</si>
  <si>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</si>
  <si>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</si>
  <si>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</si>
  <si>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</si>
  <si>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</si>
  <si>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</si>
  <si>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</si>
  <si>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</si>
  <si>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</si>
  <si>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</si>
  <si>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</si>
  <si>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</si>
  <si>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</si>
  <si>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</si>
  <si>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</si>
  <si>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</si>
  <si>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</si>
  <si>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</si>
  <si>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</si>
  <si>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</si>
  <si>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</si>
  <si>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</si>
  <si>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</si>
  <si>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</si>
  <si>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</si>
  <si>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</si>
  <si>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</si>
  <si>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</si>
  <si>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</si>
  <si>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</si>
  <si>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</si>
  <si>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</si>
  <si>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</si>
  <si>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</si>
  <si>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</si>
  <si>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</si>
  <si>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</si>
  <si>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</si>
  <si>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</si>
  <si>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</si>
  <si>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</si>
  <si>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</si>
  <si>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</si>
  <si>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</si>
  <si>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</si>
  <si>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</si>
  <si>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</si>
  <si>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</si>
  <si>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</si>
  <si>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</si>
  <si>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</si>
  <si>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</si>
  <si>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</si>
  <si>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</si>
  <si>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</si>
  <si>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</si>
  <si>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</si>
  <si>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</si>
  <si>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</si>
  <si>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</si>
  <si>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</si>
  <si>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</si>
  <si>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</si>
  <si>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</si>
  <si>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</si>
  <si>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</si>
  <si>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</si>
  <si>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</si>
  <si>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</si>
  <si>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</si>
  <si>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</si>
  <si>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</si>
  <si>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</si>
  <si>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</si>
  <si>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</si>
  <si>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</si>
  <si>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</si>
  <si>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</si>
  <si>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</si>
  <si>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</si>
  <si>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</si>
  <si>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</si>
  <si>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</si>
  <si>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</si>
  <si>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</si>
  <si>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</si>
  <si>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</si>
  <si>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</si>
  <si>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</si>
  <si>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</si>
  <si>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</si>
  <si>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</si>
  <si>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</si>
  <si>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</si>
  <si>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</si>
  <si>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</si>
  <si>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</si>
  <si>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</si>
  <si>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</si>
  <si>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</si>
  <si>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</si>
  <si>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</si>
  <si>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</si>
  <si>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</si>
  <si>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</si>
  <si>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</si>
  <si>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</si>
  <si>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</si>
  <si>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</si>
  <si>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</si>
  <si>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</si>
  <si>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</si>
  <si>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</si>
  <si>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</si>
  <si>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</si>
  <si>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</si>
  <si>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</si>
  <si>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</si>
  <si>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</si>
  <si>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</si>
  <si>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</si>
  <si>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</si>
  <si>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</si>
  <si>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</si>
  <si>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</si>
  <si>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</si>
  <si>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</si>
  <si>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</si>
  <si>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</si>
  <si>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</si>
  <si>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</si>
  <si>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</si>
  <si>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</si>
  <si>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</si>
  <si>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</si>
  <si>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</si>
  <si>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</si>
  <si>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</si>
  <si>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</si>
  <si>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</si>
  <si>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</si>
  <si>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</si>
  <si>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</si>
  <si>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</si>
  <si>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</si>
  <si>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</si>
  <si>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</si>
  <si>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</si>
  <si>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</si>
  <si>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</si>
  <si>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</si>
  <si>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</si>
  <si>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</si>
  <si>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</si>
  <si>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</si>
  <si>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</si>
  <si>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</si>
  <si>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</si>
  <si>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</si>
  <si>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</si>
  <si>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</si>
  <si>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</si>
  <si>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</si>
  <si>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</si>
  <si>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</si>
  <si>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</si>
  <si>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</si>
  <si>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</si>
  <si>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</si>
  <si>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</si>
  <si>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</si>
  <si>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</si>
  <si>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</si>
  <si>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</si>
  <si>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</si>
  <si>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</si>
  <si>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</si>
  <si>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</si>
  <si>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</si>
  <si>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</si>
  <si>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</si>
  <si>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</si>
  <si>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</si>
  <si>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</si>
  <si>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</si>
  <si>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</si>
  <si>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</si>
  <si>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</si>
  <si>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</si>
  <si>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</si>
  <si>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</si>
  <si>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</si>
  <si>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</si>
  <si>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</si>
  <si>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</si>
  <si>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</si>
  <si>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</si>
  <si>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</si>
  <si>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</si>
  <si>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</si>
  <si>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</si>
  <si>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</si>
  <si>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</si>
  <si>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</si>
  <si>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</si>
  <si>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</si>
  <si>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</si>
  <si>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</si>
  <si>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</si>
  <si>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</si>
  <si>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</si>
  <si>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</si>
  <si>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</si>
  <si>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</si>
  <si>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</si>
  <si>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</si>
  <si>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</si>
  <si>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</si>
  <si>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</si>
  <si>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</si>
  <si>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</si>
  <si>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</si>
  <si>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</si>
  <si>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</si>
  <si>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</si>
  <si>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</si>
  <si>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</si>
  <si>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</si>
  <si>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</si>
  <si>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</si>
  <si>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</si>
  <si>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</si>
  <si>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</si>
  <si>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</si>
  <si>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</si>
  <si>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</si>
  <si>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</si>
  <si>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</si>
  <si>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</si>
  <si>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</si>
  <si>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</si>
  <si>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</si>
  <si>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</si>
  <si>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</si>
  <si>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</si>
  <si>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</si>
  <si>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</si>
  <si>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</si>
  <si>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</si>
  <si>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</si>
  <si>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</si>
  <si>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</si>
  <si>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</si>
  <si>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</si>
  <si>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</si>
  <si>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</si>
  <si>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</si>
  <si>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</si>
  <si>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</si>
  <si>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</si>
  <si>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</si>
  <si>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</si>
  <si>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</si>
  <si>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</si>
  <si>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</si>
  <si>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</si>
  <si>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</si>
  <si>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</si>
  <si>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</si>
  <si>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</si>
  <si>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</si>
  <si>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</si>
  <si>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</si>
  <si>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</si>
  <si>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</si>
  <si>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</si>
  <si>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</si>
  <si>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</si>
  <si>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</si>
  <si>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</si>
  <si>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</si>
  <si>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</si>
  <si>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</si>
  <si>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</si>
  <si>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</si>
  <si>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</si>
  <si>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</si>
  <si>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</si>
  <si>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</si>
  <si>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</si>
  <si>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</si>
  <si>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</si>
  <si>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</si>
  <si>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</si>
  <si>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</si>
  <si>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</si>
  <si>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</si>
  <si>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</si>
  <si>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</si>
  <si>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</si>
  <si>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</si>
  <si>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</si>
  <si>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</si>
  <si>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</si>
  <si>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</si>
  <si>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</si>
  <si>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</si>
  <si>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</si>
  <si>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</si>
  <si>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</si>
  <si>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</si>
  <si>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</si>
  <si>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</si>
  <si>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</si>
  <si>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</si>
  <si>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</si>
  <si>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</si>
  <si>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</si>
  <si>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</si>
  <si>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</si>
  <si>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</si>
  <si>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</si>
  <si>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</si>
  <si>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</si>
  <si>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</si>
  <si>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</si>
  <si>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</si>
  <si>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</si>
  <si>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</si>
  <si>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</si>
  <si>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</si>
  <si>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</si>
  <si>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</si>
  <si>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</si>
  <si>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</si>
  <si>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</si>
  <si>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</si>
  <si>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</si>
  <si>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</si>
  <si>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</si>
  <si>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</si>
  <si>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</si>
  <si>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</si>
  <si>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</si>
  <si>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</si>
  <si>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</si>
  <si>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</si>
  <si>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</si>
  <si>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</si>
  <si>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</si>
  <si>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</si>
  <si>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</si>
  <si>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</si>
  <si>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</si>
  <si>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</si>
  <si>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</si>
  <si>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</si>
  <si>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</si>
  <si>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</si>
  <si>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</si>
  <si>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</si>
  <si>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</si>
  <si>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</si>
  <si>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</si>
  <si>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</si>
  <si>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</si>
  <si>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</si>
  <si>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</si>
  <si>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</si>
  <si>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</si>
  <si>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</si>
  <si>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</si>
  <si>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</si>
  <si>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</si>
  <si>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</si>
  <si>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</si>
  <si>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</si>
  <si>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</si>
  <si>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</si>
  <si>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</si>
  <si>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</si>
  <si>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</si>
  <si>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</si>
  <si>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</si>
  <si>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</si>
  <si>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</si>
  <si>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</si>
  <si>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</si>
  <si>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</si>
  <si>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</si>
  <si>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</si>
  <si>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</si>
  <si>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</si>
  <si>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</si>
  <si>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</si>
  <si>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</si>
  <si>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</si>
  <si>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</si>
  <si>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</si>
  <si>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</si>
  <si>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</si>
  <si>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</si>
  <si>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</si>
  <si>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</si>
  <si>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</si>
  <si>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</si>
  <si>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</si>
  <si>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</si>
  <si>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</si>
  <si>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</si>
  <si>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</si>
  <si>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</si>
  <si>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</si>
  <si>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</si>
  <si>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</si>
  <si>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</si>
  <si>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</si>
  <si>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</si>
  <si>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</si>
  <si>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</si>
  <si>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</si>
  <si>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</si>
  <si>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</si>
  <si>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</si>
  <si>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</si>
  <si>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</si>
  <si>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</si>
  <si>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</si>
  <si>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</si>
  <si>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</si>
  <si>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</si>
  <si>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</si>
  <si>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</si>
  <si>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</si>
  <si>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</si>
  <si>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</si>
  <si>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</si>
  <si>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</si>
  <si>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</si>
  <si>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</si>
  <si>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</si>
  <si>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</si>
  <si>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</si>
  <si>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</si>
  <si>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</si>
  <si>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</si>
  <si>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</si>
  <si>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</si>
  <si>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</si>
  <si>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</si>
  <si>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</si>
  <si>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</si>
  <si>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</si>
  <si>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</si>
  <si>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</si>
  <si>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</si>
  <si>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</si>
  <si>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</si>
  <si>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</si>
  <si>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</si>
  <si>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</si>
  <si>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</si>
  <si>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</si>
  <si>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</si>
  <si>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</si>
  <si>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</si>
  <si>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</si>
  <si>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</si>
  <si>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</si>
  <si>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</si>
  <si>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</si>
  <si>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</si>
  <si>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</si>
  <si>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</si>
  <si>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</si>
  <si>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</si>
  <si>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</si>
  <si>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</si>
  <si>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</si>
  <si>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</si>
  <si>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</si>
  <si>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</si>
  <si>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</si>
  <si>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</si>
  <si>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</si>
  <si>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</si>
  <si>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</si>
  <si>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</si>
  <si>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</si>
  <si>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</si>
  <si>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</si>
  <si>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</si>
  <si>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</si>
  <si>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</si>
  <si>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</si>
  <si>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</si>
  <si>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</si>
  <si>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</si>
  <si>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</si>
  <si>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</si>
  <si>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</si>
  <si>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</si>
  <si>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</si>
  <si>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</si>
  <si>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</si>
  <si>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</si>
  <si>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</si>
  <si>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</si>
  <si>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</si>
  <si>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</si>
  <si>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</si>
  <si>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</si>
  <si>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</si>
  <si>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</si>
  <si>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</si>
  <si>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</si>
  <si>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</si>
  <si>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</si>
  <si>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</si>
  <si>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</si>
  <si>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</si>
  <si>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</si>
  <si>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</si>
  <si>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</si>
  <si>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</si>
  <si>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</si>
  <si>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</si>
  <si>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</si>
  <si>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</si>
  <si>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</si>
  <si>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</si>
  <si>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</si>
  <si>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</si>
  <si>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</si>
  <si>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</si>
  <si>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</si>
  <si>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</si>
  <si>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</si>
  <si>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</si>
  <si>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</si>
  <si>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</si>
  <si>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</si>
  <si>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</si>
  <si>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</si>
  <si>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</si>
  <si>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</si>
  <si>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</si>
  <si>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</si>
  <si>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</si>
  <si>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</si>
  <si>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</si>
  <si>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</si>
  <si>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</si>
  <si>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</si>
  <si>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</si>
  <si>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</si>
  <si>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</si>
  <si>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</si>
  <si>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</si>
  <si>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</si>
  <si>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</si>
  <si>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</si>
  <si>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</si>
  <si>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</si>
  <si>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</si>
  <si>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</si>
  <si>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</si>
  <si>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</si>
  <si>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</si>
  <si>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</si>
  <si>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</si>
  <si>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</si>
  <si>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</si>
  <si>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</si>
  <si>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</si>
  <si>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</si>
  <si>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</si>
  <si>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</si>
  <si>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</si>
  <si>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</si>
  <si>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</si>
  <si>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</si>
  <si>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</si>
  <si>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</si>
  <si>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</si>
  <si>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</si>
  <si>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</si>
  <si>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</si>
  <si>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</si>
  <si>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</si>
  <si>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</si>
  <si>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</si>
  <si>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</si>
  <si>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</si>
  <si>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</si>
  <si>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</si>
  <si>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</si>
  <si>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</si>
  <si>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</si>
  <si>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</si>
  <si>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</si>
  <si>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</si>
  <si>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</si>
  <si>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</si>
  <si>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</si>
  <si>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</si>
  <si>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</si>
  <si>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</si>
  <si>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</si>
  <si>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</si>
  <si>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</si>
  <si>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</si>
  <si>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</si>
  <si>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</si>
  <si>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</si>
  <si>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</si>
  <si>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</si>
  <si>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</si>
  <si>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</si>
  <si>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</si>
  <si>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</si>
  <si>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</si>
  <si>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</si>
  <si>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</si>
  <si>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</si>
  <si>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</si>
  <si>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</si>
  <si>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</si>
  <si>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</si>
  <si>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</si>
  <si>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</si>
  <si>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</si>
  <si>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</si>
  <si>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</si>
  <si>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</si>
  <si>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</si>
  <si>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</si>
  <si>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</si>
  <si>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</si>
  <si>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</si>
  <si>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</si>
  <si>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</si>
  <si>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</si>
  <si>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</si>
  <si>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</si>
  <si>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</si>
  <si>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</si>
  <si>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</si>
  <si>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</si>
  <si>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</si>
  <si>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</si>
  <si>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</si>
  <si>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</si>
  <si>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</si>
  <si>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</si>
  <si>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</si>
  <si>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</si>
  <si>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</si>
  <si>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</si>
  <si>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</si>
  <si>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</si>
  <si>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</si>
  <si>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</si>
  <si>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</si>
  <si>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</si>
  <si>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</si>
  <si>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</si>
  <si>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</si>
  <si>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</si>
  <si>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</si>
  <si>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</si>
  <si>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</si>
  <si>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</si>
  <si>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</si>
  <si>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</si>
  <si>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</si>
  <si>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</si>
  <si>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</si>
  <si>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</si>
  <si>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</si>
  <si>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</si>
  <si>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</si>
  <si>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</si>
  <si>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</si>
  <si>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</si>
  <si>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</si>
  <si>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</si>
  <si>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</si>
  <si>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</si>
  <si>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</si>
  <si>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</si>
  <si>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</si>
  <si>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</si>
  <si>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</si>
  <si>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</si>
  <si>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</si>
  <si>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</si>
  <si>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</si>
  <si>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</si>
  <si>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</si>
  <si>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</si>
  <si>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</si>
  <si>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</si>
  <si>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</si>
  <si>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</si>
  <si>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</si>
  <si>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</si>
  <si>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</si>
  <si>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</si>
  <si>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</si>
  <si>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</si>
  <si>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</si>
  <si>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</si>
  <si>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</si>
  <si>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</si>
  <si>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</si>
  <si>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</si>
  <si>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</si>
  <si>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</si>
  <si>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</si>
  <si>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</si>
  <si>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</si>
  <si>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</si>
  <si>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</si>
  <si>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</si>
  <si>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</si>
  <si>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</si>
  <si>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</si>
  <si>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</si>
  <si>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</si>
  <si>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</si>
  <si>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</si>
  <si>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</si>
  <si>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</si>
  <si>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</si>
  <si>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</si>
  <si>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</si>
  <si>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</si>
  <si>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</si>
  <si>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</si>
  <si>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</si>
  <si>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</si>
  <si>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</si>
  <si>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</si>
  <si>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</si>
  <si>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</si>
  <si>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</si>
  <si>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</si>
  <si>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</si>
  <si>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</si>
  <si>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</si>
  <si>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</si>
  <si>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</si>
  <si>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</si>
  <si>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</si>
  <si>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</si>
  <si>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</si>
  <si>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</si>
  <si>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</si>
  <si>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</si>
  <si>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</si>
  <si>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</si>
  <si>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</si>
  <si>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</si>
  <si>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</si>
  <si>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</si>
  <si>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</si>
  <si>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</si>
  <si>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</si>
  <si>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</si>
  <si>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</si>
  <si>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</si>
  <si>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</si>
  <si>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</si>
  <si>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</si>
  <si>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</si>
  <si>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</si>
  <si>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</si>
  <si>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</si>
  <si>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</si>
  <si>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</si>
  <si>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</si>
  <si>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</si>
  <si>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</si>
  <si>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</si>
  <si>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</si>
  <si>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</si>
  <si>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</si>
  <si>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</si>
  <si>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</si>
  <si>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</si>
  <si>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</si>
  <si>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</si>
  <si>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</si>
  <si>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</si>
  <si>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</si>
  <si>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</si>
  <si>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</si>
  <si>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</si>
  <si>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</si>
  <si>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</si>
  <si>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</si>
  <si>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</si>
  <si>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</si>
  <si>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</si>
  <si>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</si>
  <si>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</si>
  <si>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</si>
  <si>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</si>
  <si>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</si>
  <si>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</si>
  <si>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</si>
  <si>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</si>
  <si>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</si>
  <si>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</si>
  <si>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</si>
  <si>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</si>
  <si>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</si>
  <si>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</si>
  <si>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</si>
  <si>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</si>
  <si>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</si>
  <si>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</si>
  <si>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</si>
  <si>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</si>
  <si>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</si>
  <si>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</si>
  <si>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</si>
  <si>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</si>
  <si>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</si>
  <si>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</si>
  <si>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</si>
  <si>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</si>
  <si>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</si>
  <si>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</si>
  <si>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</si>
  <si>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</si>
  <si>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</si>
  <si>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</si>
  <si>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</si>
  <si>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</si>
  <si>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</si>
  <si>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</si>
  <si>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</si>
  <si>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</si>
  <si>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</si>
  <si>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</si>
  <si>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</si>
  <si>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</si>
  <si>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</si>
  <si>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</si>
  <si>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</si>
  <si>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</si>
  <si>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</si>
  <si>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</si>
  <si>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</si>
  <si>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</si>
  <si>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</si>
  <si>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</si>
  <si>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</si>
  <si>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</si>
  <si>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</si>
  <si>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</si>
  <si>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</si>
  <si>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</si>
  <si>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</si>
  <si>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</si>
  <si>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</si>
  <si>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</si>
  <si>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</si>
  <si>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</si>
  <si>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</si>
  <si>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</si>
  <si>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</si>
  <si>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</si>
  <si>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</si>
  <si>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</si>
  <si>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</si>
  <si>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</si>
  <si>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</si>
  <si>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</si>
  <si>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</si>
  <si>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</si>
  <si>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</si>
  <si>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</si>
  <si>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</si>
  <si>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</si>
  <si>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</si>
  <si>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</si>
  <si>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</si>
  <si>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</si>
  <si>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</si>
  <si>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</si>
  <si>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</si>
  <si>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</si>
  <si>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</si>
  <si>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</si>
  <si>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</si>
  <si>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</si>
  <si>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</si>
  <si>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</si>
  <si>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</si>
  <si>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</si>
  <si>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</si>
  <si>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</si>
  <si>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</si>
  <si>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</si>
  <si>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</si>
  <si>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</si>
  <si>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</si>
  <si>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</si>
  <si>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</si>
  <si>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</si>
  <si>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</si>
  <si>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</si>
  <si>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</si>
  <si>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</si>
  <si>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</si>
  <si>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</si>
  <si>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</si>
  <si>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</si>
  <si>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</si>
  <si>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</si>
  <si>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</si>
  <si>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</si>
  <si>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</si>
  <si>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</si>
  <si>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</si>
  <si>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</si>
  <si>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</si>
  <si>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</si>
  <si>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</si>
  <si>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</si>
  <si>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</si>
  <si>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</si>
  <si>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</si>
  <si>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</si>
  <si>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</si>
  <si>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</si>
  <si>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</si>
  <si>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</si>
  <si>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</si>
  <si>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</si>
  <si>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</si>
  <si>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</si>
  <si>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</si>
  <si>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</si>
  <si>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</si>
  <si>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</si>
  <si>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</si>
  <si>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</si>
  <si>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</si>
  <si>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</si>
  <si>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</si>
  <si>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</si>
  <si>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</si>
  <si>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</si>
  <si>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</si>
  <si>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</si>
  <si>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</si>
  <si>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</si>
  <si>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</si>
  <si>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</si>
  <si>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</si>
  <si>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</si>
  <si>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</si>
  <si>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</si>
  <si>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</si>
  <si>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</si>
  <si>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</si>
  <si>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</si>
  <si>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</si>
  <si>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</si>
  <si>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</si>
  <si>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</si>
  <si>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</si>
  <si>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</si>
  <si>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</si>
  <si>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</si>
  <si>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</si>
  <si>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</si>
  <si>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</si>
  <si>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</si>
  <si>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</si>
  <si>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</si>
  <si>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</si>
  <si>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</si>
  <si>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</si>
  <si>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</si>
  <si>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</si>
  <si>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</si>
  <si>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</si>
  <si>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</si>
  <si>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</si>
  <si>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</si>
  <si>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</si>
  <si>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</si>
  <si>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</si>
  <si>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</si>
  <si>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</si>
  <si>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</si>
  <si>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</si>
  <si>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</si>
  <si>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</si>
  <si>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</si>
  <si>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</si>
  <si>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</si>
  <si>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</si>
  <si>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</si>
  <si>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</si>
  <si>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</si>
  <si>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</si>
  <si>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</si>
  <si>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</si>
  <si>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</si>
  <si>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</si>
  <si>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</si>
  <si>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</si>
  <si>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</si>
  <si>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</si>
  <si>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</si>
  <si>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</si>
  <si>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</si>
  <si>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</si>
  <si>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</si>
  <si>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</si>
  <si>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</si>
  <si>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</si>
  <si>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</si>
  <si>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</si>
  <si>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</si>
  <si>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</si>
  <si>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</si>
  <si>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</si>
  <si>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</si>
  <si>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</si>
  <si>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</si>
  <si>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</si>
  <si>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</si>
  <si>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</si>
  <si>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</si>
  <si>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</si>
  <si>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</si>
  <si>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</si>
  <si>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</si>
  <si>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</si>
  <si>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</si>
  <si>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</si>
  <si>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</si>
  <si>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</si>
  <si>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</si>
  <si>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</si>
  <si>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</si>
  <si>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</si>
  <si>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</si>
  <si>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</si>
  <si>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</si>
  <si>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</si>
  <si>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</si>
  <si>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</si>
  <si>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</si>
  <si>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</si>
  <si>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</si>
  <si>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</si>
  <si>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</si>
  <si>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</si>
  <si>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</si>
  <si>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</si>
  <si>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</si>
  <si>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</si>
  <si>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</si>
  <si>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</si>
  <si>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</si>
  <si>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</si>
  <si>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</si>
  <si>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</si>
  <si>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</si>
  <si>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</si>
  <si>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</si>
  <si>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</si>
  <si>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</si>
  <si>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</si>
  <si>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</si>
  <si>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</si>
  <si>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</si>
  <si>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</si>
  <si>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</si>
  <si>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</si>
  <si>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</si>
  <si>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</si>
  <si>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</si>
  <si>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</si>
  <si>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</si>
  <si>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</si>
  <si>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</si>
  <si>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</si>
  <si>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</si>
  <si>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</si>
  <si>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</si>
  <si>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</si>
  <si>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</si>
  <si>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</si>
  <si>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</si>
  <si>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</si>
  <si>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</si>
  <si>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</si>
  <si>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</si>
  <si>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</si>
  <si>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</si>
  <si>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</si>
  <si>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</si>
  <si>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</si>
  <si>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</si>
  <si>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</si>
  <si>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</si>
  <si>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</si>
  <si>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</si>
  <si>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</si>
  <si>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</si>
  <si>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</si>
  <si>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</si>
  <si>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</si>
  <si>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</si>
  <si>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</si>
  <si>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</si>
  <si>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</si>
  <si>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</si>
  <si>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</si>
  <si>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</si>
  <si>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</si>
  <si>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</si>
  <si>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</si>
  <si>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</si>
  <si>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</si>
  <si>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</si>
  <si>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</si>
  <si>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</si>
  <si>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</si>
  <si>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</si>
  <si>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</si>
  <si>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</si>
  <si>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</si>
  <si>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</si>
  <si>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</si>
  <si>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</si>
  <si>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</si>
  <si>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</si>
  <si>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</si>
  <si>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</si>
  <si>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</si>
  <si>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</si>
  <si>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</si>
  <si>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</si>
  <si>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</si>
  <si>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</si>
  <si>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</si>
  <si>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</si>
  <si>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</si>
  <si>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</si>
  <si>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</si>
  <si>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</si>
  <si>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</si>
  <si>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</si>
  <si>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</si>
  <si>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</si>
  <si>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</si>
  <si>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</si>
  <si>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</si>
  <si>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</si>
  <si>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</si>
  <si>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</si>
  <si>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</si>
  <si>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</si>
  <si>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</si>
  <si>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</si>
  <si>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</si>
  <si>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</si>
  <si>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</si>
  <si>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</si>
  <si>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</si>
  <si>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</si>
  <si>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</si>
  <si>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</si>
  <si>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</si>
  <si>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</si>
  <si>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</si>
  <si>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</si>
  <si>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</si>
  <si>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</si>
  <si>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</si>
  <si>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</si>
  <si>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</si>
  <si>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</si>
  <si>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</si>
  <si>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</si>
  <si>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</si>
  <si>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</si>
  <si>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</si>
  <si>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</si>
  <si>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</si>
  <si>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</si>
  <si>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</si>
  <si>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</si>
  <si>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</si>
  <si>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</si>
  <si>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</si>
  <si>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</si>
  <si>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</si>
  <si>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</si>
  <si>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</si>
  <si>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</si>
  <si>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</si>
  <si>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</si>
  <si>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</si>
  <si>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</si>
  <si>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</si>
  <si>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</si>
  <si>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</si>
  <si>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</si>
  <si>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</si>
  <si>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</si>
  <si>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</si>
  <si>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</si>
  <si>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</si>
  <si>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</si>
  <si>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</si>
  <si>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</si>
  <si>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</si>
  <si>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</si>
  <si>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</si>
  <si>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</si>
  <si>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</si>
  <si>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</si>
  <si>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</si>
  <si>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</si>
  <si>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</si>
  <si>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</si>
  <si>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</si>
  <si>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</si>
  <si>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</si>
  <si>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</si>
  <si>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</si>
  <si>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</si>
  <si>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</si>
  <si>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</si>
  <si>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</si>
  <si>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</si>
  <si>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</si>
  <si>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</si>
  <si>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</si>
  <si>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</si>
  <si>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</si>
  <si>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</si>
  <si>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</si>
  <si>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</si>
  <si>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</si>
  <si>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</si>
  <si>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</si>
  <si>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</si>
  <si>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</si>
  <si>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</si>
  <si>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</si>
  <si>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</si>
  <si>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</si>
  <si>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</si>
  <si>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</si>
  <si>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</si>
  <si>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</si>
  <si>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</si>
  <si>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</si>
  <si>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</si>
  <si>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</si>
  <si>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</si>
  <si>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</si>
  <si>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</si>
  <si>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</si>
  <si>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</si>
  <si>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</si>
  <si>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</si>
  <si>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</si>
  <si>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</si>
  <si>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</si>
  <si>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</si>
  <si>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</si>
  <si>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</si>
  <si>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</si>
  <si>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</si>
  <si>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</si>
  <si>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</si>
  <si>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</si>
  <si>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</si>
  <si>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</si>
  <si>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</si>
  <si>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</si>
  <si>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</si>
  <si>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</si>
  <si>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</si>
  <si>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</si>
  <si>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</si>
  <si>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</si>
  <si>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</si>
  <si>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</si>
  <si>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</si>
  <si>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</si>
  <si>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Cindy A. Bobell, CPA</t>
  </si>
  <si>
    <t>Williamson County</t>
  </si>
  <si>
    <t>10653 Khoury League Road</t>
  </si>
  <si>
    <t>18189 Cory Bailey Street</t>
  </si>
  <si>
    <t>Marion</t>
  </si>
  <si>
    <t>IL</t>
  </si>
  <si>
    <t>618-997-9711</t>
  </si>
  <si>
    <t>618-997-8014</t>
  </si>
  <si>
    <t>dhutchins@cusd3.wilmsn.k12.il.us</t>
  </si>
  <si>
    <t>cabcpa@frontier.com</t>
  </si>
  <si>
    <t>Derek Hutchins</t>
  </si>
  <si>
    <t>618-982-2181</t>
  </si>
  <si>
    <t>618-982-2050</t>
  </si>
  <si>
    <t>Qualified Zone Academy Bonds</t>
  </si>
  <si>
    <t>Working Cash Bonds</t>
  </si>
  <si>
    <t>Gen. Oblig. Bonds (Altern Revenue Source) Series 2015</t>
  </si>
  <si>
    <t>Page 10 - 10.1790               $7,517 Latchkey receipts</t>
  </si>
  <si>
    <t>Page 10 - 10.1999              $ 2,725 Illinois Public Risk Safety Grant</t>
  </si>
  <si>
    <r>
      <t xml:space="preserve">                                                  </t>
    </r>
    <r>
      <rPr>
        <u/>
        <sz val="10"/>
        <rFont val="Calibri"/>
        <family val="2"/>
        <scheme val="minor"/>
      </rPr>
      <t xml:space="preserve">  491</t>
    </r>
    <r>
      <rPr>
        <sz val="10"/>
        <rFont val="Calibri"/>
        <family val="2"/>
        <scheme val="minor"/>
      </rPr>
      <t xml:space="preserve">  Refunds and Reimbursements</t>
    </r>
  </si>
  <si>
    <t xml:space="preserve">          Total                           $3,216</t>
  </si>
  <si>
    <t>Page 12 - 10.3999              $   750 State Library Grant</t>
  </si>
  <si>
    <t>Page 15 - 10.2190.1        $   6,458 and 10.2190.2 $34 Playground Superviors</t>
  </si>
  <si>
    <t>Page 19 - 50.2190            $     494 Playground Supervisors</t>
  </si>
  <si>
    <t>Page 14 - 10.4998           $ 40,226 Rural Education Achievement Program (REAP) Grant</t>
  </si>
  <si>
    <t>X</t>
  </si>
  <si>
    <t>Williamson County Education Services</t>
  </si>
  <si>
    <t>Southern Illinois Health and Wellness Insurance Trust</t>
  </si>
  <si>
    <t>Williamson County Early Childhood Development</t>
  </si>
  <si>
    <t>No Contracts</t>
  </si>
  <si>
    <t>Actual expenditures should not exceed budgeted expenditures.</t>
  </si>
  <si>
    <t>See Note 13 for budget variances.</t>
  </si>
  <si>
    <t>Controls are not in place to ensure that actual expenditures do not exceed budgeted expenditures.</t>
  </si>
  <si>
    <t>Budget to actual comparisons should be made periodically and transfers and amendments should be made as necessary.  Adjustments and reclassifications should be taken into consideration when preparing the final budget.</t>
  </si>
  <si>
    <t>The District will review the budget to actual comparisons and the expenditure classifications and make adjustments as needed.</t>
  </si>
  <si>
    <t>2019-001</t>
  </si>
  <si>
    <t>See 2020-001</t>
  </si>
  <si>
    <t>Actual expenditures exceeded</t>
  </si>
  <si>
    <t>budgeted expenditures.</t>
  </si>
  <si>
    <t>Page 10 - 10.1819            $11,293 Computer Rentals</t>
  </si>
  <si>
    <t>The District expenditures exceeded budgeted expenditures in some funds.</t>
  </si>
  <si>
    <t>The District is not in compliance with budget requirements.</t>
  </si>
  <si>
    <t xml:space="preserve">  Crab Orchard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</si>
</sst>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Protection="1">
      <protection locked="0"/>
    </xf>
    <xf numFmtId="0" fontId="57" fillId="0" borderId="0" xfId="0" applyFont="1" applyFill="1" applyProtection="1">
      <protection locked="0"/>
    </xf>
    <xf numFmtId="0" fontId="57" fillId="0" borderId="0" xfId="0" applyFont="1" applyBorder="1" applyAlignment="1" applyProtection="1">
      <alignmen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38" fontId="2" fillId="16" borderId="156" xfId="19" applyNumberFormat="1" applyFont="1" applyFill="1" applyBorder="1" applyAlignment="1" applyProtection="1">
      <alignment horizontal="right" vertical="top"/>
    </xf>
    <xf numFmtId="0" fontId="83" fillId="0" borderId="0" xfId="0" applyFont="1" applyAlignment="1">
      <alignment vertical="top" wrapTex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4</xdr:row>
          <xdr:rowOff>123825</xdr:rowOff>
        </xdr:from>
        <xdr:to>
          <xdr:col>1</xdr:col>
          <xdr:colOff>1343025</xdr:colOff>
          <xdr:row>8</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G28" sqref="AG2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31" t="str">
        <f>"Due to ISBE on "</f>
        <v xml:space="preserve">Due to ISBE on </v>
      </c>
      <c r="B2" s="2044">
        <f>+'AFR20'!F4</f>
        <v>44151</v>
      </c>
      <c r="C2" s="2044"/>
      <c r="D2" s="2045"/>
      <c r="I2" s="2123" t="s">
        <v>2003</v>
      </c>
      <c r="J2" s="2122"/>
      <c r="K2" s="2122"/>
      <c r="L2" s="2122"/>
      <c r="M2" s="2122"/>
      <c r="N2" s="2122"/>
      <c r="O2" s="2122"/>
      <c r="P2" s="2122"/>
      <c r="Q2" s="2122"/>
      <c r="R2" s="2122"/>
      <c r="S2" s="2122"/>
    </row>
    <row r="3" spans="1:32" ht="12" customHeight="1" x14ac:dyDescent="0.2">
      <c r="A3" s="1834"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2051</v>
      </c>
      <c r="C5" s="26" t="s">
        <v>904</v>
      </c>
      <c r="D5" s="81"/>
      <c r="E5" s="81"/>
      <c r="H5" s="38"/>
      <c r="I5" s="2130" t="s">
        <v>675</v>
      </c>
      <c r="J5" s="2075"/>
      <c r="K5" s="2075"/>
      <c r="L5" s="2075"/>
      <c r="M5" s="2075"/>
      <c r="N5" s="2075"/>
      <c r="O5" s="2075"/>
      <c r="P5" s="2075"/>
      <c r="Q5" s="2075"/>
      <c r="R5" s="2075"/>
      <c r="S5" s="2075"/>
      <c r="AF5" s="1827"/>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t="s">
        <v>2051</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21100003026</v>
      </c>
      <c r="B13" s="2092"/>
      <c r="C13" s="2092"/>
      <c r="D13" s="2092"/>
      <c r="E13" s="2092"/>
      <c r="F13" s="2092"/>
      <c r="G13" s="2092"/>
      <c r="H13" s="2093"/>
      <c r="I13" s="31"/>
      <c r="J13" s="30"/>
      <c r="K13" s="28"/>
      <c r="L13" s="30"/>
      <c r="M13" s="30"/>
      <c r="N13" s="30"/>
      <c r="O13" s="30"/>
      <c r="P13" s="30"/>
      <c r="Q13" s="30"/>
      <c r="R13" s="30"/>
      <c r="S13" s="30"/>
      <c r="T13" s="2096" t="s">
        <v>2052</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9" t="s">
        <v>2053</v>
      </c>
      <c r="B15" s="2094"/>
      <c r="C15" s="2094"/>
      <c r="D15" s="2094"/>
      <c r="E15" s="2094"/>
      <c r="F15" s="2094"/>
      <c r="G15" s="2094"/>
      <c r="H15" s="2095"/>
      <c r="T15" s="2057" t="s">
        <v>2052</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2093</v>
      </c>
      <c r="B17" s="2119"/>
      <c r="C17" s="2119"/>
      <c r="D17" s="2119"/>
      <c r="E17" s="2119"/>
      <c r="F17" s="2119"/>
      <c r="G17" s="2119"/>
      <c r="H17" s="2120"/>
      <c r="T17" s="2106" t="s">
        <v>2054</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2055</v>
      </c>
      <c r="B19" s="2090"/>
      <c r="C19" s="2090"/>
      <c r="D19" s="2090"/>
      <c r="E19" s="2090"/>
      <c r="F19" s="2090"/>
      <c r="G19" s="2090"/>
      <c r="H19" s="2088"/>
      <c r="I19" s="30"/>
      <c r="J19" s="96"/>
      <c r="K19" s="40"/>
      <c r="L19" s="38"/>
      <c r="M19" s="109" t="s">
        <v>312</v>
      </c>
      <c r="P19" s="27"/>
      <c r="Q19" s="27"/>
      <c r="R19" s="27"/>
      <c r="S19" s="31"/>
      <c r="T19" s="2089" t="s">
        <v>2056</v>
      </c>
      <c r="U19" s="2087"/>
      <c r="V19" s="2087"/>
      <c r="W19" s="2088"/>
      <c r="X19" s="2104" t="s">
        <v>2057</v>
      </c>
      <c r="Y19" s="2105"/>
      <c r="Z19" s="2102">
        <v>62959</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2056</v>
      </c>
      <c r="B21" s="2087"/>
      <c r="C21" s="2087"/>
      <c r="D21" s="2087"/>
      <c r="E21" s="2087"/>
      <c r="F21" s="2087"/>
      <c r="G21" s="2087"/>
      <c r="H21" s="2088"/>
      <c r="I21" s="2112" t="s">
        <v>673</v>
      </c>
      <c r="J21" s="2075"/>
      <c r="K21" s="2075"/>
      <c r="L21" s="2075"/>
      <c r="M21" s="2075"/>
      <c r="N21" s="2075"/>
      <c r="O21" s="2075"/>
      <c r="P21" s="2075"/>
      <c r="Q21" s="2075"/>
      <c r="R21" s="2075"/>
      <c r="S21" s="2076"/>
      <c r="T21" s="2054" t="s">
        <v>2058</v>
      </c>
      <c r="U21" s="2055"/>
      <c r="V21" s="2055"/>
      <c r="W21" s="2055"/>
      <c r="X21" s="2068" t="s">
        <v>2059</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1307</v>
      </c>
      <c r="Z22" s="43"/>
      <c r="AA22" s="44"/>
    </row>
    <row r="23" spans="1:27" ht="13.5" customHeight="1" x14ac:dyDescent="0.2">
      <c r="A23" s="2109" t="s">
        <v>2060</v>
      </c>
      <c r="B23" s="2110"/>
      <c r="C23" s="2110"/>
      <c r="D23" s="2110"/>
      <c r="E23" s="2110"/>
      <c r="F23" s="2110"/>
      <c r="G23" s="2110"/>
      <c r="H23" s="2111"/>
      <c r="T23" s="2049">
        <v>65.022628999999995</v>
      </c>
      <c r="U23" s="2050"/>
      <c r="V23" s="2050"/>
      <c r="W23" s="2050"/>
      <c r="X23" s="2065">
        <v>44469</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62959</v>
      </c>
      <c r="B25" s="2087"/>
      <c r="C25" s="2087"/>
      <c r="D25" s="2087"/>
      <c r="E25" s="2087"/>
      <c r="F25" s="2087"/>
      <c r="G25" s="2087"/>
      <c r="H25" s="2088"/>
      <c r="I25" s="110"/>
      <c r="J25" s="2153"/>
      <c r="K25" s="2153"/>
      <c r="L25" s="2153"/>
      <c r="M25" s="2153"/>
      <c r="N25" s="2153"/>
      <c r="O25" s="2153"/>
      <c r="P25" s="2153"/>
      <c r="Q25" s="2153"/>
      <c r="R25" s="2153"/>
      <c r="S25" s="2154"/>
      <c r="T25" s="2046" t="s">
        <v>2061</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4" t="s">
        <v>1494</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2062</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2060</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2063</v>
      </c>
      <c r="B42" s="2136"/>
      <c r="C42" s="2137"/>
      <c r="D42" s="2150" t="s">
        <v>2064</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&amp;F&amp;R
B - 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889030</v>
      </c>
      <c r="C4" s="1722"/>
      <c r="D4" s="1723">
        <f>B4-C4</f>
        <v>889030</v>
      </c>
      <c r="E4" s="1722">
        <v>924566</v>
      </c>
      <c r="F4" s="1723">
        <f>E4-C4</f>
        <v>924566</v>
      </c>
    </row>
    <row r="5" spans="1:8" ht="13.7" customHeight="1" x14ac:dyDescent="0.2">
      <c r="A5" s="579" t="s">
        <v>865</v>
      </c>
      <c r="B5" s="1724">
        <f>'Revenues 9-14'!D5</f>
        <v>171367</v>
      </c>
      <c r="C5" s="1664"/>
      <c r="D5" s="1725">
        <f t="shared" ref="D5:D18" si="0">B5-C5</f>
        <v>171367</v>
      </c>
      <c r="E5" s="1664">
        <v>175748</v>
      </c>
      <c r="F5" s="1725">
        <f>E5-C5</f>
        <v>175748</v>
      </c>
    </row>
    <row r="6" spans="1:8" ht="13.7" customHeight="1" x14ac:dyDescent="0.2">
      <c r="A6" s="579" t="s">
        <v>408</v>
      </c>
      <c r="B6" s="1724">
        <f>'Revenues 9-14'!E5</f>
        <v>53998</v>
      </c>
      <c r="C6" s="1664"/>
      <c r="D6" s="1725">
        <f t="shared" si="0"/>
        <v>53998</v>
      </c>
      <c r="E6" s="1664">
        <v>57544</v>
      </c>
      <c r="F6" s="1725">
        <f t="shared" ref="F6:F18" si="1">E6-C6</f>
        <v>57544</v>
      </c>
    </row>
    <row r="7" spans="1:8" ht="13.7" customHeight="1" x14ac:dyDescent="0.2">
      <c r="A7" s="579" t="s">
        <v>154</v>
      </c>
      <c r="B7" s="1724">
        <f>'Revenues 9-14'!F5</f>
        <v>67193</v>
      </c>
      <c r="C7" s="1664"/>
      <c r="D7" s="1725">
        <f t="shared" si="0"/>
        <v>67193</v>
      </c>
      <c r="E7" s="1664">
        <v>68954</v>
      </c>
      <c r="F7" s="1725">
        <f t="shared" si="1"/>
        <v>68954</v>
      </c>
    </row>
    <row r="8" spans="1:8" ht="13.7" customHeight="1" x14ac:dyDescent="0.2">
      <c r="A8" s="579" t="s">
        <v>1169</v>
      </c>
      <c r="B8" s="1724">
        <f>'Revenues 9-14'!G5</f>
        <v>50237</v>
      </c>
      <c r="C8" s="1664"/>
      <c r="D8" s="1725">
        <f t="shared" si="0"/>
        <v>50237</v>
      </c>
      <c r="E8" s="1664">
        <v>51717</v>
      </c>
      <c r="F8" s="1725">
        <f t="shared" si="1"/>
        <v>51717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15311</v>
      </c>
      <c r="C10" s="1664"/>
      <c r="D10" s="1725">
        <f t="shared" si="0"/>
        <v>15311</v>
      </c>
      <c r="E10" s="1664">
        <v>16248</v>
      </c>
      <c r="F10" s="1725">
        <f t="shared" si="1"/>
        <v>16248</v>
      </c>
    </row>
    <row r="11" spans="1:8" x14ac:dyDescent="0.2">
      <c r="A11" s="579" t="s">
        <v>406</v>
      </c>
      <c r="B11" s="1724">
        <f>'Revenues 9-14'!J5</f>
        <v>93798</v>
      </c>
      <c r="C11" s="1664"/>
      <c r="D11" s="1725">
        <f t="shared" si="0"/>
        <v>93798</v>
      </c>
      <c r="E11" s="1664">
        <v>96175</v>
      </c>
      <c r="F11" s="1725">
        <f t="shared" si="1"/>
        <v>96175</v>
      </c>
    </row>
    <row r="12" spans="1:8" ht="13.7" customHeight="1" x14ac:dyDescent="0.2">
      <c r="A12" s="579" t="s">
        <v>156</v>
      </c>
      <c r="B12" s="1724">
        <f>'Revenues 9-14'!K5</f>
        <v>16862</v>
      </c>
      <c r="C12" s="1664"/>
      <c r="D12" s="1725">
        <f t="shared" si="0"/>
        <v>16862</v>
      </c>
      <c r="E12" s="1664">
        <v>17237</v>
      </c>
      <c r="F12" s="1725">
        <f t="shared" si="1"/>
        <v>17237</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13530</v>
      </c>
      <c r="C14" s="1664"/>
      <c r="D14" s="1725">
        <f t="shared" si="0"/>
        <v>13530</v>
      </c>
      <c r="E14" s="1664">
        <v>13792</v>
      </c>
      <c r="F14" s="1725">
        <f t="shared" si="1"/>
        <v>13792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50237</v>
      </c>
      <c r="C16" s="1664"/>
      <c r="D16" s="1725">
        <f t="shared" si="0"/>
        <v>50237</v>
      </c>
      <c r="E16" s="1664">
        <v>51717</v>
      </c>
      <c r="F16" s="1725">
        <f t="shared" si="1"/>
        <v>51717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1421563</v>
      </c>
      <c r="C19" s="1726">
        <f>SUM(C4:C18)</f>
        <v>0</v>
      </c>
      <c r="D19" s="1726">
        <f>SUM(D4:D18)</f>
        <v>1421563</v>
      </c>
      <c r="E19" s="1726">
        <f>SUM(E4:E18)</f>
        <v>1473698</v>
      </c>
      <c r="F19" s="1726">
        <f>SUM(F4:F18)</f>
        <v>1473698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T24" sqref="T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1779</v>
      </c>
      <c r="B2" s="23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626</v>
      </c>
      <c r="B4" s="2311"/>
      <c r="C4" s="1656"/>
      <c r="D4" s="1656"/>
      <c r="E4" s="1656"/>
      <c r="F4" s="1732">
        <f>SUM(C4+D4)-E4</f>
        <v>0</v>
      </c>
    </row>
    <row r="5" spans="1:7" ht="15.75" customHeight="1" thickTop="1" x14ac:dyDescent="0.2">
      <c r="A5" s="2295" t="s">
        <v>1101</v>
      </c>
      <c r="B5" s="2296"/>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07" t="s">
        <v>1102</v>
      </c>
      <c r="B16" s="2296"/>
      <c r="C16" s="2304"/>
      <c r="D16" s="2305"/>
      <c r="E16" s="2305"/>
      <c r="F16" s="2306"/>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322" t="s">
        <v>1103</v>
      </c>
      <c r="B22" s="2296"/>
      <c r="C22" s="2304"/>
      <c r="D22" s="2305"/>
      <c r="E22" s="2305"/>
      <c r="F22" s="2306"/>
    </row>
    <row r="23" spans="1:11" ht="13.5" thickBot="1" x14ac:dyDescent="0.25">
      <c r="A23" s="2310" t="s">
        <v>629</v>
      </c>
      <c r="B23" s="2311"/>
      <c r="C23" s="1656"/>
      <c r="D23" s="1656"/>
      <c r="E23" s="1656"/>
      <c r="F23" s="1732">
        <f>SUM(C23+D23)-E23</f>
        <v>0</v>
      </c>
      <c r="G23" s="473"/>
    </row>
    <row r="24" spans="1:11" ht="15.75" customHeight="1" thickTop="1" x14ac:dyDescent="0.2">
      <c r="A24" s="2322" t="s">
        <v>2006</v>
      </c>
      <c r="B24" s="2296"/>
      <c r="C24" s="2304"/>
      <c r="D24" s="2305"/>
      <c r="E24" s="2305"/>
      <c r="F24" s="2306"/>
    </row>
    <row r="25" spans="1:11" ht="13.5" thickBot="1" x14ac:dyDescent="0.25">
      <c r="A25" s="2310" t="s">
        <v>2007</v>
      </c>
      <c r="B25" s="2311"/>
      <c r="C25" s="1656"/>
      <c r="D25" s="1656"/>
      <c r="E25" s="1656"/>
      <c r="F25" s="1732">
        <f>SUM(C25+D25)-E25</f>
        <v>0</v>
      </c>
      <c r="G25" s="473"/>
    </row>
    <row r="26" spans="1:11" ht="15.75" customHeight="1" thickTop="1" x14ac:dyDescent="0.2">
      <c r="A26" s="2295" t="s">
        <v>652</v>
      </c>
      <c r="B26" s="2296"/>
      <c r="C26" s="589"/>
      <c r="D26" s="589"/>
      <c r="E26" s="589"/>
      <c r="F26" s="590"/>
    </row>
    <row r="27" spans="1:11" ht="13.5" thickBot="1" x14ac:dyDescent="0.25">
      <c r="A27" s="2297" t="s">
        <v>1061</v>
      </c>
      <c r="B27" s="2298"/>
      <c r="C27" s="1664"/>
      <c r="D27" s="1664"/>
      <c r="E27" s="1664"/>
      <c r="F27" s="1732">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41071</v>
      </c>
      <c r="C31" s="1734">
        <v>300000</v>
      </c>
      <c r="D31" s="1735">
        <v>3</v>
      </c>
      <c r="E31" s="1734">
        <v>155000</v>
      </c>
      <c r="F31" s="1734"/>
      <c r="G31" s="1734"/>
      <c r="H31" s="1734">
        <v>20000</v>
      </c>
      <c r="I31" s="1736">
        <f>((E31+F31)-H31)+G31</f>
        <v>135000</v>
      </c>
      <c r="J31" s="1734">
        <v>115000</v>
      </c>
      <c r="K31" s="596"/>
    </row>
    <row r="32" spans="1:11" ht="12" customHeight="1" x14ac:dyDescent="0.2">
      <c r="A32" s="594" t="s">
        <v>2066</v>
      </c>
      <c r="B32" s="595">
        <v>41746</v>
      </c>
      <c r="C32" s="1734">
        <v>330000</v>
      </c>
      <c r="D32" s="1735">
        <v>1</v>
      </c>
      <c r="E32" s="1734">
        <v>145000</v>
      </c>
      <c r="F32" s="1734"/>
      <c r="G32" s="1734"/>
      <c r="H32" s="1734">
        <v>50000</v>
      </c>
      <c r="I32" s="1736">
        <f>((E32+F32)-H32)+G32</f>
        <v>95000</v>
      </c>
      <c r="J32" s="1734">
        <v>40000</v>
      </c>
      <c r="K32" s="596"/>
    </row>
    <row r="33" spans="1:11" ht="12" customHeight="1" x14ac:dyDescent="0.2">
      <c r="A33" s="594" t="s">
        <v>2067</v>
      </c>
      <c r="B33" s="595">
        <v>42069</v>
      </c>
      <c r="C33" s="1734">
        <v>2080000</v>
      </c>
      <c r="D33" s="1735">
        <v>3</v>
      </c>
      <c r="E33" s="1734">
        <v>1310000</v>
      </c>
      <c r="F33" s="1734"/>
      <c r="G33" s="1734"/>
      <c r="H33" s="1734">
        <v>205000</v>
      </c>
      <c r="I33" s="1736">
        <f t="shared" ref="I33:I48" si="1">((E33+F33)-H33)+G33</f>
        <v>1105000</v>
      </c>
      <c r="J33" s="1734">
        <v>869580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2710000</v>
      </c>
      <c r="D49" s="1742"/>
      <c r="E49" s="1736">
        <f t="shared" ref="E49:J49" si="2">SUM(E31:E48)</f>
        <v>1610000</v>
      </c>
      <c r="F49" s="1736">
        <f t="shared" si="2"/>
        <v>0</v>
      </c>
      <c r="G49" s="1736">
        <f t="shared" si="2"/>
        <v>0</v>
      </c>
      <c r="H49" s="1736">
        <f t="shared" si="2"/>
        <v>275000</v>
      </c>
      <c r="I49" s="1736">
        <f t="shared" si="2"/>
        <v>1335000</v>
      </c>
      <c r="J49" s="1736">
        <f t="shared" si="2"/>
        <v>1024580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8"/>
      <c r="I1" s="614"/>
      <c r="J1" s="400"/>
    </row>
    <row r="2" spans="1:11" ht="26.25" x14ac:dyDescent="0.2">
      <c r="A2" s="2327" t="s">
        <v>1658</v>
      </c>
      <c r="B2" s="2328"/>
      <c r="C2" s="2328"/>
      <c r="D2" s="2328"/>
      <c r="E2" s="2329"/>
      <c r="F2" s="615" t="s">
        <v>898</v>
      </c>
      <c r="G2" s="616" t="s">
        <v>1655</v>
      </c>
      <c r="H2" s="616" t="s">
        <v>407</v>
      </c>
      <c r="I2" s="616" t="s">
        <v>1148</v>
      </c>
      <c r="J2" s="616" t="s">
        <v>1789</v>
      </c>
      <c r="K2" s="616" t="s">
        <v>137</v>
      </c>
    </row>
    <row r="3" spans="1:11" x14ac:dyDescent="0.2">
      <c r="A3" s="2330" t="str">
        <f>"Cash Basis Fund Balance as of July 1, "&amp;'AFR20'!E2-1</f>
        <v>Cash Basis Fund Balance as of July 1, 2019</v>
      </c>
      <c r="B3" s="2331"/>
      <c r="C3" s="2331"/>
      <c r="D3" s="2331"/>
      <c r="E3" s="2332"/>
      <c r="F3" s="617"/>
      <c r="G3" s="1744"/>
      <c r="H3" s="1744">
        <v>0</v>
      </c>
      <c r="I3" s="1744">
        <v>0</v>
      </c>
      <c r="J3" s="1745">
        <v>219472</v>
      </c>
      <c r="K3" s="1745">
        <v>0</v>
      </c>
    </row>
    <row r="4" spans="1:11" x14ac:dyDescent="0.2">
      <c r="A4" s="2333" t="s">
        <v>366</v>
      </c>
      <c r="B4" s="2334"/>
      <c r="C4" s="2334"/>
      <c r="D4" s="2334"/>
      <c r="E4" s="2315"/>
      <c r="F4" s="620"/>
      <c r="G4" s="1746"/>
      <c r="H4" s="1747"/>
      <c r="I4" s="1746"/>
      <c r="J4" s="1748"/>
      <c r="K4" s="1748"/>
    </row>
    <row r="5" spans="1:11" x14ac:dyDescent="0.2">
      <c r="A5" s="2353" t="s">
        <v>1060</v>
      </c>
      <c r="B5" s="2324"/>
      <c r="C5" s="2324"/>
      <c r="D5" s="2324"/>
      <c r="E5" s="2354"/>
      <c r="F5" s="622" t="s">
        <v>843</v>
      </c>
      <c r="G5" s="1749"/>
      <c r="H5" s="1744">
        <v>13517</v>
      </c>
      <c r="I5" s="1750"/>
      <c r="J5" s="1751"/>
      <c r="K5" s="1751"/>
    </row>
    <row r="6" spans="1:11" x14ac:dyDescent="0.2">
      <c r="A6" s="625" t="s">
        <v>715</v>
      </c>
      <c r="B6" s="626"/>
      <c r="C6" s="626"/>
      <c r="D6" s="626"/>
      <c r="E6" s="627"/>
      <c r="F6" s="628" t="s">
        <v>844</v>
      </c>
      <c r="G6" s="1744"/>
      <c r="H6" s="1744">
        <v>10</v>
      </c>
      <c r="I6" s="1744"/>
      <c r="J6" s="1745"/>
      <c r="K6" s="1745"/>
    </row>
    <row r="7" spans="1:11" x14ac:dyDescent="0.2">
      <c r="A7" s="629" t="s">
        <v>244</v>
      </c>
      <c r="B7" s="630"/>
      <c r="C7" s="630"/>
      <c r="D7" s="630"/>
      <c r="E7" s="631"/>
      <c r="F7" s="622" t="s">
        <v>845</v>
      </c>
      <c r="G7" s="1746"/>
      <c r="H7" s="1746"/>
      <c r="I7" s="1746"/>
      <c r="J7" s="1752"/>
      <c r="K7" s="1745">
        <v>900</v>
      </c>
    </row>
    <row r="8" spans="1:11" x14ac:dyDescent="0.2">
      <c r="A8" s="629" t="s">
        <v>342</v>
      </c>
      <c r="B8" s="630"/>
      <c r="C8" s="630"/>
      <c r="D8" s="630"/>
      <c r="E8" s="631"/>
      <c r="F8" s="622" t="s">
        <v>846</v>
      </c>
      <c r="G8" s="1753"/>
      <c r="H8" s="1753"/>
      <c r="I8" s="1753"/>
      <c r="J8" s="1745">
        <v>343092</v>
      </c>
      <c r="K8" s="1748"/>
    </row>
    <row r="9" spans="1:11" x14ac:dyDescent="0.2">
      <c r="A9" s="629" t="s">
        <v>137</v>
      </c>
      <c r="B9" s="630"/>
      <c r="C9" s="630"/>
      <c r="D9" s="630"/>
      <c r="E9" s="631"/>
      <c r="F9" s="628" t="s">
        <v>848</v>
      </c>
      <c r="G9" s="1753"/>
      <c r="H9" s="1749"/>
      <c r="I9" s="1749"/>
      <c r="J9" s="1752"/>
      <c r="K9" s="1745"/>
    </row>
    <row r="10" spans="1:11" x14ac:dyDescent="0.2">
      <c r="A10" s="2353" t="s">
        <v>1790</v>
      </c>
      <c r="B10" s="2324"/>
      <c r="C10" s="2324"/>
      <c r="D10" s="2324"/>
      <c r="E10" s="2355"/>
      <c r="F10" s="633" t="s">
        <v>857</v>
      </c>
      <c r="G10" s="1753"/>
      <c r="H10" s="1754"/>
      <c r="I10" s="1744"/>
      <c r="J10" s="1745"/>
      <c r="K10" s="1745"/>
    </row>
    <row r="11" spans="1:11" x14ac:dyDescent="0.2">
      <c r="A11" s="2353" t="s">
        <v>159</v>
      </c>
      <c r="B11" s="2324"/>
      <c r="C11" s="2324"/>
      <c r="D11" s="2324"/>
      <c r="E11" s="2354"/>
      <c r="F11" s="622" t="s">
        <v>847</v>
      </c>
      <c r="G11" s="1749"/>
      <c r="H11" s="1744"/>
      <c r="I11" s="1744"/>
      <c r="J11" s="1745"/>
      <c r="K11" s="1751"/>
    </row>
    <row r="12" spans="1:11" ht="13.5" thickBot="1" x14ac:dyDescent="0.25">
      <c r="A12" s="2341" t="s">
        <v>899</v>
      </c>
      <c r="B12" s="2342"/>
      <c r="C12" s="2342"/>
      <c r="D12" s="2342"/>
      <c r="E12" s="2343"/>
      <c r="F12" s="1433"/>
      <c r="G12" s="1755">
        <f>SUM(G5:G11)</f>
        <v>0</v>
      </c>
      <c r="H12" s="1755">
        <f>SUM(H5:H11)</f>
        <v>13527</v>
      </c>
      <c r="I12" s="1755">
        <f>SUM(I5:I11)</f>
        <v>0</v>
      </c>
      <c r="J12" s="1755">
        <f>SUM(J5:J11)</f>
        <v>343092</v>
      </c>
      <c r="K12" s="1755">
        <f>SUM(K5:K11)</f>
        <v>900</v>
      </c>
    </row>
    <row r="13" spans="1:11" ht="13.5" thickTop="1" x14ac:dyDescent="0.2">
      <c r="A13" s="2335" t="s">
        <v>367</v>
      </c>
      <c r="B13" s="2336"/>
      <c r="C13" s="2336"/>
      <c r="D13" s="2336"/>
      <c r="E13" s="2337"/>
      <c r="F13" s="634"/>
      <c r="G13" s="1756"/>
      <c r="H13" s="1757"/>
      <c r="I13" s="1758"/>
      <c r="J13" s="1758"/>
      <c r="K13" s="1758"/>
    </row>
    <row r="14" spans="1:11" x14ac:dyDescent="0.2">
      <c r="A14" s="2359" t="s">
        <v>453</v>
      </c>
      <c r="B14" s="2359"/>
      <c r="C14" s="2359"/>
      <c r="D14" s="2359"/>
      <c r="E14" s="2360"/>
      <c r="F14" s="635" t="s">
        <v>849</v>
      </c>
      <c r="G14" s="1753"/>
      <c r="H14" s="1744">
        <v>13527</v>
      </c>
      <c r="I14" s="1749"/>
      <c r="J14" s="1751"/>
      <c r="K14" s="1745">
        <v>900</v>
      </c>
    </row>
    <row r="15" spans="1:11" x14ac:dyDescent="0.2">
      <c r="A15" s="2324" t="s">
        <v>4</v>
      </c>
      <c r="B15" s="2324"/>
      <c r="C15" s="2324"/>
      <c r="D15" s="2324"/>
      <c r="E15" s="2354"/>
      <c r="F15" s="635" t="s">
        <v>850</v>
      </c>
      <c r="G15" s="1749"/>
      <c r="H15" s="1744"/>
      <c r="I15" s="1744"/>
      <c r="J15" s="1745">
        <v>142297</v>
      </c>
      <c r="K15" s="1745"/>
    </row>
    <row r="16" spans="1:11" x14ac:dyDescent="0.2">
      <c r="A16" s="2324" t="s">
        <v>295</v>
      </c>
      <c r="B16" s="2324"/>
      <c r="C16" s="2324"/>
      <c r="D16" s="2324"/>
      <c r="E16" s="2354"/>
      <c r="F16" s="635" t="s">
        <v>917</v>
      </c>
      <c r="G16" s="1750"/>
      <c r="H16" s="1746"/>
      <c r="I16" s="1746"/>
      <c r="J16" s="1748"/>
      <c r="K16" s="1748"/>
    </row>
    <row r="17" spans="1:15" x14ac:dyDescent="0.2">
      <c r="A17" s="2348" t="s">
        <v>929</v>
      </c>
      <c r="B17" s="2348"/>
      <c r="C17" s="2348"/>
      <c r="D17" s="2348"/>
      <c r="E17" s="2349"/>
      <c r="F17" s="636"/>
      <c r="G17" s="1759"/>
      <c r="H17" s="1760"/>
      <c r="I17" s="1760"/>
      <c r="J17" s="1761"/>
      <c r="K17" s="1762"/>
    </row>
    <row r="18" spans="1:15" x14ac:dyDescent="0.2">
      <c r="A18" s="2338" t="s">
        <v>365</v>
      </c>
      <c r="B18" s="2339"/>
      <c r="C18" s="2339"/>
      <c r="D18" s="2339"/>
      <c r="E18" s="2340"/>
      <c r="F18" s="635" t="s">
        <v>926</v>
      </c>
      <c r="G18" s="1753"/>
      <c r="H18" s="1753"/>
      <c r="I18" s="1753"/>
      <c r="J18" s="1745">
        <v>38353</v>
      </c>
      <c r="K18" s="1763"/>
    </row>
    <row r="19" spans="1:15" ht="21.75" customHeight="1" x14ac:dyDescent="0.2">
      <c r="A19" s="2361" t="s">
        <v>1786</v>
      </c>
      <c r="B19" s="2361"/>
      <c r="C19" s="2361"/>
      <c r="D19" s="2361"/>
      <c r="E19" s="2362"/>
      <c r="F19" s="635" t="s">
        <v>927</v>
      </c>
      <c r="G19" s="1753"/>
      <c r="H19" s="1753"/>
      <c r="I19" s="1753"/>
      <c r="J19" s="1745">
        <v>225000</v>
      </c>
      <c r="K19" s="1763"/>
    </row>
    <row r="20" spans="1:15" x14ac:dyDescent="0.2">
      <c r="A20" s="2338" t="s">
        <v>1791</v>
      </c>
      <c r="B20" s="2339"/>
      <c r="C20" s="2339"/>
      <c r="D20" s="2339"/>
      <c r="E20" s="2340"/>
      <c r="F20" s="635" t="s">
        <v>928</v>
      </c>
      <c r="G20" s="1753"/>
      <c r="H20" s="1753"/>
      <c r="I20" s="1753"/>
      <c r="J20" s="1745"/>
      <c r="K20" s="1763"/>
    </row>
    <row r="21" spans="1:15" ht="13.5" thickBot="1" x14ac:dyDescent="0.25">
      <c r="A21" s="2344" t="s">
        <v>633</v>
      </c>
      <c r="B21" s="2344"/>
      <c r="C21" s="2344"/>
      <c r="D21" s="2344"/>
      <c r="E21" s="2344"/>
      <c r="F21" s="1434"/>
      <c r="G21" s="1760"/>
      <c r="H21" s="1764"/>
      <c r="I21" s="1764"/>
      <c r="J21" s="1765">
        <f>SUM(J18:J20)</f>
        <v>263353</v>
      </c>
      <c r="K21" s="1761"/>
    </row>
    <row r="22" spans="1:15" ht="13.5" thickTop="1" x14ac:dyDescent="0.2">
      <c r="A22" s="2324" t="s">
        <v>1792</v>
      </c>
      <c r="B22" s="2324"/>
      <c r="C22" s="2324"/>
      <c r="D22" s="2324"/>
      <c r="E22" s="2354"/>
      <c r="F22" s="635" t="s">
        <v>857</v>
      </c>
      <c r="G22" s="1753"/>
      <c r="H22" s="1744"/>
      <c r="I22" s="1744"/>
      <c r="J22" s="1766"/>
      <c r="K22" s="1745"/>
    </row>
    <row r="23" spans="1:15" ht="13.5" thickBot="1" x14ac:dyDescent="0.25">
      <c r="A23" s="2345" t="s">
        <v>900</v>
      </c>
      <c r="B23" s="2344"/>
      <c r="C23" s="2344"/>
      <c r="D23" s="2344"/>
      <c r="E23" s="2344"/>
      <c r="F23" s="1436"/>
      <c r="G23" s="1755">
        <f>SUM(G14:G16,G21,G22)</f>
        <v>0</v>
      </c>
      <c r="H23" s="1755">
        <f>SUM(H14:H16,H21,H22)</f>
        <v>13527</v>
      </c>
      <c r="I23" s="1755">
        <f>SUM(I14:I16,I21,I22)</f>
        <v>0</v>
      </c>
      <c r="J23" s="1755">
        <f>SUM(J14:J16,J21,J22)</f>
        <v>405650</v>
      </c>
      <c r="K23" s="1755">
        <f>SUM(K14:K16,K21,K22)</f>
        <v>900</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156914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156914</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4" sqref="T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129737</v>
      </c>
      <c r="D5" s="1770"/>
      <c r="E5" s="1770"/>
      <c r="F5" s="1765">
        <f>(C5+D5)-E5</f>
        <v>129737</v>
      </c>
      <c r="G5" s="676"/>
      <c r="H5" s="680"/>
      <c r="I5" s="680"/>
      <c r="J5" s="680"/>
      <c r="K5" s="637"/>
      <c r="L5" s="1442">
        <f>F5-K5</f>
        <v>129737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10732350</v>
      </c>
      <c r="D8" s="1771"/>
      <c r="E8" s="1771"/>
      <c r="F8" s="1765">
        <f>(C8+D8)-E8</f>
        <v>10732350</v>
      </c>
      <c r="G8" s="681">
        <v>50</v>
      </c>
      <c r="H8" s="619">
        <v>3216863</v>
      </c>
      <c r="I8" s="619">
        <v>214647</v>
      </c>
      <c r="J8" s="619"/>
      <c r="K8" s="1442">
        <f>(H8+I8)-J8</f>
        <v>3431510</v>
      </c>
      <c r="L8" s="1442">
        <f>F8-K8</f>
        <v>7300840</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296448</v>
      </c>
      <c r="D10" s="1772"/>
      <c r="E10" s="1772"/>
      <c r="F10" s="1773">
        <f>(C10+D10)-E10</f>
        <v>296448</v>
      </c>
      <c r="G10" s="681">
        <v>20</v>
      </c>
      <c r="H10" s="683">
        <v>80412</v>
      </c>
      <c r="I10" s="683">
        <v>14510</v>
      </c>
      <c r="J10" s="683"/>
      <c r="K10" s="1442">
        <f>(H10+I10)-J10</f>
        <v>94922</v>
      </c>
      <c r="L10" s="1442">
        <f>F10-K10</f>
        <v>201526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443598</v>
      </c>
      <c r="D12" s="1771">
        <f>5175+7820+1750+520+7290+17223+935+12074+603+1127+1700</f>
        <v>56217</v>
      </c>
      <c r="E12" s="1771">
        <f>80872-48142</f>
        <v>32730</v>
      </c>
      <c r="F12" s="1765">
        <f>(C12+D12)-E12</f>
        <v>467085</v>
      </c>
      <c r="G12" s="681">
        <v>10</v>
      </c>
      <c r="H12" s="619">
        <v>257944</v>
      </c>
      <c r="I12" s="619">
        <f>281379-241833</f>
        <v>39546</v>
      </c>
      <c r="J12" s="619">
        <v>32730</v>
      </c>
      <c r="K12" s="1442">
        <f>(H12+I12)-J12</f>
        <v>264760</v>
      </c>
      <c r="L12" s="1442">
        <f>F12-K12</f>
        <v>202325</v>
      </c>
    </row>
    <row r="13" spans="1:14" ht="14.25" thickTop="1" thickBot="1" x14ac:dyDescent="0.25">
      <c r="A13" s="684" t="s">
        <v>1112</v>
      </c>
      <c r="B13" s="679">
        <v>252</v>
      </c>
      <c r="C13" s="1771">
        <f>251203-40210</f>
        <v>210993</v>
      </c>
      <c r="D13" s="1771">
        <v>40210</v>
      </c>
      <c r="E13" s="1771">
        <v>48142</v>
      </c>
      <c r="F13" s="1765">
        <f>(C13+D13)-E13</f>
        <v>203061</v>
      </c>
      <c r="G13" s="681">
        <v>5</v>
      </c>
      <c r="H13" s="619">
        <v>202512</v>
      </c>
      <c r="I13" s="619">
        <v>12676</v>
      </c>
      <c r="J13" s="619">
        <v>48142</v>
      </c>
      <c r="K13" s="1442">
        <f>(H13+I13)-J13</f>
        <v>167046</v>
      </c>
      <c r="L13" s="1442">
        <f>F13-K13</f>
        <v>36015</v>
      </c>
    </row>
    <row r="14" spans="1:14" ht="14.25" thickTop="1" thickBot="1" x14ac:dyDescent="0.25">
      <c r="A14" s="684" t="s">
        <v>1113</v>
      </c>
      <c r="B14" s="679">
        <v>253</v>
      </c>
      <c r="C14" s="1745">
        <v>0</v>
      </c>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0</v>
      </c>
      <c r="D15" s="1771">
        <v>192297</v>
      </c>
      <c r="E15" s="1771"/>
      <c r="F15" s="1765">
        <f>(C15+D15)-E15</f>
        <v>192297</v>
      </c>
      <c r="G15" s="685" t="s">
        <v>857</v>
      </c>
      <c r="H15" s="632"/>
      <c r="I15" s="632"/>
      <c r="J15" s="632"/>
      <c r="K15" s="632"/>
      <c r="L15" s="1442">
        <f>F15-K15</f>
        <v>192297</v>
      </c>
    </row>
    <row r="16" spans="1:14" ht="15" customHeight="1" thickTop="1" thickBot="1" x14ac:dyDescent="0.25">
      <c r="A16" s="1438" t="s">
        <v>638</v>
      </c>
      <c r="B16" s="1439">
        <v>200</v>
      </c>
      <c r="C16" s="1765">
        <f>SUM(C3,C5:C6,C8:C10,C12:C15)</f>
        <v>11813126</v>
      </c>
      <c r="D16" s="1765">
        <f>SUM(D3,D5:D6,D8:D10,D12:D15)</f>
        <v>288724</v>
      </c>
      <c r="E16" s="1765">
        <f>SUM(E3,E5:E6,E8:E10,E12:E15)</f>
        <v>80872</v>
      </c>
      <c r="F16" s="1765">
        <f>SUM(F3,F5:F6,F8:F10,F12:F15)</f>
        <v>12020978</v>
      </c>
      <c r="G16" s="681"/>
      <c r="H16" s="1435">
        <f>SUM(H3,H6,H8:H10,H12:H14,)</f>
        <v>3757731</v>
      </c>
      <c r="I16" s="1435">
        <f>SUM(I3,I6,I8:I10,I12:I14,)</f>
        <v>281379</v>
      </c>
      <c r="J16" s="1435">
        <f>SUM(J3,J6,J8:J10,J12:J14,)</f>
        <v>80872</v>
      </c>
      <c r="K16" s="1435">
        <f>(H16+I16)-J16</f>
        <v>3958238</v>
      </c>
      <c r="L16" s="1435">
        <f>F16-K16</f>
        <v>8062740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281379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T24" sqref="T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3516147</v>
      </c>
      <c r="G8" s="701"/>
    </row>
    <row r="9" spans="1:9" x14ac:dyDescent="0.2">
      <c r="A9" s="705" t="s">
        <v>457</v>
      </c>
      <c r="B9" s="706" t="s">
        <v>1848</v>
      </c>
      <c r="C9" s="707"/>
      <c r="D9" s="705" t="s">
        <v>498</v>
      </c>
      <c r="E9" s="704"/>
      <c r="F9" s="1775">
        <f>'Expenditures 15-22'!K151</f>
        <v>219673</v>
      </c>
      <c r="G9" s="708"/>
    </row>
    <row r="10" spans="1:9" x14ac:dyDescent="0.2">
      <c r="A10" s="705" t="s">
        <v>496</v>
      </c>
      <c r="B10" s="706" t="s">
        <v>1849</v>
      </c>
      <c r="C10" s="707"/>
      <c r="D10" s="705" t="s">
        <v>498</v>
      </c>
      <c r="E10" s="704"/>
      <c r="F10" s="1775">
        <f>'Expenditures 15-22'!K174</f>
        <v>317701</v>
      </c>
      <c r="G10" s="708"/>
    </row>
    <row r="11" spans="1:9" x14ac:dyDescent="0.2">
      <c r="A11" s="705" t="s">
        <v>458</v>
      </c>
      <c r="B11" s="706" t="s">
        <v>1850</v>
      </c>
      <c r="C11" s="707"/>
      <c r="D11" s="705" t="s">
        <v>498</v>
      </c>
      <c r="E11" s="704"/>
      <c r="F11" s="1775">
        <f>'Expenditures 15-22'!K210</f>
        <v>333856</v>
      </c>
      <c r="G11" s="708"/>
    </row>
    <row r="12" spans="1:9" x14ac:dyDescent="0.2">
      <c r="A12" s="705" t="s">
        <v>459</v>
      </c>
      <c r="B12" s="706" t="s">
        <v>1851</v>
      </c>
      <c r="C12" s="707"/>
      <c r="D12" s="705" t="s">
        <v>498</v>
      </c>
      <c r="E12" s="704"/>
      <c r="F12" s="1775">
        <f>'Expenditures 15-22'!K295</f>
        <v>110773</v>
      </c>
      <c r="G12" s="708"/>
    </row>
    <row r="13" spans="1:9" x14ac:dyDescent="0.2">
      <c r="A13" s="705" t="s">
        <v>106</v>
      </c>
      <c r="B13" s="706" t="s">
        <v>1852</v>
      </c>
      <c r="C13" s="707"/>
      <c r="D13" s="705" t="s">
        <v>498</v>
      </c>
      <c r="E13" s="704"/>
      <c r="F13" s="1775">
        <f>'Expenditures 15-22'!K342</f>
        <v>68557</v>
      </c>
      <c r="G13" s="709"/>
    </row>
    <row r="14" spans="1:9" ht="12" customHeight="1" thickBot="1" x14ac:dyDescent="0.25">
      <c r="A14" s="1443"/>
      <c r="B14" s="1444"/>
      <c r="C14" s="1445"/>
      <c r="D14" s="1446" t="s">
        <v>498</v>
      </c>
      <c r="E14" s="1447" t="s">
        <v>952</v>
      </c>
      <c r="F14" s="1776">
        <f>SUM(F8:F13)</f>
        <v>4566707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517015</v>
      </c>
      <c r="G53" s="701"/>
    </row>
    <row r="54" spans="1:7" x14ac:dyDescent="0.2">
      <c r="A54" s="705" t="s">
        <v>456</v>
      </c>
      <c r="B54" s="705" t="s">
        <v>1459</v>
      </c>
      <c r="C54" s="724" t="s">
        <v>975</v>
      </c>
      <c r="D54" s="720" t="s">
        <v>1086</v>
      </c>
      <c r="E54" s="704"/>
      <c r="F54" s="1782">
        <f>'Expenditures 15-22'!G114</f>
        <v>44527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11790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275000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25595</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40210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914137</v>
      </c>
      <c r="G77" s="701"/>
    </row>
    <row r="78" spans="1:9" s="728" customFormat="1" ht="12" customHeight="1" thickTop="1" thickBot="1" x14ac:dyDescent="0.25">
      <c r="A78" s="1450"/>
      <c r="B78" s="1448"/>
      <c r="C78" s="1445"/>
      <c r="D78" s="1449" t="s">
        <v>2012</v>
      </c>
      <c r="E78" s="1447"/>
      <c r="F78" s="1788">
        <f>(F14-F77)</f>
        <v>3652570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478.4</v>
      </c>
      <c r="G79" s="733"/>
      <c r="H79" s="705"/>
      <c r="I79" s="705"/>
    </row>
    <row r="80" spans="1:9" s="728" customFormat="1" ht="12" customHeight="1" thickBot="1" x14ac:dyDescent="0.25">
      <c r="A80" s="1452"/>
      <c r="B80" s="1448"/>
      <c r="C80" s="1445"/>
      <c r="D80" s="1449" t="s">
        <v>2013</v>
      </c>
      <c r="E80" s="1447" t="s">
        <v>952</v>
      </c>
      <c r="F80" s="1790">
        <f>IF(F79&gt;0,F78/F79," Complete Line 79")</f>
        <v>7634.9707357859534</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397</v>
      </c>
      <c r="G95" s="745"/>
    </row>
    <row r="96" spans="1:7" x14ac:dyDescent="0.2">
      <c r="A96" s="741" t="s">
        <v>139</v>
      </c>
      <c r="B96" s="741" t="s">
        <v>174</v>
      </c>
      <c r="C96" s="743">
        <v>1700</v>
      </c>
      <c r="D96" s="751" t="str">
        <f>'Revenues 9-14'!A82</f>
        <v>Total District/School Activity Income</v>
      </c>
      <c r="E96" s="739"/>
      <c r="F96" s="1793">
        <f>SUM('Revenues 9-14'!C82,'Revenues 9-14'!D82)</f>
        <v>36542</v>
      </c>
      <c r="G96" s="745"/>
    </row>
    <row r="97" spans="1:7" x14ac:dyDescent="0.2">
      <c r="A97" s="741" t="s">
        <v>456</v>
      </c>
      <c r="B97" s="741" t="s">
        <v>175</v>
      </c>
      <c r="C97" s="743">
        <f>'Revenues 9-14'!B84</f>
        <v>1811</v>
      </c>
      <c r="D97" s="744" t="str">
        <f>'Revenues 9-14'!A84</f>
        <v>Rentals - Regular Textbooks</v>
      </c>
      <c r="E97" s="739"/>
      <c r="F97" s="1793">
        <f>'Revenues 9-14'!C84</f>
        <v>11725</v>
      </c>
      <c r="G97" s="745"/>
    </row>
    <row r="98" spans="1:7" x14ac:dyDescent="0.2">
      <c r="A98" s="741" t="s">
        <v>456</v>
      </c>
      <c r="B98" s="741" t="s">
        <v>176</v>
      </c>
      <c r="C98" s="743">
        <f>'Revenues 9-14'!B87</f>
        <v>1819</v>
      </c>
      <c r="D98" s="744" t="str">
        <f>'Revenues 9-14'!A87</f>
        <v>Rentals - Other (Describe &amp; Itemize)</v>
      </c>
      <c r="E98" s="739"/>
      <c r="F98" s="1793">
        <f>'Revenues 9-14'!C87</f>
        <v>11293</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2783</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24860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14265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2501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5015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177920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170386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105765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6833</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6833</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15769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2006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40226</v>
      </c>
      <c r="G171" s="760"/>
    </row>
    <row r="172" spans="1:7" x14ac:dyDescent="0.2">
      <c r="A172" s="1529" t="s">
        <v>5</v>
      </c>
      <c r="B172" s="1530" t="s">
        <v>1885</v>
      </c>
      <c r="C172" s="1531">
        <v>3100</v>
      </c>
      <c r="D172" s="1532" t="s">
        <v>1887</v>
      </c>
      <c r="E172" s="739"/>
      <c r="F172" s="1794">
        <v>100834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729870</v>
      </c>
    </row>
    <row r="176" spans="1:7" ht="12" customHeight="1" x14ac:dyDescent="0.2">
      <c r="A176" s="1443"/>
      <c r="B176" s="1453"/>
      <c r="C176" s="1454"/>
      <c r="D176" s="1455" t="s">
        <v>2014</v>
      </c>
      <c r="E176" s="1456"/>
      <c r="F176" s="1793">
        <f>'PCTC-OEPP 27-28'!F78-F175</f>
        <v>2922700</v>
      </c>
    </row>
    <row r="177" spans="1:9" ht="12" customHeight="1" x14ac:dyDescent="0.2">
      <c r="A177" s="1443"/>
      <c r="B177" s="1453"/>
      <c r="C177" s="1454"/>
      <c r="D177" s="1455" t="s">
        <v>1794</v>
      </c>
      <c r="E177" s="1456"/>
      <c r="F177" s="1793">
        <f>'Cap Outlay Deprec 26'!I18</f>
        <v>281379</v>
      </c>
    </row>
    <row r="178" spans="1:9" ht="12" customHeight="1" x14ac:dyDescent="0.2">
      <c r="A178" s="1443"/>
      <c r="B178" s="1453"/>
      <c r="C178" s="1454"/>
      <c r="D178" s="1455" t="s">
        <v>2015</v>
      </c>
      <c r="E178" s="1456"/>
      <c r="F178" s="1793">
        <f>F176+F177</f>
        <v>3204079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478.4</v>
      </c>
      <c r="G179" s="763"/>
      <c r="I179" s="701"/>
    </row>
    <row r="180" spans="1:9" ht="12" customHeight="1" thickBot="1" x14ac:dyDescent="0.25">
      <c r="A180" s="1443"/>
      <c r="B180" s="1457"/>
      <c r="C180" s="1454"/>
      <c r="D180" s="1455" t="s">
        <v>2017</v>
      </c>
      <c r="E180" s="1456" t="s">
        <v>1528</v>
      </c>
      <c r="F180" s="1798">
        <f>F178/F179</f>
        <v>6697.4895484949839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E157" sqref="E157"/>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7" t="s">
        <v>1796</v>
      </c>
      <c r="B6" s="1868"/>
      <c r="C6" s="1869"/>
      <c r="D6" s="1869"/>
      <c r="E6" s="1869"/>
      <c r="F6" s="1870"/>
    </row>
    <row r="7" spans="1:6" ht="47.25" customHeight="1" x14ac:dyDescent="0.25">
      <c r="A7" s="2388" t="s">
        <v>1985</v>
      </c>
      <c r="B7" s="2389"/>
      <c r="C7" s="2389"/>
      <c r="D7" s="2389"/>
      <c r="E7" s="2389"/>
      <c r="F7" s="2390"/>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3" t="s">
        <v>1982</v>
      </c>
      <c r="B12" s="1874"/>
      <c r="C12" s="1875"/>
      <c r="D12" s="1875"/>
      <c r="E12" s="1875"/>
      <c r="F12" s="1876"/>
    </row>
    <row r="13" spans="1:6" ht="17.25" customHeight="1" x14ac:dyDescent="0.25">
      <c r="A13" s="2388" t="s">
        <v>1983</v>
      </c>
      <c r="B13" s="2389"/>
      <c r="C13" s="2389"/>
      <c r="D13" s="2389"/>
      <c r="E13" s="2389"/>
      <c r="F13" s="2390"/>
    </row>
    <row r="14" spans="1:6" ht="15" customHeight="1" x14ac:dyDescent="0.25">
      <c r="A14" s="1873" t="s">
        <v>1800</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7"/>
      <c r="B18" s="1907"/>
      <c r="C18" s="2038" t="s">
        <v>2080</v>
      </c>
      <c r="D18" s="2039">
        <v>0</v>
      </c>
      <c r="E18" s="1905">
        <f t="shared" ref="E18:E81" si="0">IF(D18&lt;25000,D18,"25,000")</f>
        <v>0</v>
      </c>
      <c r="F18" s="1905" t="str">
        <f t="shared" ref="F18:F81" si="1">IF(D18&gt;=25000,(D18-E18),"0")</f>
        <v>0</v>
      </c>
      <c r="G18" s="1887"/>
    </row>
    <row r="19" spans="1:7" x14ac:dyDescent="0.25">
      <c r="A19" s="1888"/>
      <c r="B19" s="1907"/>
      <c r="C19" s="1885"/>
      <c r="D19" s="1886"/>
      <c r="E19" s="1905">
        <f t="shared" si="0"/>
        <v>0</v>
      </c>
      <c r="F19" s="1905" t="str">
        <f t="shared" si="1"/>
        <v>0</v>
      </c>
    </row>
    <row r="20" spans="1:7" x14ac:dyDescent="0.25">
      <c r="A20" s="1888"/>
      <c r="B20" s="1907"/>
      <c r="C20" s="1885"/>
      <c r="D20" s="1886"/>
      <c r="E20" s="1905">
        <f t="shared" si="0"/>
        <v>0</v>
      </c>
      <c r="F20" s="1905" t="str">
        <f t="shared" si="1"/>
        <v>0</v>
      </c>
    </row>
    <row r="21" spans="1:7" x14ac:dyDescent="0.25">
      <c r="A21" s="1888"/>
      <c r="B21" s="1907"/>
      <c r="C21" s="1885"/>
      <c r="D21" s="1886"/>
      <c r="E21" s="1905">
        <f t="shared" si="0"/>
        <v>0</v>
      </c>
      <c r="F21" s="1905" t="str">
        <f t="shared" si="1"/>
        <v>0</v>
      </c>
    </row>
    <row r="22" spans="1:7" x14ac:dyDescent="0.25">
      <c r="A22" s="1888"/>
      <c r="B22" s="1907"/>
      <c r="C22" s="1885"/>
      <c r="D22" s="1886"/>
      <c r="E22" s="1905">
        <f t="shared" si="0"/>
        <v>0</v>
      </c>
      <c r="F22" s="1905" t="str">
        <f t="shared" si="1"/>
        <v>0</v>
      </c>
    </row>
    <row r="23" spans="1:7" x14ac:dyDescent="0.25">
      <c r="A23" s="1888"/>
      <c r="B23" s="1907"/>
      <c r="C23" s="1885"/>
      <c r="D23" s="1886"/>
      <c r="E23" s="1905">
        <f t="shared" si="0"/>
        <v>0</v>
      </c>
      <c r="F23" s="1905" t="str">
        <f t="shared" si="1"/>
        <v>0</v>
      </c>
    </row>
    <row r="24" spans="1:7" x14ac:dyDescent="0.25">
      <c r="A24" s="1888"/>
      <c r="B24" s="1907"/>
      <c r="C24" s="1885"/>
      <c r="D24" s="1886"/>
      <c r="E24" s="1905">
        <f t="shared" si="0"/>
        <v>0</v>
      </c>
      <c r="F24" s="1905" t="str">
        <f t="shared" si="1"/>
        <v>0</v>
      </c>
    </row>
    <row r="25" spans="1:7" x14ac:dyDescent="0.25">
      <c r="A25" s="1888"/>
      <c r="B25" s="1907"/>
      <c r="C25" s="1885"/>
      <c r="D25" s="1886"/>
      <c r="E25" s="1905">
        <f t="shared" si="0"/>
        <v>0</v>
      </c>
      <c r="F25" s="1905" t="str">
        <f t="shared" si="1"/>
        <v>0</v>
      </c>
    </row>
    <row r="26" spans="1:7" hidden="1" x14ac:dyDescent="0.25">
      <c r="A26" s="1888"/>
      <c r="B26" s="1907"/>
      <c r="C26" s="1885"/>
      <c r="D26" s="1886"/>
      <c r="E26" s="1905">
        <f t="shared" si="0"/>
        <v>0</v>
      </c>
      <c r="F26" s="1905" t="str">
        <f t="shared" si="1"/>
        <v>0</v>
      </c>
    </row>
    <row r="27" spans="1:7" hidden="1" x14ac:dyDescent="0.25">
      <c r="A27" s="1888"/>
      <c r="B27" s="1907"/>
      <c r="C27" s="1889"/>
      <c r="D27" s="1886"/>
      <c r="E27" s="1905">
        <f t="shared" si="0"/>
        <v>0</v>
      </c>
      <c r="F27" s="1905" t="str">
        <f t="shared" si="1"/>
        <v>0</v>
      </c>
    </row>
    <row r="28" spans="1:7" hidden="1" x14ac:dyDescent="0.25">
      <c r="A28" s="1888"/>
      <c r="B28" s="1907"/>
      <c r="C28" s="1889"/>
      <c r="D28" s="1886"/>
      <c r="E28" s="1905">
        <f t="shared" si="0"/>
        <v>0</v>
      </c>
      <c r="F28" s="1905" t="str">
        <f t="shared" si="1"/>
        <v>0</v>
      </c>
    </row>
    <row r="29" spans="1:7" hidden="1" x14ac:dyDescent="0.25">
      <c r="A29" s="1888"/>
      <c r="B29" s="1907"/>
      <c r="C29" s="1889"/>
      <c r="D29" s="1886"/>
      <c r="E29" s="1905">
        <f t="shared" si="0"/>
        <v>0</v>
      </c>
      <c r="F29" s="1905" t="str">
        <f t="shared" si="1"/>
        <v>0</v>
      </c>
    </row>
    <row r="30" spans="1:7" hidden="1" x14ac:dyDescent="0.25">
      <c r="A30" s="1888"/>
      <c r="B30" s="1907"/>
      <c r="C30" s="1889"/>
      <c r="D30" s="1886"/>
      <c r="E30" s="1905">
        <f t="shared" si="0"/>
        <v>0</v>
      </c>
      <c r="F30" s="1905" t="str">
        <f t="shared" si="1"/>
        <v>0</v>
      </c>
    </row>
    <row r="31" spans="1:7" hidden="1" x14ac:dyDescent="0.25">
      <c r="A31" s="1888"/>
      <c r="B31" s="1907"/>
      <c r="C31" s="1889"/>
      <c r="D31" s="1886"/>
      <c r="E31" s="1905">
        <f t="shared" si="0"/>
        <v>0</v>
      </c>
      <c r="F31" s="1905" t="str">
        <f t="shared" si="1"/>
        <v>0</v>
      </c>
    </row>
    <row r="32" spans="1:7" hidden="1" x14ac:dyDescent="0.25">
      <c r="A32" s="1888"/>
      <c r="B32" s="1907"/>
      <c r="C32" s="1889"/>
      <c r="D32" s="1886"/>
      <c r="E32" s="1905">
        <f t="shared" si="0"/>
        <v>0</v>
      </c>
      <c r="F32" s="1905" t="str">
        <f t="shared" si="1"/>
        <v>0</v>
      </c>
    </row>
    <row r="33" spans="1:6" hidden="1" x14ac:dyDescent="0.25">
      <c r="A33" s="1888"/>
      <c r="B33" s="1907"/>
      <c r="C33" s="1889"/>
      <c r="D33" s="1886"/>
      <c r="E33" s="1905">
        <f t="shared" si="0"/>
        <v>0</v>
      </c>
      <c r="F33" s="1905" t="str">
        <f t="shared" si="1"/>
        <v>0</v>
      </c>
    </row>
    <row r="34" spans="1:6" hidden="1" x14ac:dyDescent="0.25">
      <c r="A34" s="1888"/>
      <c r="B34" s="1907"/>
      <c r="C34" s="1889"/>
      <c r="D34" s="1886"/>
      <c r="E34" s="1905">
        <f t="shared" si="0"/>
        <v>0</v>
      </c>
      <c r="F34" s="1905" t="str">
        <f t="shared" si="1"/>
        <v>0</v>
      </c>
    </row>
    <row r="35" spans="1:6" hidden="1" x14ac:dyDescent="0.25">
      <c r="A35" s="1888"/>
      <c r="B35" s="1907"/>
      <c r="C35" s="1889"/>
      <c r="D35" s="1886"/>
      <c r="E35" s="1905">
        <f t="shared" si="0"/>
        <v>0</v>
      </c>
      <c r="F35" s="1905" t="str">
        <f t="shared" si="1"/>
        <v>0</v>
      </c>
    </row>
    <row r="36" spans="1:6" hidden="1" x14ac:dyDescent="0.25">
      <c r="A36" s="1888"/>
      <c r="B36" s="1907"/>
      <c r="C36" s="1889"/>
      <c r="D36" s="1886"/>
      <c r="E36" s="1905">
        <f t="shared" si="0"/>
        <v>0</v>
      </c>
      <c r="F36" s="1905" t="str">
        <f t="shared" si="1"/>
        <v>0</v>
      </c>
    </row>
    <row r="37" spans="1:6" hidden="1" x14ac:dyDescent="0.25">
      <c r="A37" s="1888"/>
      <c r="B37" s="1907"/>
      <c r="C37" s="1889"/>
      <c r="D37" s="1886"/>
      <c r="E37" s="1905">
        <f t="shared" si="0"/>
        <v>0</v>
      </c>
      <c r="F37" s="1905" t="str">
        <f t="shared" si="1"/>
        <v>0</v>
      </c>
    </row>
    <row r="38" spans="1:6" hidden="1" x14ac:dyDescent="0.25">
      <c r="A38" s="1888"/>
      <c r="B38" s="1907"/>
      <c r="C38" s="1889"/>
      <c r="D38" s="1886"/>
      <c r="E38" s="1905">
        <f t="shared" si="0"/>
        <v>0</v>
      </c>
      <c r="F38" s="1905" t="str">
        <f t="shared" si="1"/>
        <v>0</v>
      </c>
    </row>
    <row r="39" spans="1:6" hidden="1" x14ac:dyDescent="0.25">
      <c r="A39" s="1888"/>
      <c r="B39" s="1908"/>
      <c r="C39" s="1889"/>
      <c r="D39" s="1886"/>
      <c r="E39" s="1905">
        <f t="shared" si="0"/>
        <v>0</v>
      </c>
      <c r="F39" s="1905" t="str">
        <f t="shared" si="1"/>
        <v>0</v>
      </c>
    </row>
    <row r="40" spans="1:6" hidden="1" x14ac:dyDescent="0.25">
      <c r="A40" s="1888"/>
      <c r="B40" s="1908"/>
      <c r="C40" s="1889"/>
      <c r="D40" s="1886"/>
      <c r="E40" s="1905">
        <f t="shared" si="0"/>
        <v>0</v>
      </c>
      <c r="F40" s="1905" t="str">
        <f t="shared" si="1"/>
        <v>0</v>
      </c>
    </row>
    <row r="41" spans="1:6" hidden="1" x14ac:dyDescent="0.25">
      <c r="A41" s="1888"/>
      <c r="B41" s="1908"/>
      <c r="C41" s="1889"/>
      <c r="D41" s="1886"/>
      <c r="E41" s="1905">
        <f t="shared" si="0"/>
        <v>0</v>
      </c>
      <c r="F41" s="1905" t="str">
        <f t="shared" si="1"/>
        <v>0</v>
      </c>
    </row>
    <row r="42" spans="1:6" hidden="1" x14ac:dyDescent="0.25">
      <c r="A42" s="1888"/>
      <c r="B42" s="1908"/>
      <c r="C42" s="1889"/>
      <c r="D42" s="1886"/>
      <c r="E42" s="1905">
        <f t="shared" si="0"/>
        <v>0</v>
      </c>
      <c r="F42" s="1905" t="str">
        <f t="shared" si="1"/>
        <v>0</v>
      </c>
    </row>
    <row r="43" spans="1:6" hidden="1" x14ac:dyDescent="0.25">
      <c r="A43" s="1888"/>
      <c r="B43" s="1908"/>
      <c r="C43" s="1889"/>
      <c r="D43" s="1886"/>
      <c r="E43" s="1905">
        <f t="shared" si="0"/>
        <v>0</v>
      </c>
      <c r="F43" s="1905" t="str">
        <f t="shared" si="1"/>
        <v>0</v>
      </c>
    </row>
    <row r="44" spans="1:6" hidden="1" x14ac:dyDescent="0.25">
      <c r="A44" s="1888"/>
      <c r="B44" s="1908"/>
      <c r="C44" s="1889"/>
      <c r="D44" s="1886"/>
      <c r="E44" s="1905">
        <f t="shared" si="0"/>
        <v>0</v>
      </c>
      <c r="F44" s="1905" t="str">
        <f t="shared" si="1"/>
        <v>0</v>
      </c>
    </row>
    <row r="45" spans="1:6" hidden="1" x14ac:dyDescent="0.25">
      <c r="A45" s="1888"/>
      <c r="B45" s="1908"/>
      <c r="C45" s="1889"/>
      <c r="D45" s="1886"/>
      <c r="E45" s="1905">
        <f t="shared" si="0"/>
        <v>0</v>
      </c>
      <c r="F45" s="1905" t="str">
        <f t="shared" si="1"/>
        <v>0</v>
      </c>
    </row>
    <row r="46" spans="1:6" hidden="1" x14ac:dyDescent="0.25">
      <c r="A46" s="1888"/>
      <c r="B46" s="1908"/>
      <c r="C46" s="1889"/>
      <c r="D46" s="1886"/>
      <c r="E46" s="1905">
        <f t="shared" si="0"/>
        <v>0</v>
      </c>
      <c r="F46" s="1905" t="str">
        <f t="shared" si="1"/>
        <v>0</v>
      </c>
    </row>
    <row r="47" spans="1:6" hidden="1" x14ac:dyDescent="0.25">
      <c r="A47" s="1888"/>
      <c r="B47" s="1908"/>
      <c r="C47" s="1889"/>
      <c r="D47" s="1886"/>
      <c r="E47" s="1905">
        <f t="shared" si="0"/>
        <v>0</v>
      </c>
      <c r="F47" s="1905" t="str">
        <f t="shared" si="1"/>
        <v>0</v>
      </c>
    </row>
    <row r="48" spans="1:6" hidden="1" x14ac:dyDescent="0.25">
      <c r="A48" s="1888"/>
      <c r="B48" s="1908"/>
      <c r="C48" s="1889"/>
      <c r="D48" s="1886"/>
      <c r="E48" s="1905">
        <f t="shared" si="0"/>
        <v>0</v>
      </c>
      <c r="F48" s="1905" t="str">
        <f t="shared" si="1"/>
        <v>0</v>
      </c>
    </row>
    <row r="49" spans="1:6" hidden="1" x14ac:dyDescent="0.25">
      <c r="A49" s="1888"/>
      <c r="B49" s="1908"/>
      <c r="C49" s="1889"/>
      <c r="D49" s="1886"/>
      <c r="E49" s="1905">
        <f t="shared" si="0"/>
        <v>0</v>
      </c>
      <c r="F49" s="1905" t="str">
        <f t="shared" si="1"/>
        <v>0</v>
      </c>
    </row>
    <row r="50" spans="1:6" hidden="1" x14ac:dyDescent="0.25">
      <c r="A50" s="1888"/>
      <c r="B50" s="1908"/>
      <c r="C50" s="1889"/>
      <c r="D50" s="1886"/>
      <c r="E50" s="1905">
        <f t="shared" si="0"/>
        <v>0</v>
      </c>
      <c r="F50" s="1905" t="str">
        <f t="shared" si="1"/>
        <v>0</v>
      </c>
    </row>
    <row r="51" spans="1:6" hidden="1" x14ac:dyDescent="0.25">
      <c r="A51" s="1888"/>
      <c r="B51" s="1908"/>
      <c r="C51" s="1889"/>
      <c r="D51" s="1886"/>
      <c r="E51" s="1905">
        <f t="shared" si="0"/>
        <v>0</v>
      </c>
      <c r="F51" s="1905" t="str">
        <f t="shared" si="1"/>
        <v>0</v>
      </c>
    </row>
    <row r="52" spans="1:6" hidden="1" x14ac:dyDescent="0.25">
      <c r="A52" s="1888"/>
      <c r="B52" s="1908"/>
      <c r="C52" s="1889"/>
      <c r="D52" s="1886"/>
      <c r="E52" s="1905">
        <f t="shared" si="0"/>
        <v>0</v>
      </c>
      <c r="F52" s="1905" t="str">
        <f t="shared" si="1"/>
        <v>0</v>
      </c>
    </row>
    <row r="53" spans="1:6" hidden="1" x14ac:dyDescent="0.25">
      <c r="A53" s="1888"/>
      <c r="B53" s="1908"/>
      <c r="C53" s="1889"/>
      <c r="D53" s="1886"/>
      <c r="E53" s="1905">
        <f t="shared" si="0"/>
        <v>0</v>
      </c>
      <c r="F53" s="1905" t="str">
        <f t="shared" si="1"/>
        <v>0</v>
      </c>
    </row>
    <row r="54" spans="1:6" hidden="1" x14ac:dyDescent="0.25">
      <c r="A54" s="1888"/>
      <c r="B54" s="1908"/>
      <c r="C54" s="1889"/>
      <c r="D54" s="1886"/>
      <c r="E54" s="1905">
        <f t="shared" si="0"/>
        <v>0</v>
      </c>
      <c r="F54" s="1905" t="str">
        <f t="shared" si="1"/>
        <v>0</v>
      </c>
    </row>
    <row r="55" spans="1:6" hidden="1" x14ac:dyDescent="0.25">
      <c r="A55" s="1888"/>
      <c r="B55" s="1908"/>
      <c r="C55" s="1889"/>
      <c r="D55" s="1886"/>
      <c r="E55" s="1905">
        <f t="shared" si="0"/>
        <v>0</v>
      </c>
      <c r="F55" s="1905" t="str">
        <f t="shared" si="1"/>
        <v>0</v>
      </c>
    </row>
    <row r="56" spans="1:6" hidden="1" x14ac:dyDescent="0.25">
      <c r="A56" s="1888"/>
      <c r="B56" s="1908"/>
      <c r="C56" s="1889"/>
      <c r="D56" s="1886"/>
      <c r="E56" s="1905">
        <f t="shared" si="0"/>
        <v>0</v>
      </c>
      <c r="F56" s="1905" t="str">
        <f t="shared" si="1"/>
        <v>0</v>
      </c>
    </row>
    <row r="57" spans="1:6" hidden="1" x14ac:dyDescent="0.25">
      <c r="A57" s="1888"/>
      <c r="B57" s="1908"/>
      <c r="C57" s="1889"/>
      <c r="D57" s="1886"/>
      <c r="E57" s="1905">
        <f t="shared" si="0"/>
        <v>0</v>
      </c>
      <c r="F57" s="1905" t="str">
        <f t="shared" si="1"/>
        <v>0</v>
      </c>
    </row>
    <row r="58" spans="1:6" hidden="1" x14ac:dyDescent="0.25">
      <c r="A58" s="1888"/>
      <c r="B58" s="1908"/>
      <c r="C58" s="1889"/>
      <c r="D58" s="1886"/>
      <c r="E58" s="1905">
        <f t="shared" si="0"/>
        <v>0</v>
      </c>
      <c r="F58" s="1905" t="str">
        <f t="shared" si="1"/>
        <v>0</v>
      </c>
    </row>
    <row r="59" spans="1:6" hidden="1" x14ac:dyDescent="0.25">
      <c r="A59" s="1888"/>
      <c r="B59" s="1908"/>
      <c r="C59" s="1889"/>
      <c r="D59" s="1886"/>
      <c r="E59" s="1905">
        <f t="shared" si="0"/>
        <v>0</v>
      </c>
      <c r="F59" s="1905" t="str">
        <f t="shared" si="1"/>
        <v>0</v>
      </c>
    </row>
    <row r="60" spans="1:6" hidden="1" x14ac:dyDescent="0.25">
      <c r="A60" s="1888"/>
      <c r="B60" s="1908"/>
      <c r="C60" s="1889"/>
      <c r="D60" s="1886"/>
      <c r="E60" s="1905">
        <f t="shared" si="0"/>
        <v>0</v>
      </c>
      <c r="F60" s="1905" t="str">
        <f t="shared" si="1"/>
        <v>0</v>
      </c>
    </row>
    <row r="61" spans="1:6" hidden="1" x14ac:dyDescent="0.25">
      <c r="A61" s="1888"/>
      <c r="B61" s="1908"/>
      <c r="C61" s="1889"/>
      <c r="D61" s="1886"/>
      <c r="E61" s="1905">
        <f t="shared" si="0"/>
        <v>0</v>
      </c>
      <c r="F61" s="1905" t="str">
        <f t="shared" si="1"/>
        <v>0</v>
      </c>
    </row>
    <row r="62" spans="1:6" hidden="1" x14ac:dyDescent="0.25">
      <c r="A62" s="1888"/>
      <c r="B62" s="1908"/>
      <c r="C62" s="1889"/>
      <c r="D62" s="1886"/>
      <c r="E62" s="1905">
        <f t="shared" si="0"/>
        <v>0</v>
      </c>
      <c r="F62" s="1905" t="str">
        <f t="shared" si="1"/>
        <v>0</v>
      </c>
    </row>
    <row r="63" spans="1:6" hidden="1" x14ac:dyDescent="0.25">
      <c r="A63" s="1888"/>
      <c r="B63" s="1908"/>
      <c r="C63" s="1889"/>
      <c r="D63" s="1886"/>
      <c r="E63" s="1905">
        <f t="shared" si="0"/>
        <v>0</v>
      </c>
      <c r="F63" s="1905" t="str">
        <f t="shared" si="1"/>
        <v>0</v>
      </c>
    </row>
    <row r="64" spans="1:6" hidden="1" x14ac:dyDescent="0.25">
      <c r="A64" s="1888"/>
      <c r="B64" s="1908"/>
      <c r="C64" s="1889"/>
      <c r="D64" s="1886"/>
      <c r="E64" s="1905">
        <f t="shared" si="0"/>
        <v>0</v>
      </c>
      <c r="F64" s="1905" t="str">
        <f t="shared" si="1"/>
        <v>0</v>
      </c>
    </row>
    <row r="65" spans="1:6" hidden="1" x14ac:dyDescent="0.25">
      <c r="A65" s="1884"/>
      <c r="B65" s="1908"/>
      <c r="C65" s="1885"/>
      <c r="D65" s="1886"/>
      <c r="E65" s="1905">
        <f t="shared" si="0"/>
        <v>0</v>
      </c>
      <c r="F65" s="1905" t="str">
        <f t="shared" si="1"/>
        <v>0</v>
      </c>
    </row>
    <row r="66" spans="1:6" hidden="1" x14ac:dyDescent="0.25">
      <c r="A66" s="1888"/>
      <c r="B66" s="1908"/>
      <c r="C66" s="1889"/>
      <c r="D66" s="1886"/>
      <c r="E66" s="1905">
        <f t="shared" si="0"/>
        <v>0</v>
      </c>
      <c r="F66" s="1905" t="str">
        <f t="shared" si="1"/>
        <v>0</v>
      </c>
    </row>
    <row r="67" spans="1:6" hidden="1" x14ac:dyDescent="0.25">
      <c r="A67" s="1888"/>
      <c r="B67" s="1908"/>
      <c r="C67" s="1889"/>
      <c r="D67" s="1886"/>
      <c r="E67" s="1905">
        <f t="shared" si="0"/>
        <v>0</v>
      </c>
      <c r="F67" s="1905" t="str">
        <f t="shared" si="1"/>
        <v>0</v>
      </c>
    </row>
    <row r="68" spans="1:6" hidden="1" x14ac:dyDescent="0.25">
      <c r="A68" s="1888"/>
      <c r="B68" s="1908"/>
      <c r="C68" s="1889"/>
      <c r="D68" s="1886"/>
      <c r="E68" s="1905">
        <f t="shared" si="0"/>
        <v>0</v>
      </c>
      <c r="F68" s="1905" t="str">
        <f t="shared" si="1"/>
        <v>0</v>
      </c>
    </row>
    <row r="69" spans="1:6" hidden="1" x14ac:dyDescent="0.25">
      <c r="A69" s="1888"/>
      <c r="B69" s="1908"/>
      <c r="C69" s="1889"/>
      <c r="D69" s="1886"/>
      <c r="E69" s="1905">
        <f t="shared" si="0"/>
        <v>0</v>
      </c>
      <c r="F69" s="1905" t="str">
        <f t="shared" si="1"/>
        <v>0</v>
      </c>
    </row>
    <row r="70" spans="1:6" hidden="1" x14ac:dyDescent="0.25">
      <c r="A70" s="1888"/>
      <c r="B70" s="1908"/>
      <c r="C70" s="1889"/>
      <c r="D70" s="1886"/>
      <c r="E70" s="1905">
        <f t="shared" si="0"/>
        <v>0</v>
      </c>
      <c r="F70" s="1905" t="str">
        <f t="shared" si="1"/>
        <v>0</v>
      </c>
    </row>
    <row r="71" spans="1:6" hidden="1" x14ac:dyDescent="0.25">
      <c r="A71" s="1888"/>
      <c r="B71" s="1908"/>
      <c r="C71" s="1889"/>
      <c r="D71" s="1886"/>
      <c r="E71" s="1905">
        <f t="shared" si="0"/>
        <v>0</v>
      </c>
      <c r="F71" s="1905" t="str">
        <f t="shared" si="1"/>
        <v>0</v>
      </c>
    </row>
    <row r="72" spans="1:6" hidden="1" x14ac:dyDescent="0.25">
      <c r="A72" s="1888"/>
      <c r="B72" s="1908"/>
      <c r="C72" s="1889"/>
      <c r="D72" s="1886"/>
      <c r="E72" s="1905">
        <f t="shared" si="0"/>
        <v>0</v>
      </c>
      <c r="F72" s="1905" t="str">
        <f t="shared" si="1"/>
        <v>0</v>
      </c>
    </row>
    <row r="73" spans="1:6" hidden="1" x14ac:dyDescent="0.25">
      <c r="A73" s="1888"/>
      <c r="B73" s="1908"/>
      <c r="C73" s="1889"/>
      <c r="D73" s="1886"/>
      <c r="E73" s="1905">
        <f t="shared" si="0"/>
        <v>0</v>
      </c>
      <c r="F73" s="1905" t="str">
        <f t="shared" si="1"/>
        <v>0</v>
      </c>
    </row>
    <row r="74" spans="1:6" hidden="1" x14ac:dyDescent="0.25">
      <c r="A74" s="1888"/>
      <c r="B74" s="1908"/>
      <c r="C74" s="1889"/>
      <c r="D74" s="1886"/>
      <c r="E74" s="1905">
        <f t="shared" si="0"/>
        <v>0</v>
      </c>
      <c r="F74" s="1905" t="str">
        <f t="shared" si="1"/>
        <v>0</v>
      </c>
    </row>
    <row r="75" spans="1:6" hidden="1" x14ac:dyDescent="0.25">
      <c r="A75" s="1888"/>
      <c r="B75" s="1908"/>
      <c r="C75" s="1889"/>
      <c r="D75" s="1886"/>
      <c r="E75" s="1905">
        <f t="shared" si="0"/>
        <v>0</v>
      </c>
      <c r="F75" s="1905" t="str">
        <f t="shared" si="1"/>
        <v>0</v>
      </c>
    </row>
    <row r="76" spans="1:6" hidden="1" x14ac:dyDescent="0.25">
      <c r="A76" s="1888"/>
      <c r="B76" s="1908"/>
      <c r="C76" s="1889"/>
      <c r="D76" s="1886"/>
      <c r="E76" s="1905">
        <f t="shared" si="0"/>
        <v>0</v>
      </c>
      <c r="F76" s="1905" t="str">
        <f t="shared" si="1"/>
        <v>0</v>
      </c>
    </row>
    <row r="77" spans="1:6" hidden="1" x14ac:dyDescent="0.25">
      <c r="A77" s="1888"/>
      <c r="B77" s="1908"/>
      <c r="C77" s="1889"/>
      <c r="D77" s="1886"/>
      <c r="E77" s="1905">
        <f t="shared" si="0"/>
        <v>0</v>
      </c>
      <c r="F77" s="1905" t="str">
        <f t="shared" si="1"/>
        <v>0</v>
      </c>
    </row>
    <row r="78" spans="1:6" hidden="1" x14ac:dyDescent="0.25">
      <c r="A78" s="1888"/>
      <c r="B78" s="1908"/>
      <c r="C78" s="1889"/>
      <c r="D78" s="1886"/>
      <c r="E78" s="1905">
        <f t="shared" si="0"/>
        <v>0</v>
      </c>
      <c r="F78" s="1905" t="str">
        <f t="shared" si="1"/>
        <v>0</v>
      </c>
    </row>
    <row r="79" spans="1:6" x14ac:dyDescent="0.25">
      <c r="A79" s="1888"/>
      <c r="B79" s="1908"/>
      <c r="C79" s="1889"/>
      <c r="D79" s="1886"/>
      <c r="E79" s="1905">
        <f t="shared" si="0"/>
        <v>0</v>
      </c>
      <c r="F79" s="1905" t="str">
        <f t="shared" si="1"/>
        <v>0</v>
      </c>
    </row>
    <row r="80" spans="1:6" hidden="1" x14ac:dyDescent="0.25">
      <c r="A80" s="1888"/>
      <c r="B80" s="1908"/>
      <c r="C80" s="1889"/>
      <c r="D80" s="1886"/>
      <c r="E80" s="1905">
        <f t="shared" si="0"/>
        <v>0</v>
      </c>
      <c r="F80" s="1905" t="str">
        <f t="shared" si="1"/>
        <v>0</v>
      </c>
    </row>
    <row r="81" spans="1:6" hidden="1" x14ac:dyDescent="0.25">
      <c r="A81" s="1888"/>
      <c r="B81" s="1908"/>
      <c r="C81" s="1889"/>
      <c r="D81" s="1886"/>
      <c r="E81" s="1905">
        <f t="shared" si="0"/>
        <v>0</v>
      </c>
      <c r="F81" s="1905" t="str">
        <f t="shared" si="1"/>
        <v>0</v>
      </c>
    </row>
    <row r="82" spans="1:6" hidden="1" x14ac:dyDescent="0.25">
      <c r="A82" s="1888"/>
      <c r="B82" s="1908"/>
      <c r="C82" s="1889"/>
      <c r="D82" s="1886"/>
      <c r="E82" s="1905">
        <f t="shared" ref="E82:E141" si="2">IF(D82&lt;25000,D82,"25,000")</f>
        <v>0</v>
      </c>
      <c r="F82" s="1905" t="str">
        <f t="shared" ref="F82:F141" si="3">IF(D82&gt;=25000,(D82-E82),"0")</f>
        <v>0</v>
      </c>
    </row>
    <row r="83" spans="1:6" hidden="1" x14ac:dyDescent="0.25">
      <c r="A83" s="1888"/>
      <c r="B83" s="1908"/>
      <c r="C83" s="1889"/>
      <c r="D83" s="1886"/>
      <c r="E83" s="1905">
        <f t="shared" si="2"/>
        <v>0</v>
      </c>
      <c r="F83" s="1905" t="str">
        <f t="shared" si="3"/>
        <v>0</v>
      </c>
    </row>
    <row r="84" spans="1:6" hidden="1" x14ac:dyDescent="0.25">
      <c r="A84" s="1888"/>
      <c r="B84" s="1908"/>
      <c r="C84" s="1889"/>
      <c r="D84" s="1886"/>
      <c r="E84" s="1905">
        <f t="shared" si="2"/>
        <v>0</v>
      </c>
      <c r="F84" s="1905" t="str">
        <f t="shared" si="3"/>
        <v>0</v>
      </c>
    </row>
    <row r="85" spans="1:6" hidden="1" x14ac:dyDescent="0.25">
      <c r="A85" s="1888"/>
      <c r="B85" s="1908"/>
      <c r="C85" s="1889"/>
      <c r="D85" s="1886"/>
      <c r="E85" s="1905">
        <f t="shared" si="2"/>
        <v>0</v>
      </c>
      <c r="F85" s="1905" t="str">
        <f t="shared" si="3"/>
        <v>0</v>
      </c>
    </row>
    <row r="86" spans="1:6" hidden="1" x14ac:dyDescent="0.25">
      <c r="A86" s="1888"/>
      <c r="B86" s="1908"/>
      <c r="C86" s="1889"/>
      <c r="D86" s="1886"/>
      <c r="E86" s="1905">
        <f t="shared" si="2"/>
        <v>0</v>
      </c>
      <c r="F86" s="1905" t="str">
        <f t="shared" si="3"/>
        <v>0</v>
      </c>
    </row>
    <row r="87" spans="1:6" hidden="1" x14ac:dyDescent="0.25">
      <c r="A87" s="1888"/>
      <c r="B87" s="1908"/>
      <c r="C87" s="1889"/>
      <c r="D87" s="1886"/>
      <c r="E87" s="1905">
        <f t="shared" si="2"/>
        <v>0</v>
      </c>
      <c r="F87" s="1905" t="str">
        <f t="shared" si="3"/>
        <v>0</v>
      </c>
    </row>
    <row r="88" spans="1:6" hidden="1" x14ac:dyDescent="0.25">
      <c r="A88" s="1888"/>
      <c r="B88" s="1908"/>
      <c r="C88" s="1889"/>
      <c r="D88" s="1886"/>
      <c r="E88" s="1905">
        <f t="shared" si="2"/>
        <v>0</v>
      </c>
      <c r="F88" s="1905" t="str">
        <f t="shared" si="3"/>
        <v>0</v>
      </c>
    </row>
    <row r="89" spans="1:6" hidden="1" x14ac:dyDescent="0.25">
      <c r="A89" s="1888"/>
      <c r="B89" s="1908"/>
      <c r="C89" s="1889"/>
      <c r="D89" s="1886"/>
      <c r="E89" s="1905">
        <f t="shared" si="2"/>
        <v>0</v>
      </c>
      <c r="F89" s="1905" t="str">
        <f t="shared" si="3"/>
        <v>0</v>
      </c>
    </row>
    <row r="90" spans="1:6" hidden="1" x14ac:dyDescent="0.25">
      <c r="A90" s="1888"/>
      <c r="B90" s="1908"/>
      <c r="C90" s="1889"/>
      <c r="D90" s="1886"/>
      <c r="E90" s="1905">
        <f t="shared" si="2"/>
        <v>0</v>
      </c>
      <c r="F90" s="1905" t="str">
        <f t="shared" si="3"/>
        <v>0</v>
      </c>
    </row>
    <row r="91" spans="1:6" hidden="1" x14ac:dyDescent="0.25">
      <c r="A91" s="1888"/>
      <c r="B91" s="1908"/>
      <c r="C91" s="1889"/>
      <c r="D91" s="1886"/>
      <c r="E91" s="1905">
        <f t="shared" si="2"/>
        <v>0</v>
      </c>
      <c r="F91" s="1905" t="str">
        <f t="shared" si="3"/>
        <v>0</v>
      </c>
    </row>
    <row r="92" spans="1:6" hidden="1" x14ac:dyDescent="0.25">
      <c r="A92" s="1888"/>
      <c r="B92" s="1908"/>
      <c r="C92" s="1889"/>
      <c r="D92" s="1886"/>
      <c r="E92" s="1905">
        <f t="shared" si="2"/>
        <v>0</v>
      </c>
      <c r="F92" s="1905" t="str">
        <f t="shared" si="3"/>
        <v>0</v>
      </c>
    </row>
    <row r="93" spans="1:6" hidden="1" x14ac:dyDescent="0.25">
      <c r="A93" s="1888"/>
      <c r="B93" s="1908"/>
      <c r="C93" s="1889"/>
      <c r="D93" s="1886"/>
      <c r="E93" s="1905">
        <f t="shared" si="2"/>
        <v>0</v>
      </c>
      <c r="F93" s="1905" t="str">
        <f t="shared" si="3"/>
        <v>0</v>
      </c>
    </row>
    <row r="94" spans="1:6" hidden="1" x14ac:dyDescent="0.25">
      <c r="A94" s="1888"/>
      <c r="B94" s="1908"/>
      <c r="C94" s="1889"/>
      <c r="D94" s="1886"/>
      <c r="E94" s="1905">
        <f t="shared" si="2"/>
        <v>0</v>
      </c>
      <c r="F94" s="1905" t="str">
        <f t="shared" si="3"/>
        <v>0</v>
      </c>
    </row>
    <row r="95" spans="1:6" hidden="1" x14ac:dyDescent="0.25">
      <c r="A95" s="1888"/>
      <c r="B95" s="1908"/>
      <c r="C95" s="1889"/>
      <c r="D95" s="1886"/>
      <c r="E95" s="1905">
        <f t="shared" si="2"/>
        <v>0</v>
      </c>
      <c r="F95" s="1905" t="str">
        <f t="shared" si="3"/>
        <v>0</v>
      </c>
    </row>
    <row r="96" spans="1:6" hidden="1" x14ac:dyDescent="0.25">
      <c r="A96" s="1888"/>
      <c r="B96" s="1908"/>
      <c r="C96" s="1889"/>
      <c r="D96" s="1886"/>
      <c r="E96" s="1905">
        <f t="shared" si="2"/>
        <v>0</v>
      </c>
      <c r="F96" s="1905" t="str">
        <f t="shared" si="3"/>
        <v>0</v>
      </c>
    </row>
    <row r="97" spans="1:6" hidden="1" x14ac:dyDescent="0.25">
      <c r="A97" s="1888"/>
      <c r="B97" s="1908"/>
      <c r="C97" s="1889"/>
      <c r="D97" s="1886"/>
      <c r="E97" s="1905">
        <f t="shared" si="2"/>
        <v>0</v>
      </c>
      <c r="F97" s="1905" t="str">
        <f t="shared" si="3"/>
        <v>0</v>
      </c>
    </row>
    <row r="98" spans="1:6" hidden="1" x14ac:dyDescent="0.25">
      <c r="A98" s="1888"/>
      <c r="B98" s="1908"/>
      <c r="C98" s="1889"/>
      <c r="D98" s="1886"/>
      <c r="E98" s="1905">
        <f t="shared" si="2"/>
        <v>0</v>
      </c>
      <c r="F98" s="1905" t="str">
        <f t="shared" si="3"/>
        <v>0</v>
      </c>
    </row>
    <row r="99" spans="1:6" hidden="1" x14ac:dyDescent="0.25">
      <c r="A99" s="1888"/>
      <c r="B99" s="1908"/>
      <c r="C99" s="1889"/>
      <c r="D99" s="1886"/>
      <c r="E99" s="1905">
        <f t="shared" si="2"/>
        <v>0</v>
      </c>
      <c r="F99" s="1905" t="str">
        <f t="shared" si="3"/>
        <v>0</v>
      </c>
    </row>
    <row r="100" spans="1:6" hidden="1" x14ac:dyDescent="0.25">
      <c r="A100" s="1888"/>
      <c r="B100" s="1908"/>
      <c r="C100" s="1889"/>
      <c r="D100" s="1886"/>
      <c r="E100" s="1905">
        <f t="shared" si="2"/>
        <v>0</v>
      </c>
      <c r="F100" s="1905" t="str">
        <f t="shared" si="3"/>
        <v>0</v>
      </c>
    </row>
    <row r="101" spans="1:6" hidden="1" x14ac:dyDescent="0.25">
      <c r="A101" s="1888"/>
      <c r="B101" s="1908"/>
      <c r="C101" s="1889"/>
      <c r="D101" s="1886"/>
      <c r="E101" s="1905">
        <f t="shared" si="2"/>
        <v>0</v>
      </c>
      <c r="F101" s="1905" t="str">
        <f t="shared" si="3"/>
        <v>0</v>
      </c>
    </row>
    <row r="102" spans="1:6" hidden="1" x14ac:dyDescent="0.25">
      <c r="A102" s="1888"/>
      <c r="B102" s="1908"/>
      <c r="C102" s="1889"/>
      <c r="D102" s="1886"/>
      <c r="E102" s="1905">
        <f t="shared" si="2"/>
        <v>0</v>
      </c>
      <c r="F102" s="1905" t="str">
        <f t="shared" si="3"/>
        <v>0</v>
      </c>
    </row>
    <row r="103" spans="1:6" hidden="1" x14ac:dyDescent="0.25">
      <c r="A103" s="1888"/>
      <c r="B103" s="1908"/>
      <c r="C103" s="1889"/>
      <c r="D103" s="1886"/>
      <c r="E103" s="1905">
        <f t="shared" si="2"/>
        <v>0</v>
      </c>
      <c r="F103" s="1905" t="str">
        <f t="shared" si="3"/>
        <v>0</v>
      </c>
    </row>
    <row r="104" spans="1:6" hidden="1" x14ac:dyDescent="0.25">
      <c r="A104" s="1888"/>
      <c r="B104" s="1908"/>
      <c r="C104" s="1889"/>
      <c r="D104" s="1886"/>
      <c r="E104" s="1905">
        <f t="shared" si="2"/>
        <v>0</v>
      </c>
      <c r="F104" s="1905" t="str">
        <f t="shared" si="3"/>
        <v>0</v>
      </c>
    </row>
    <row r="105" spans="1:6" hidden="1" x14ac:dyDescent="0.25">
      <c r="A105" s="1888"/>
      <c r="B105" s="1908"/>
      <c r="C105" s="1889"/>
      <c r="D105" s="1886"/>
      <c r="E105" s="1905">
        <f t="shared" si="2"/>
        <v>0</v>
      </c>
      <c r="F105" s="1905" t="str">
        <f t="shared" si="3"/>
        <v>0</v>
      </c>
    </row>
    <row r="106" spans="1:6" hidden="1" x14ac:dyDescent="0.25">
      <c r="A106" s="1888"/>
      <c r="B106" s="1908"/>
      <c r="C106" s="1889"/>
      <c r="D106" s="1886"/>
      <c r="E106" s="1905">
        <f t="shared" si="2"/>
        <v>0</v>
      </c>
      <c r="F106" s="1905" t="str">
        <f t="shared" si="3"/>
        <v>0</v>
      </c>
    </row>
    <row r="107" spans="1:6" hidden="1" x14ac:dyDescent="0.25">
      <c r="A107" s="1888"/>
      <c r="B107" s="1908"/>
      <c r="C107" s="1889"/>
      <c r="D107" s="1886"/>
      <c r="E107" s="1905">
        <f t="shared" si="2"/>
        <v>0</v>
      </c>
      <c r="F107" s="1905" t="str">
        <f t="shared" si="3"/>
        <v>0</v>
      </c>
    </row>
    <row r="108" spans="1:6" hidden="1" x14ac:dyDescent="0.25">
      <c r="A108" s="1888"/>
      <c r="B108" s="1908"/>
      <c r="C108" s="1889"/>
      <c r="D108" s="1886"/>
      <c r="E108" s="1905">
        <f t="shared" si="2"/>
        <v>0</v>
      </c>
      <c r="F108" s="1905" t="str">
        <f t="shared" si="3"/>
        <v>0</v>
      </c>
    </row>
    <row r="109" spans="1:6" hidden="1" x14ac:dyDescent="0.25">
      <c r="A109" s="1888"/>
      <c r="B109" s="1908"/>
      <c r="C109" s="1889"/>
      <c r="D109" s="1886"/>
      <c r="E109" s="1905">
        <f t="shared" si="2"/>
        <v>0</v>
      </c>
      <c r="F109" s="1905" t="str">
        <f t="shared" si="3"/>
        <v>0</v>
      </c>
    </row>
    <row r="110" spans="1:6" hidden="1" x14ac:dyDescent="0.25">
      <c r="A110" s="1888"/>
      <c r="B110" s="1908"/>
      <c r="C110" s="1889"/>
      <c r="D110" s="1886"/>
      <c r="E110" s="1905">
        <f t="shared" si="2"/>
        <v>0</v>
      </c>
      <c r="F110" s="1905" t="str">
        <f t="shared" si="3"/>
        <v>0</v>
      </c>
    </row>
    <row r="111" spans="1:6" hidden="1" x14ac:dyDescent="0.25">
      <c r="A111" s="1888"/>
      <c r="B111" s="1908"/>
      <c r="C111" s="1889"/>
      <c r="D111" s="1886"/>
      <c r="E111" s="1905">
        <f t="shared" si="2"/>
        <v>0</v>
      </c>
      <c r="F111" s="1905" t="str">
        <f t="shared" si="3"/>
        <v>0</v>
      </c>
    </row>
    <row r="112" spans="1:6" hidden="1" x14ac:dyDescent="0.25">
      <c r="A112" s="1888"/>
      <c r="B112" s="1908"/>
      <c r="C112" s="1889"/>
      <c r="D112" s="1886"/>
      <c r="E112" s="1905">
        <f t="shared" si="2"/>
        <v>0</v>
      </c>
      <c r="F112" s="1905" t="str">
        <f t="shared" si="3"/>
        <v>0</v>
      </c>
    </row>
    <row r="113" spans="1:6" hidden="1" x14ac:dyDescent="0.25">
      <c r="A113" s="1888"/>
      <c r="B113" s="1908"/>
      <c r="C113" s="1889"/>
      <c r="D113" s="1886"/>
      <c r="E113" s="1905">
        <f t="shared" si="2"/>
        <v>0</v>
      </c>
      <c r="F113" s="1905" t="str">
        <f t="shared" si="3"/>
        <v>0</v>
      </c>
    </row>
    <row r="114" spans="1:6" hidden="1" x14ac:dyDescent="0.25">
      <c r="A114" s="1888"/>
      <c r="B114" s="1908"/>
      <c r="C114" s="1889"/>
      <c r="D114" s="1886"/>
      <c r="E114" s="1905">
        <f t="shared" si="2"/>
        <v>0</v>
      </c>
      <c r="F114" s="1905" t="str">
        <f t="shared" si="3"/>
        <v>0</v>
      </c>
    </row>
    <row r="115" spans="1:6" hidden="1" x14ac:dyDescent="0.25">
      <c r="A115" s="1888"/>
      <c r="B115" s="1908"/>
      <c r="C115" s="1889"/>
      <c r="D115" s="1886"/>
      <c r="E115" s="1905">
        <f t="shared" si="2"/>
        <v>0</v>
      </c>
      <c r="F115" s="1905" t="str">
        <f t="shared" si="3"/>
        <v>0</v>
      </c>
    </row>
    <row r="116" spans="1:6" hidden="1" x14ac:dyDescent="0.25">
      <c r="A116" s="1888"/>
      <c r="B116" s="1908"/>
      <c r="C116" s="1889"/>
      <c r="D116" s="1886"/>
      <c r="E116" s="1905">
        <f t="shared" si="2"/>
        <v>0</v>
      </c>
      <c r="F116" s="1905" t="str">
        <f t="shared" si="3"/>
        <v>0</v>
      </c>
    </row>
    <row r="117" spans="1:6" hidden="1" x14ac:dyDescent="0.25">
      <c r="A117" s="1888"/>
      <c r="B117" s="1908"/>
      <c r="C117" s="1889"/>
      <c r="D117" s="1886"/>
      <c r="E117" s="1905">
        <f t="shared" si="2"/>
        <v>0</v>
      </c>
      <c r="F117" s="1905" t="str">
        <f t="shared" si="3"/>
        <v>0</v>
      </c>
    </row>
    <row r="118" spans="1:6" hidden="1" x14ac:dyDescent="0.25">
      <c r="A118" s="1888"/>
      <c r="B118" s="1908"/>
      <c r="C118" s="1889"/>
      <c r="D118" s="1886"/>
      <c r="E118" s="1905">
        <f t="shared" si="2"/>
        <v>0</v>
      </c>
      <c r="F118" s="1905" t="str">
        <f t="shared" si="3"/>
        <v>0</v>
      </c>
    </row>
    <row r="119" spans="1:6" hidden="1" x14ac:dyDescent="0.25">
      <c r="A119" s="1888"/>
      <c r="B119" s="1908"/>
      <c r="C119" s="1889"/>
      <c r="D119" s="1886"/>
      <c r="E119" s="1905">
        <f t="shared" si="2"/>
        <v>0</v>
      </c>
      <c r="F119" s="1905" t="str">
        <f t="shared" si="3"/>
        <v>0</v>
      </c>
    </row>
    <row r="120" spans="1:6" hidden="1" x14ac:dyDescent="0.25">
      <c r="A120" s="1888"/>
      <c r="B120" s="1908"/>
      <c r="C120" s="1889"/>
      <c r="D120" s="1886"/>
      <c r="E120" s="1905">
        <f t="shared" si="2"/>
        <v>0</v>
      </c>
      <c r="F120" s="1905" t="str">
        <f t="shared" si="3"/>
        <v>0</v>
      </c>
    </row>
    <row r="121" spans="1:6" hidden="1" x14ac:dyDescent="0.25">
      <c r="A121" s="1888"/>
      <c r="B121" s="1908"/>
      <c r="C121" s="1889"/>
      <c r="D121" s="1886"/>
      <c r="E121" s="1905">
        <f t="shared" si="2"/>
        <v>0</v>
      </c>
      <c r="F121" s="1905" t="str">
        <f t="shared" si="3"/>
        <v>0</v>
      </c>
    </row>
    <row r="122" spans="1:6" hidden="1" x14ac:dyDescent="0.25">
      <c r="A122" s="1888"/>
      <c r="B122" s="1908"/>
      <c r="C122" s="1889"/>
      <c r="D122" s="1886"/>
      <c r="E122" s="1905">
        <f t="shared" si="2"/>
        <v>0</v>
      </c>
      <c r="F122" s="1905" t="str">
        <f t="shared" si="3"/>
        <v>0</v>
      </c>
    </row>
    <row r="123" spans="1:6" hidden="1" x14ac:dyDescent="0.25">
      <c r="A123" s="1888"/>
      <c r="B123" s="1908"/>
      <c r="C123" s="1889"/>
      <c r="D123" s="1886"/>
      <c r="E123" s="1905">
        <f t="shared" si="2"/>
        <v>0</v>
      </c>
      <c r="F123" s="1905" t="str">
        <f t="shared" si="3"/>
        <v>0</v>
      </c>
    </row>
    <row r="124" spans="1:6" hidden="1" x14ac:dyDescent="0.25">
      <c r="A124" s="1888"/>
      <c r="B124" s="1908"/>
      <c r="C124" s="1889"/>
      <c r="D124" s="1886"/>
      <c r="E124" s="1905">
        <f t="shared" si="2"/>
        <v>0</v>
      </c>
      <c r="F124" s="1905" t="str">
        <f t="shared" si="3"/>
        <v>0</v>
      </c>
    </row>
    <row r="125" spans="1:6" hidden="1" x14ac:dyDescent="0.25">
      <c r="A125" s="1888"/>
      <c r="B125" s="1908"/>
      <c r="C125" s="1889"/>
      <c r="D125" s="1886"/>
      <c r="E125" s="1905">
        <f t="shared" si="2"/>
        <v>0</v>
      </c>
      <c r="F125" s="1905" t="str">
        <f t="shared" si="3"/>
        <v>0</v>
      </c>
    </row>
    <row r="126" spans="1:6" hidden="1" x14ac:dyDescent="0.25">
      <c r="A126" s="1888"/>
      <c r="B126" s="1908"/>
      <c r="C126" s="1889"/>
      <c r="D126" s="1886"/>
      <c r="E126" s="1905">
        <f t="shared" si="2"/>
        <v>0</v>
      </c>
      <c r="F126" s="1905" t="str">
        <f t="shared" si="3"/>
        <v>0</v>
      </c>
    </row>
    <row r="127" spans="1:6" hidden="1" x14ac:dyDescent="0.25">
      <c r="A127" s="1888"/>
      <c r="B127" s="1908"/>
      <c r="C127" s="1889"/>
      <c r="D127" s="1886"/>
      <c r="E127" s="1905">
        <f t="shared" si="2"/>
        <v>0</v>
      </c>
      <c r="F127" s="1905" t="str">
        <f t="shared" si="3"/>
        <v>0</v>
      </c>
    </row>
    <row r="128" spans="1:6" hidden="1" x14ac:dyDescent="0.25">
      <c r="A128" s="1888"/>
      <c r="B128" s="1908"/>
      <c r="C128" s="1889"/>
      <c r="D128" s="1886"/>
      <c r="E128" s="1905">
        <f t="shared" si="2"/>
        <v>0</v>
      </c>
      <c r="F128" s="1905" t="str">
        <f t="shared" si="3"/>
        <v>0</v>
      </c>
    </row>
    <row r="129" spans="1:6" hidden="1" x14ac:dyDescent="0.25">
      <c r="A129" s="1888"/>
      <c r="B129" s="1908"/>
      <c r="C129" s="1889"/>
      <c r="D129" s="1886"/>
      <c r="E129" s="1905">
        <f t="shared" si="2"/>
        <v>0</v>
      </c>
      <c r="F129" s="1905" t="str">
        <f t="shared" si="3"/>
        <v>0</v>
      </c>
    </row>
    <row r="130" spans="1:6" hidden="1" x14ac:dyDescent="0.25">
      <c r="A130" s="1888"/>
      <c r="B130" s="1908"/>
      <c r="C130" s="1889"/>
      <c r="D130" s="1886"/>
      <c r="E130" s="1905">
        <f t="shared" si="2"/>
        <v>0</v>
      </c>
      <c r="F130" s="1905" t="str">
        <f t="shared" si="3"/>
        <v>0</v>
      </c>
    </row>
    <row r="131" spans="1:6" hidden="1" x14ac:dyDescent="0.25">
      <c r="A131" s="1888"/>
      <c r="B131" s="1908"/>
      <c r="C131" s="1889"/>
      <c r="D131" s="1886"/>
      <c r="E131" s="1905">
        <f t="shared" si="2"/>
        <v>0</v>
      </c>
      <c r="F131" s="1905" t="str">
        <f t="shared" si="3"/>
        <v>0</v>
      </c>
    </row>
    <row r="132" spans="1:6" hidden="1" x14ac:dyDescent="0.25">
      <c r="A132" s="1888"/>
      <c r="B132" s="1908"/>
      <c r="C132" s="1889"/>
      <c r="D132" s="1886"/>
      <c r="E132" s="1905">
        <f t="shared" si="2"/>
        <v>0</v>
      </c>
      <c r="F132" s="1905" t="str">
        <f t="shared" si="3"/>
        <v>0</v>
      </c>
    </row>
    <row r="133" spans="1:6" hidden="1" x14ac:dyDescent="0.25">
      <c r="A133" s="1888"/>
      <c r="B133" s="1908"/>
      <c r="C133" s="1889"/>
      <c r="D133" s="1886"/>
      <c r="E133" s="1905">
        <f t="shared" si="2"/>
        <v>0</v>
      </c>
      <c r="F133" s="1905" t="str">
        <f t="shared" si="3"/>
        <v>0</v>
      </c>
    </row>
    <row r="134" spans="1:6" hidden="1" x14ac:dyDescent="0.25">
      <c r="A134" s="1888"/>
      <c r="B134" s="1908"/>
      <c r="C134" s="1889"/>
      <c r="D134" s="1886"/>
      <c r="E134" s="1905">
        <f t="shared" si="2"/>
        <v>0</v>
      </c>
      <c r="F134" s="1905" t="str">
        <f t="shared" si="3"/>
        <v>0</v>
      </c>
    </row>
    <row r="135" spans="1:6" hidden="1" x14ac:dyDescent="0.25">
      <c r="A135" s="1888"/>
      <c r="B135" s="1908"/>
      <c r="C135" s="1889"/>
      <c r="D135" s="1886"/>
      <c r="E135" s="1905">
        <f t="shared" si="2"/>
        <v>0</v>
      </c>
      <c r="F135" s="1905" t="str">
        <f t="shared" si="3"/>
        <v>0</v>
      </c>
    </row>
    <row r="136" spans="1:6" hidden="1" x14ac:dyDescent="0.25">
      <c r="A136" s="1888"/>
      <c r="B136" s="1908"/>
      <c r="C136" s="1889"/>
      <c r="D136" s="1886"/>
      <c r="E136" s="1905">
        <f t="shared" si="2"/>
        <v>0</v>
      </c>
      <c r="F136" s="1905" t="str">
        <f t="shared" si="3"/>
        <v>0</v>
      </c>
    </row>
    <row r="137" spans="1:6" hidden="1" x14ac:dyDescent="0.25">
      <c r="A137" s="1888"/>
      <c r="B137" s="1908"/>
      <c r="C137" s="1889"/>
      <c r="D137" s="1886"/>
      <c r="E137" s="1905">
        <f t="shared" si="2"/>
        <v>0</v>
      </c>
      <c r="F137" s="1905" t="str">
        <f t="shared" si="3"/>
        <v>0</v>
      </c>
    </row>
    <row r="138" spans="1:6" hidden="1" x14ac:dyDescent="0.25">
      <c r="A138" s="1888"/>
      <c r="B138" s="1908"/>
      <c r="C138" s="1889"/>
      <c r="D138" s="1886"/>
      <c r="E138" s="1905">
        <f t="shared" si="2"/>
        <v>0</v>
      </c>
      <c r="F138" s="1905" t="str">
        <f t="shared" si="3"/>
        <v>0</v>
      </c>
    </row>
    <row r="139" spans="1:6" hidden="1" x14ac:dyDescent="0.25">
      <c r="A139" s="1888"/>
      <c r="B139" s="1908"/>
      <c r="C139" s="1889"/>
      <c r="D139" s="1886"/>
      <c r="E139" s="1905">
        <f t="shared" si="2"/>
        <v>0</v>
      </c>
      <c r="F139" s="1905" t="str">
        <f t="shared" si="3"/>
        <v>0</v>
      </c>
    </row>
    <row r="140" spans="1:6" x14ac:dyDescent="0.25">
      <c r="A140" s="1888"/>
      <c r="B140" s="1908"/>
      <c r="C140" s="1889"/>
      <c r="D140" s="1886"/>
      <c r="E140" s="1905">
        <f t="shared" si="2"/>
        <v>0</v>
      </c>
      <c r="F140" s="1905" t="str">
        <f t="shared" si="3"/>
        <v>0</v>
      </c>
    </row>
    <row r="141" spans="1:6" x14ac:dyDescent="0.25">
      <c r="A141" s="1888"/>
      <c r="B141" s="1909"/>
      <c r="C141" s="1889"/>
      <c r="D141" s="1886"/>
      <c r="E141" s="1905">
        <f t="shared" si="2"/>
        <v>0</v>
      </c>
      <c r="F141" s="1905" t="str">
        <f t="shared" si="3"/>
        <v>0</v>
      </c>
    </row>
    <row r="142" spans="1:6" x14ac:dyDescent="0.25">
      <c r="A142" s="1890" t="s">
        <v>155</v>
      </c>
      <c r="B142" s="1910"/>
      <c r="C142" s="1891"/>
      <c r="D142" s="2040" t="s">
        <v>2080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4" sqref="E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0</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1810905</v>
      </c>
      <c r="F19" s="1802"/>
      <c r="G19" s="1804">
        <f>'Expenditures 15-22'!K33-SUM('Expenditures 15-22'!G33,'Expenditures 15-22'!I33)+'Expenditures 15-22'!D229</f>
        <v>1810905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147507</v>
      </c>
      <c r="F21" s="1805"/>
      <c r="G21" s="1808">
        <f>'Expenditures 15-22'!K42-SUM('Expenditures 15-22'!G42,'Expenditures 15-22'!I42)+'Expenditures 15-22'!K120-SUM('Expenditures 15-22'!G120,'Expenditures 15-22'!I120)+'Expenditures 15-22'!K180-SUM('Expenditures 15-22'!G180,'Expenditures 15-22'!I180)+'Expenditures 15-22'!D238</f>
        <v>147507</v>
      </c>
      <c r="H21" s="817"/>
      <c r="I21" s="157"/>
    </row>
    <row r="22" spans="1:9" s="542" customFormat="1" ht="12" customHeight="1" x14ac:dyDescent="0.2">
      <c r="A22" s="824" t="s">
        <v>560</v>
      </c>
      <c r="B22" s="825"/>
      <c r="C22" s="823">
        <v>2200</v>
      </c>
      <c r="D22" s="1805"/>
      <c r="E22" s="1807">
        <f>'Expenditures 15-22'!K47-SUM('Expenditures 15-22'!G47,'Expenditures 15-22'!I47)+'Expenditures 15-22'!D243</f>
        <v>114867</v>
      </c>
      <c r="F22" s="1805"/>
      <c r="G22" s="1808">
        <f>'Expenditures 15-22'!K47-SUM('Expenditures 15-22'!G47,'Expenditures 15-22'!I47)+'Expenditures 15-22'!D243</f>
        <v>114867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363755</v>
      </c>
      <c r="F23" s="1805"/>
      <c r="G23" s="1807">
        <f>'Expenditures 15-22'!K53-SUM('Expenditures 15-22'!G53,'Expenditures 15-22'!I53)+'Expenditures 15-22'!D257+'Expenditures 15-22'!K330-SUM('Expenditures 15-22'!G330,'Expenditures 15-22'!I330)</f>
        <v>363755</v>
      </c>
      <c r="H23" s="817"/>
      <c r="I23" s="157"/>
    </row>
    <row r="24" spans="1:9" s="542" customFormat="1" ht="12" customHeight="1" x14ac:dyDescent="0.2">
      <c r="A24" s="824" t="s">
        <v>562</v>
      </c>
      <c r="B24" s="825"/>
      <c r="C24" s="823">
        <v>2400</v>
      </c>
      <c r="D24" s="1805"/>
      <c r="E24" s="1807">
        <f>'Expenditures 15-22'!K57-SUM('Expenditures 15-22'!G57,'Expenditures 15-22'!I57)+'Expenditures 15-22'!D261</f>
        <v>160378</v>
      </c>
      <c r="F24" s="1805"/>
      <c r="G24" s="1808">
        <f>'Expenditures 15-22'!K57-SUM('Expenditures 15-22'!G57,'Expenditures 15-22'!I57)+'Expenditures 15-22'!D261</f>
        <v>160378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62306</v>
      </c>
      <c r="E27" s="1807">
        <f>E8</f>
        <v>0</v>
      </c>
      <c r="F27" s="1807">
        <f>'Expenditures 15-22'!K60-SUM('Expenditures 15-22'!G60,'Expenditures 15-22'!I60)+'Expenditures 15-22'!D264-E8</f>
        <v>62306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478138</v>
      </c>
      <c r="F28" s="1809">
        <f>'Expenditures 15-22'!K61-SUM('Expenditures 15-22'!G61,'Expenditures 15-22'!I61)+'Expenditures 15-22'!K124-SUM('Expenditures 15-22'!G124,'Expenditures 15-22'!I124)+'Expenditures 15-22'!D266-E9</f>
        <v>478138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281448</v>
      </c>
      <c r="F29" s="1805"/>
      <c r="G29" s="1808">
        <f>'Expenditures 15-22'!K62-SUM('Expenditures 15-22'!G62,'Expenditures 15-22'!I62)+'Expenditures 15-22'!K125-SUM('Expenditures 15-22'!G125,'Expenditures 15-22'!I125)+'Expenditures 15-22'!K182-SUM('Expenditures 15-22'!G182,'Expenditures 15-22'!I182)+'Expenditures 15-22'!D267</f>
        <v>281448</v>
      </c>
      <c r="H29" s="815"/>
    </row>
    <row r="30" spans="1:9" ht="12" customHeight="1" x14ac:dyDescent="0.2">
      <c r="A30" s="824" t="s">
        <v>100</v>
      </c>
      <c r="B30" s="827"/>
      <c r="C30" s="823">
        <v>2560</v>
      </c>
      <c r="D30" s="1805"/>
      <c r="E30" s="1807">
        <f>'Expenditures 15-22'!K63-SUM('Expenditures 15-22'!G63,'Expenditures 15-22'!I63)+'Expenditures 15-22'!D268-E10</f>
        <v>190565</v>
      </c>
      <c r="F30" s="1805"/>
      <c r="G30" s="1807">
        <f>'Expenditures 15-22'!K63-SUM('Expenditures 15-22'!G63,'Expenditures 15-22'!I63)+'Expenditures 15-22'!D268-E10</f>
        <v>190565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62306</v>
      </c>
      <c r="E41" s="1809">
        <f>SUM(E19:E40)</f>
        <v>3547563</v>
      </c>
      <c r="F41" s="1809">
        <f>SUM(F19:F39)</f>
        <v>540444</v>
      </c>
      <c r="G41" s="1809">
        <f>SUM(G19:G40)</f>
        <v>3069425</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62306</v>
      </c>
      <c r="F43" s="1458" t="s">
        <v>470</v>
      </c>
      <c r="G43" s="1810">
        <f>F41</f>
        <v>540444</v>
      </c>
    </row>
    <row r="44" spans="1:7" ht="12" customHeight="1" x14ac:dyDescent="0.2">
      <c r="A44" s="817"/>
      <c r="B44" s="157"/>
      <c r="C44" s="831"/>
      <c r="D44" s="1458" t="s">
        <v>471</v>
      </c>
      <c r="E44" s="1810">
        <f>E41</f>
        <v>3547563</v>
      </c>
      <c r="F44" s="1458" t="s">
        <v>471</v>
      </c>
      <c r="G44" s="1810">
        <f>G41</f>
        <v>3069425</v>
      </c>
    </row>
    <row r="45" spans="1:7" ht="12" customHeight="1" x14ac:dyDescent="0.2">
      <c r="A45" s="817"/>
      <c r="B45" s="157"/>
      <c r="C45" s="157"/>
      <c r="D45" s="1459" t="s">
        <v>999</v>
      </c>
      <c r="E45" s="1811">
        <f>(E43/E44)</f>
        <v>1.7563042573169242E-2</v>
      </c>
      <c r="F45" s="1459" t="s">
        <v>999</v>
      </c>
      <c r="G45" s="1811">
        <f>(G43/G44)</f>
        <v>0.17607336879057153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E29" sqref="E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1363</v>
      </c>
      <c r="B1" s="2405"/>
      <c r="C1" s="2405"/>
      <c r="D1" s="2405"/>
      <c r="E1" s="2405"/>
      <c r="F1" s="24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6" t="s">
        <v>1529</v>
      </c>
      <c r="B5" s="2407"/>
      <c r="C5" s="2408"/>
      <c r="D5" s="2408"/>
      <c r="E5" s="2408"/>
      <c r="F5" s="2408"/>
      <c r="G5" s="1507"/>
      <c r="L5" s="1507"/>
      <c r="M5" s="1855"/>
      <c r="N5" s="1855"/>
      <c r="O5" s="1855"/>
    </row>
    <row r="6" spans="1:15" ht="12" customHeight="1" x14ac:dyDescent="0.25">
      <c r="A6" s="1480"/>
      <c r="B6" s="1481"/>
      <c r="C6" s="2409" t="str">
        <f>COVER!A17</f>
        <v xml:space="preserve">  Crab Orchard CUSD 3</v>
      </c>
      <c r="D6" s="2409"/>
      <c r="E6" s="2409"/>
      <c r="F6" s="1482"/>
      <c r="G6" s="1507"/>
      <c r="L6" s="1507"/>
      <c r="M6" s="1855"/>
      <c r="N6" s="1855"/>
      <c r="O6" s="1855"/>
    </row>
    <row r="7" spans="1:15" ht="11.25" customHeight="1" thickBot="1" x14ac:dyDescent="0.3">
      <c r="A7" s="1480"/>
      <c r="B7" s="1481"/>
      <c r="C7" s="2410">
        <f>COVER!A13</f>
        <v>21100003026</v>
      </c>
      <c r="D7" s="2410"/>
      <c r="E7" s="241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2078</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2076</v>
      </c>
      <c r="D26" s="1495" t="s">
        <v>2076</v>
      </c>
      <c r="E26" s="1498"/>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2076</v>
      </c>
      <c r="D32" s="1495" t="s">
        <v>2076</v>
      </c>
      <c r="E32" s="1498"/>
      <c r="F32" s="1497" t="s">
        <v>2079</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1375</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3"/>
      <c r="B43" s="2414"/>
      <c r="C43" s="2414"/>
      <c r="D43" s="2414"/>
      <c r="E43" s="2414"/>
      <c r="F43" s="2415"/>
      <c r="H43" s="1508"/>
      <c r="I43" s="1508"/>
      <c r="J43" s="1508"/>
      <c r="K43" s="1508"/>
    </row>
    <row r="44" spans="1:15" s="1499" customFormat="1" ht="12" hidden="1" customHeight="1" x14ac:dyDescent="0.25">
      <c r="A44" s="2413"/>
      <c r="B44" s="2414"/>
      <c r="C44" s="2414"/>
      <c r="D44" s="2414"/>
      <c r="E44" s="2414"/>
      <c r="F44" s="24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25" t="str">
        <f>COVER!A17</f>
        <v xml:space="preserve">  Crab Orchard CUSD 3</v>
      </c>
      <c r="K6" s="2425"/>
      <c r="L6" s="2426"/>
      <c r="M6" s="838"/>
      <c r="N6" s="1997"/>
    </row>
    <row r="7" spans="1:14" x14ac:dyDescent="0.2">
      <c r="A7" s="2427" t="s">
        <v>864</v>
      </c>
      <c r="B7" s="2428"/>
      <c r="C7" s="2428"/>
      <c r="D7" s="2428"/>
      <c r="E7" s="2429"/>
      <c r="F7" s="839"/>
      <c r="G7" s="838"/>
      <c r="H7" s="838"/>
      <c r="I7" s="1923" t="s">
        <v>369</v>
      </c>
      <c r="J7" s="2430">
        <f>COVER!A13</f>
        <v>21100003026</v>
      </c>
      <c r="K7" s="2430"/>
      <c r="L7" s="2430"/>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31" t="s">
        <v>478</v>
      </c>
      <c r="B11" s="2432"/>
      <c r="C11" s="2433"/>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259247</v>
      </c>
      <c r="F12" s="1941"/>
      <c r="G12" s="1967">
        <f>G68</f>
        <v>0</v>
      </c>
      <c r="H12" s="1943">
        <f t="shared" ref="H12:H18" si="0">SUM(E12:G12)</f>
        <v>259247</v>
      </c>
      <c r="I12" s="1942">
        <v>269500</v>
      </c>
      <c r="J12" s="1941"/>
      <c r="K12" s="1942"/>
      <c r="L12" s="1943">
        <f t="shared" ref="L12:L18" si="1">SUM(I12:K12)</f>
        <v>269500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34" t="s">
        <v>7</v>
      </c>
      <c r="C18" s="2435"/>
      <c r="D18" s="2436"/>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259247</v>
      </c>
      <c r="F19" s="1949">
        <f t="shared" si="2"/>
        <v>0</v>
      </c>
      <c r="G19" s="1949">
        <f t="shared" ref="G19" si="3">SUM(G12:G17)-G18</f>
        <v>0</v>
      </c>
      <c r="H19" s="1949">
        <f t="shared" si="2"/>
        <v>259247</v>
      </c>
      <c r="I19" s="1949">
        <f t="shared" si="2"/>
        <v>269500</v>
      </c>
      <c r="J19" s="1949">
        <f t="shared" si="2"/>
        <v>0</v>
      </c>
      <c r="K19" s="1949">
        <f t="shared" si="2"/>
        <v>0</v>
      </c>
      <c r="L19" s="1949">
        <f t="shared" si="2"/>
        <v>269500</v>
      </c>
      <c r="M19" s="838"/>
      <c r="N19" s="1997"/>
    </row>
    <row r="20" spans="1:14" ht="13.5" thickTop="1" x14ac:dyDescent="0.2">
      <c r="A20" s="2002">
        <v>9</v>
      </c>
      <c r="B20" s="2437" t="s">
        <v>2021</v>
      </c>
      <c r="C20" s="2437"/>
      <c r="D20" s="2438"/>
      <c r="E20" s="1950"/>
      <c r="F20" s="1950"/>
      <c r="G20" s="1950"/>
      <c r="H20" s="1950"/>
      <c r="I20" s="1950"/>
      <c r="J20" s="1950"/>
      <c r="K20" s="1950"/>
      <c r="L20" s="1951">
        <f>IF(AND(H19&gt;0,L19&gt;0),(((L19-H19)/H19)),"Enter Budget Data")</f>
        <v>3.9549155824368264E-2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9"/>
      <c r="D27" s="2439"/>
      <c r="E27" s="843"/>
      <c r="F27" s="2440"/>
      <c r="G27" s="2440"/>
      <c r="H27" s="2440"/>
      <c r="I27" s="838"/>
      <c r="J27" s="838"/>
      <c r="K27" s="838"/>
      <c r="L27" s="838"/>
      <c r="M27" s="838"/>
      <c r="N27" s="1997"/>
    </row>
    <row r="28" spans="1:14" x14ac:dyDescent="0.2">
      <c r="A28" s="1996"/>
      <c r="B28" s="2006"/>
      <c r="C28" s="1956" t="s">
        <v>1026</v>
      </c>
      <c r="D28" s="844"/>
      <c r="E28" s="1957"/>
      <c r="F28" s="2441" t="s">
        <v>1492</v>
      </c>
      <c r="G28" s="2441"/>
      <c r="H28" s="2441"/>
      <c r="I28" s="838"/>
      <c r="J28" s="838"/>
      <c r="K28" s="838"/>
      <c r="L28" s="838"/>
      <c r="M28" s="838"/>
      <c r="N28" s="1997"/>
    </row>
    <row r="29" spans="1:14" x14ac:dyDescent="0.2">
      <c r="A29" s="1996"/>
      <c r="B29" s="2006"/>
      <c r="C29" s="2442"/>
      <c r="D29" s="2442"/>
      <c r="E29" s="845"/>
      <c r="F29" s="2442"/>
      <c r="G29" s="2442"/>
      <c r="H29" s="2442"/>
      <c r="I29" s="838"/>
      <c r="J29" s="838"/>
      <c r="K29" s="838"/>
      <c r="L29" s="838"/>
      <c r="M29" s="838"/>
      <c r="N29" s="1997"/>
    </row>
    <row r="30" spans="1:14" x14ac:dyDescent="0.2">
      <c r="A30" s="1996"/>
      <c r="B30" s="2006"/>
      <c r="C30" s="1959" t="s">
        <v>1544</v>
      </c>
      <c r="D30" s="838"/>
      <c r="E30" s="1958"/>
      <c r="F30" s="2424" t="s">
        <v>1493</v>
      </c>
      <c r="G30" s="2424"/>
      <c r="H30" s="2424"/>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5" t="s">
        <v>2024</v>
      </c>
      <c r="D34" s="2446"/>
      <c r="E34" s="2446"/>
      <c r="F34" s="2446"/>
      <c r="G34" s="2446"/>
      <c r="H34" s="2446"/>
      <c r="I34" s="2446"/>
      <c r="J34" s="2446"/>
      <c r="K34" s="2015"/>
      <c r="L34" s="838"/>
      <c r="M34" s="838"/>
      <c r="N34" s="1997"/>
    </row>
    <row r="35" spans="1:14" x14ac:dyDescent="0.2">
      <c r="A35" s="1996"/>
      <c r="B35" s="838"/>
      <c r="C35" s="2446"/>
      <c r="D35" s="2446"/>
      <c r="E35" s="2446"/>
      <c r="F35" s="2446"/>
      <c r="G35" s="2446"/>
      <c r="H35" s="2446"/>
      <c r="I35" s="2446"/>
      <c r="J35" s="2446"/>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5" t="s">
        <v>2025</v>
      </c>
      <c r="D37" s="2446"/>
      <c r="E37" s="2446"/>
      <c r="F37" s="2446"/>
      <c r="G37" s="2446"/>
      <c r="H37" s="2446"/>
      <c r="I37" s="2446"/>
      <c r="J37" s="2446"/>
      <c r="K37" s="2015"/>
      <c r="L37" s="2017"/>
      <c r="M37" s="838"/>
      <c r="N37" s="1997"/>
    </row>
    <row r="38" spans="1:14" x14ac:dyDescent="0.2">
      <c r="A38" s="1996"/>
      <c r="B38" s="838"/>
      <c r="C38" s="2446"/>
      <c r="D38" s="2446"/>
      <c r="E38" s="2446"/>
      <c r="F38" s="2446"/>
      <c r="G38" s="2446"/>
      <c r="H38" s="2446"/>
      <c r="I38" s="2446"/>
      <c r="J38" s="2446"/>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7" t="s">
        <v>2026</v>
      </c>
      <c r="D40" s="2448"/>
      <c r="E40" s="2448"/>
      <c r="F40" s="2448"/>
      <c r="G40" s="2448"/>
      <c r="H40" s="2448"/>
      <c r="I40" s="2448"/>
      <c r="J40" s="2448"/>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9" t="s">
        <v>2027</v>
      </c>
      <c r="B43" s="2450"/>
      <c r="C43" s="2450"/>
      <c r="D43" s="2450"/>
      <c r="E43" s="2450"/>
      <c r="F43" s="2450"/>
      <c r="G43" s="2450"/>
      <c r="H43" s="2450"/>
      <c r="I43" s="2450"/>
      <c r="J43" s="2450"/>
      <c r="K43" s="2450"/>
      <c r="L43" s="2450"/>
      <c r="M43" s="2450"/>
      <c r="N43" s="2451"/>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52" t="s">
        <v>2029</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5" t="str">
        <f>J6</f>
        <v xml:space="preserve">  Crab Orchard CUSD 3</v>
      </c>
      <c r="M52" s="2425"/>
      <c r="N52" s="2455"/>
    </row>
    <row r="53" spans="1:14" x14ac:dyDescent="0.2">
      <c r="A53" s="1981"/>
      <c r="B53" s="1982"/>
      <c r="C53" s="1982"/>
      <c r="D53" s="1982"/>
      <c r="E53" s="1982"/>
      <c r="F53" s="1982"/>
      <c r="G53" s="1982"/>
      <c r="H53" s="1982"/>
      <c r="I53" s="1982"/>
      <c r="J53" s="1982"/>
      <c r="K53" s="1923" t="s">
        <v>369</v>
      </c>
      <c r="L53" s="2430">
        <f>J7</f>
        <v>21100003026</v>
      </c>
      <c r="M53" s="2430"/>
      <c r="N53" s="2456"/>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7"/>
      <c r="B55" s="2458"/>
      <c r="C55" s="2458"/>
      <c r="D55" s="1969"/>
      <c r="E55" s="1969"/>
      <c r="F55" s="1969"/>
      <c r="G55" s="2459" t="s">
        <v>2030</v>
      </c>
      <c r="H55" s="2459"/>
      <c r="I55" s="2459"/>
      <c r="J55" s="2459"/>
      <c r="K55" s="2459"/>
      <c r="L55" s="2459"/>
      <c r="M55" s="2459"/>
      <c r="N55" s="2460"/>
    </row>
    <row r="56" spans="1:14" ht="63.75" x14ac:dyDescent="0.2">
      <c r="A56" s="2461" t="s">
        <v>2031</v>
      </c>
      <c r="B56" s="2462"/>
      <c r="C56" s="2463"/>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4" t="s">
        <v>296</v>
      </c>
      <c r="B57" s="2465"/>
      <c r="C57" s="2465"/>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3" t="s">
        <v>2041</v>
      </c>
      <c r="B58" s="2444"/>
      <c r="C58" s="2444"/>
      <c r="D58" s="1966">
        <v>2362</v>
      </c>
      <c r="E58" s="1976">
        <f>'Expenditures 15-22'!K320</f>
        <v>29065</v>
      </c>
      <c r="F58" s="1971"/>
      <c r="G58" s="2030"/>
      <c r="H58" s="2031"/>
      <c r="I58" s="2031"/>
      <c r="J58" s="2031"/>
      <c r="K58" s="2031"/>
      <c r="L58" s="2031"/>
      <c r="M58" s="2031">
        <v>29065</v>
      </c>
      <c r="N58" s="1974">
        <f>IF((SUM(G58:M58))=E58,SUM(G58:M58),"Column N does not agree with Column E")</f>
        <v>29065</v>
      </c>
    </row>
    <row r="59" spans="1:14" ht="24.75" customHeight="1" x14ac:dyDescent="0.2">
      <c r="A59" s="2466" t="s">
        <v>297</v>
      </c>
      <c r="B59" s="2467"/>
      <c r="C59" s="2467"/>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6" t="s">
        <v>236</v>
      </c>
      <c r="B60" s="2467"/>
      <c r="C60" s="2467"/>
      <c r="D60" s="1966">
        <v>2364</v>
      </c>
      <c r="E60" s="1976">
        <f>'Expenditures 15-22'!K322</f>
        <v>38992</v>
      </c>
      <c r="F60" s="1971"/>
      <c r="G60" s="2030"/>
      <c r="H60" s="2031"/>
      <c r="I60" s="2031"/>
      <c r="J60" s="2031"/>
      <c r="K60" s="2031"/>
      <c r="L60" s="2031"/>
      <c r="M60" s="2031">
        <v>38992</v>
      </c>
      <c r="N60" s="1974">
        <f t="shared" ref="N60:N67" si="4">IF((SUM(G60:M60))=E60,SUM(G60:M60),"Column N does not agree with Column E")</f>
        <v>38992</v>
      </c>
    </row>
    <row r="61" spans="1:14" ht="24.75" customHeight="1" x14ac:dyDescent="0.2">
      <c r="A61" s="2466" t="s">
        <v>697</v>
      </c>
      <c r="B61" s="2467"/>
      <c r="C61" s="2467"/>
      <c r="D61" s="1966">
        <v>2365</v>
      </c>
      <c r="E61" s="1976">
        <f>'Expenditures 15-22'!K323</f>
        <v>0</v>
      </c>
      <c r="F61" s="1971"/>
      <c r="G61" s="2030"/>
      <c r="H61" s="2031"/>
      <c r="I61" s="2031"/>
      <c r="J61" s="2031"/>
      <c r="K61" s="2031"/>
      <c r="L61" s="2031"/>
      <c r="M61" s="2031"/>
      <c r="N61" s="1974">
        <f t="shared" si="4"/>
        <v>0</v>
      </c>
    </row>
    <row r="62" spans="1:14" ht="24" customHeight="1" x14ac:dyDescent="0.2">
      <c r="A62" s="2466" t="s">
        <v>237</v>
      </c>
      <c r="B62" s="2467"/>
      <c r="C62" s="2467"/>
      <c r="D62" s="1966">
        <v>2366</v>
      </c>
      <c r="E62" s="1976">
        <f>'Expenditures 15-22'!K324</f>
        <v>0</v>
      </c>
      <c r="F62" s="1971"/>
      <c r="G62" s="2030"/>
      <c r="H62" s="2031"/>
      <c r="I62" s="2031"/>
      <c r="J62" s="2031"/>
      <c r="K62" s="2031"/>
      <c r="L62" s="2031"/>
      <c r="M62" s="2031"/>
      <c r="N62" s="1974">
        <f t="shared" si="4"/>
        <v>0</v>
      </c>
    </row>
    <row r="63" spans="1:14" ht="24" customHeight="1" x14ac:dyDescent="0.2">
      <c r="A63" s="2443" t="s">
        <v>1022</v>
      </c>
      <c r="B63" s="2444"/>
      <c r="C63" s="2444"/>
      <c r="D63" s="1966">
        <v>2367</v>
      </c>
      <c r="E63" s="1976">
        <f>'Expenditures 15-22'!K325</f>
        <v>0</v>
      </c>
      <c r="F63" s="1971"/>
      <c r="G63" s="2030"/>
      <c r="H63" s="2031"/>
      <c r="I63" s="2031"/>
      <c r="J63" s="2031"/>
      <c r="K63" s="2031"/>
      <c r="L63" s="2031"/>
      <c r="M63" s="2031"/>
      <c r="N63" s="1974">
        <f t="shared" si="4"/>
        <v>0</v>
      </c>
    </row>
    <row r="64" spans="1:14" ht="24" customHeight="1" x14ac:dyDescent="0.2">
      <c r="A64" s="2466" t="s">
        <v>1023</v>
      </c>
      <c r="B64" s="2467"/>
      <c r="C64" s="2467"/>
      <c r="D64" s="1966">
        <v>2368</v>
      </c>
      <c r="E64" s="1976">
        <f>'Expenditures 15-22'!K326</f>
        <v>0</v>
      </c>
      <c r="F64" s="1971"/>
      <c r="G64" s="2030"/>
      <c r="H64" s="2031"/>
      <c r="I64" s="2031"/>
      <c r="J64" s="2031"/>
      <c r="K64" s="2031"/>
      <c r="L64" s="2031"/>
      <c r="M64" s="2031"/>
      <c r="N64" s="1974">
        <f t="shared" si="4"/>
        <v>0</v>
      </c>
    </row>
    <row r="65" spans="1:14" ht="24" customHeight="1" x14ac:dyDescent="0.2">
      <c r="A65" s="2466" t="s">
        <v>965</v>
      </c>
      <c r="B65" s="2467"/>
      <c r="C65" s="2467"/>
      <c r="D65" s="1966">
        <v>2369</v>
      </c>
      <c r="E65" s="1976">
        <f>'Expenditures 15-22'!K327</f>
        <v>500</v>
      </c>
      <c r="F65" s="1971"/>
      <c r="G65" s="2030"/>
      <c r="H65" s="2031"/>
      <c r="I65" s="2031"/>
      <c r="J65" s="2031"/>
      <c r="K65" s="2031"/>
      <c r="L65" s="2031"/>
      <c r="M65" s="2031">
        <v>500</v>
      </c>
      <c r="N65" s="1974">
        <f t="shared" si="4"/>
        <v>500</v>
      </c>
    </row>
    <row r="66" spans="1:14" ht="24" customHeight="1" x14ac:dyDescent="0.2">
      <c r="A66" s="2466" t="s">
        <v>469</v>
      </c>
      <c r="B66" s="2467"/>
      <c r="C66" s="2467"/>
      <c r="D66" s="1966">
        <v>2371</v>
      </c>
      <c r="E66" s="1976">
        <f>'Expenditures 15-22'!K328</f>
        <v>0</v>
      </c>
      <c r="F66" s="1971"/>
      <c r="G66" s="2030"/>
      <c r="H66" s="2031"/>
      <c r="I66" s="2031"/>
      <c r="J66" s="2031"/>
      <c r="K66" s="2031"/>
      <c r="L66" s="2031"/>
      <c r="M66" s="2031"/>
      <c r="N66" s="1974">
        <f t="shared" si="4"/>
        <v>0</v>
      </c>
    </row>
    <row r="67" spans="1:14" ht="24.75" customHeight="1" x14ac:dyDescent="0.2">
      <c r="A67" s="2468" t="s">
        <v>2042</v>
      </c>
      <c r="B67" s="2469"/>
      <c r="C67" s="2469"/>
      <c r="D67" s="1968">
        <v>2372</v>
      </c>
      <c r="E67" s="1977">
        <f>'Expenditures 15-22'!K329</f>
        <v>0</v>
      </c>
      <c r="F67" s="1971"/>
      <c r="G67" s="2032"/>
      <c r="H67" s="2033"/>
      <c r="I67" s="2033"/>
      <c r="J67" s="2033"/>
      <c r="K67" s="2033"/>
      <c r="L67" s="2033"/>
      <c r="M67" s="2033"/>
      <c r="N67" s="1974">
        <f t="shared" si="4"/>
        <v>0</v>
      </c>
    </row>
    <row r="68" spans="1:14" x14ac:dyDescent="0.2">
      <c r="A68" s="2470" t="s">
        <v>1151</v>
      </c>
      <c r="B68" s="2471"/>
      <c r="C68" s="2471"/>
      <c r="D68" s="1969"/>
      <c r="E68" s="1973">
        <f>SUM(E57:E67)</f>
        <v>68557</v>
      </c>
      <c r="F68" s="1972"/>
      <c r="G68" s="1973">
        <f t="shared" ref="G68:N68" si="5">SUM(G57:G67)</f>
        <v>0</v>
      </c>
      <c r="H68" s="1973">
        <f t="shared" si="5"/>
        <v>0</v>
      </c>
      <c r="I68" s="1973">
        <f t="shared" si="5"/>
        <v>0</v>
      </c>
      <c r="J68" s="1973">
        <f t="shared" si="5"/>
        <v>0</v>
      </c>
      <c r="K68" s="1973">
        <f t="shared" si="5"/>
        <v>0</v>
      </c>
      <c r="L68" s="1973">
        <f t="shared" si="5"/>
        <v>0</v>
      </c>
      <c r="M68" s="1973">
        <f t="shared" si="5"/>
        <v>68557</v>
      </c>
      <c r="N68" s="1987">
        <f t="shared" si="5"/>
        <v>68557</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v>2</v>
      </c>
      <c r="B6" s="307" t="s">
        <v>2090</v>
      </c>
    </row>
    <row r="7" spans="1:2" x14ac:dyDescent="0.2">
      <c r="A7" s="847">
        <v>3</v>
      </c>
      <c r="B7" s="307" t="s">
        <v>2069</v>
      </c>
    </row>
    <row r="8" spans="1:2" x14ac:dyDescent="0.2">
      <c r="A8" s="847"/>
      <c r="B8" s="307" t="s">
        <v>2070</v>
      </c>
    </row>
    <row r="9" spans="1:2" x14ac:dyDescent="0.2">
      <c r="A9" s="848"/>
      <c r="B9" s="307" t="s">
        <v>2071</v>
      </c>
    </row>
    <row r="10" spans="1:2" x14ac:dyDescent="0.2">
      <c r="A10" s="847">
        <v>4</v>
      </c>
      <c r="B10" s="307" t="s">
        <v>2072</v>
      </c>
    </row>
    <row r="11" spans="1:2" x14ac:dyDescent="0.2">
      <c r="A11" s="847">
        <v>5</v>
      </c>
      <c r="B11" s="307" t="s">
        <v>2075</v>
      </c>
    </row>
    <row r="12" spans="1:2" x14ac:dyDescent="0.2">
      <c r="A12" s="847">
        <v>6</v>
      </c>
      <c r="B12" s="307" t="s">
        <v>2073</v>
      </c>
    </row>
    <row r="13" spans="1:2" x14ac:dyDescent="0.2">
      <c r="A13" s="847">
        <v>7</v>
      </c>
      <c r="B13" s="307" t="s">
        <v>2074</v>
      </c>
    </row>
    <row r="14" spans="1:2" x14ac:dyDescent="0.2">
      <c r="A14" s="847"/>
    </row>
    <row r="15" spans="1:2" x14ac:dyDescent="0.2">
      <c r="A15" s="847"/>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Crab Orchard CUSD 3</v>
      </c>
    </row>
    <row r="65" spans="2:2" x14ac:dyDescent="0.2">
      <c r="B65" s="849">
        <f>COVER!A13</f>
        <v>21100003026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4" sqref="T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
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2" sqref="B32:K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9"/>
  <sheetViews>
    <sheetView showGridLines="0" zoomScale="110" zoomScaleNormal="110" workbookViewId="0">
      <selection activeCell="B13" sqref="B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307"/>
    </row>
    <row r="17" spans="1:2" ht="6" customHeight="1" x14ac:dyDescent="0.2">
      <c r="B17" s="852" t="s">
        <v>1973</v>
      </c>
    </row>
    <row r="18" spans="1:2" ht="24.75" customHeight="1" x14ac:dyDescent="0.2">
      <c r="A18" s="2041" t="s">
        <v>1665</v>
      </c>
    </row>
    <row r="19" spans="1:2" x14ac:dyDescent="0.2">
      <c r="B19" s="2041"/>
    </row>
  </sheetData>
  <sheetProtection selectLockedCells="1"/>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428625</xdr:colOff>
                <xdr:row>4</xdr:row>
                <xdr:rowOff>123825</xdr:rowOff>
              </from>
              <to>
                <xdr:col>1</xdr:col>
                <xdr:colOff>1343025</xdr:colOff>
                <xdr:row>9</xdr:row>
                <xdr:rowOff>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1972</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3873858</v>
      </c>
      <c r="C8" s="1813">
        <f>'Acct Summary 7-8'!D8</f>
        <v>204886</v>
      </c>
      <c r="D8" s="1813">
        <f>'Acct Summary 7-8'!F8</f>
        <v>347190</v>
      </c>
      <c r="E8" s="1813">
        <f>'Acct Summary 7-8'!I8</f>
        <v>18620</v>
      </c>
      <c r="F8" s="1813">
        <f>SUM(B8:E8)</f>
        <v>4444554</v>
      </c>
    </row>
    <row r="9" spans="1:8" s="858" customFormat="1" ht="14.25" customHeight="1" thickBot="1" x14ac:dyDescent="0.25">
      <c r="A9" s="857" t="s">
        <v>1353</v>
      </c>
      <c r="B9" s="1814">
        <f>'Acct Summary 7-8'!C17</f>
        <v>3516147</v>
      </c>
      <c r="C9" s="1814">
        <f>'Acct Summary 7-8'!D17</f>
        <v>219673</v>
      </c>
      <c r="D9" s="1814">
        <f>'Acct Summary 7-8'!F17</f>
        <v>333856</v>
      </c>
      <c r="E9" s="1813"/>
      <c r="F9" s="1813">
        <f>SUM(B9:E9)</f>
        <v>4069676</v>
      </c>
    </row>
    <row r="10" spans="1:8" s="858" customFormat="1" ht="14.25" thickTop="1" thickBot="1" x14ac:dyDescent="0.25">
      <c r="A10" s="859" t="s">
        <v>1354</v>
      </c>
      <c r="B10" s="1815">
        <f>(B8-B9)</f>
        <v>357711</v>
      </c>
      <c r="C10" s="1815">
        <f>(C8-C9)</f>
        <v>-14787</v>
      </c>
      <c r="D10" s="1815">
        <f>(D8-D9)</f>
        <v>13334</v>
      </c>
      <c r="E10" s="1814">
        <f>(E8-E9)</f>
        <v>18620</v>
      </c>
      <c r="F10" s="1816">
        <f>SUM(F8-F9)</f>
        <v>374878</v>
      </c>
    </row>
    <row r="11" spans="1:8" s="858" customFormat="1" ht="14.25" thickTop="1" thickBot="1" x14ac:dyDescent="0.25">
      <c r="A11" s="860" t="s">
        <v>1903</v>
      </c>
      <c r="B11" s="1817">
        <f>'Acct Summary 7-8'!C81</f>
        <v>1014383</v>
      </c>
      <c r="C11" s="1817">
        <f>'Acct Summary 7-8'!D81</f>
        <v>14835</v>
      </c>
      <c r="D11" s="1817">
        <f>'Acct Summary 7-8'!F81</f>
        <v>94595</v>
      </c>
      <c r="E11" s="1817">
        <f>'Acct Summary 7-8'!I81</f>
        <v>399999</v>
      </c>
      <c r="F11" s="1818">
        <f>SUM(B11:E11)</f>
        <v>1523812</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8" colorId="8" zoomScale="110" zoomScaleNormal="110" workbookViewId="0">
      <selection activeCell="D57" sqref="D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21100003026</v>
      </c>
      <c r="E2" s="1542">
        <v>2020</v>
      </c>
      <c r="F2" s="1542">
        <v>1</v>
      </c>
      <c r="G2" s="1898">
        <v>101000300</v>
      </c>
    </row>
    <row r="3" spans="1:7" ht="15" x14ac:dyDescent="0.25">
      <c r="A3" t="s">
        <v>950</v>
      </c>
      <c r="B3" s="135" t="str">
        <f>COVER!A15</f>
        <v>Williamson County</v>
      </c>
      <c r="E3" s="1830" t="s">
        <v>1971</v>
      </c>
      <c r="F3" s="1830" t="s">
        <v>1970</v>
      </c>
      <c r="G3" s="1898">
        <v>101000400</v>
      </c>
    </row>
    <row r="4" spans="1:7" ht="15" x14ac:dyDescent="0.25">
      <c r="A4" t="s">
        <v>1000</v>
      </c>
      <c r="B4" s="135" t="str">
        <f>COVER!A17</f>
        <v xml:space="preserve">  Crab Orchard CUSD 3</v>
      </c>
      <c r="E4" s="1828">
        <v>44119</v>
      </c>
      <c r="F4" s="1829">
        <v>44151</v>
      </c>
      <c r="G4" s="1898">
        <v>101000600</v>
      </c>
    </row>
    <row r="5" spans="1:7" ht="15" x14ac:dyDescent="0.25">
      <c r="A5" t="s">
        <v>699</v>
      </c>
      <c r="B5" s="135" t="str">
        <f>COVER!A38</f>
        <v>Derek Hutchins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f>COVER!T23</f>
        <v>65.022628999999995</v>
      </c>
      <c r="G15" s="1898">
        <v>402100400</v>
      </c>
    </row>
    <row r="16" spans="1:7" ht="15" x14ac:dyDescent="0.25">
      <c r="A16" t="s">
        <v>419</v>
      </c>
      <c r="B16" s="135" t="str">
        <f>COVER!T13</f>
        <v>Cindy A. Bobell, CPA</v>
      </c>
      <c r="G16" s="1898">
        <v>402100600</v>
      </c>
    </row>
    <row r="17" spans="1:7" ht="15" x14ac:dyDescent="0.25">
      <c r="A17" t="s">
        <v>878</v>
      </c>
      <c r="B17" s="135" t="str">
        <f>COVER!T15</f>
        <v>Cindy A. Bobell, CPA</v>
      </c>
      <c r="G17" s="1898">
        <v>402100800</v>
      </c>
    </row>
    <row r="18" spans="1:7" ht="15" x14ac:dyDescent="0.25">
      <c r="A18" t="s">
        <v>1140</v>
      </c>
      <c r="B18" s="135" t="str">
        <f>COVER!T17</f>
        <v>10653 Khoury League Road</v>
      </c>
      <c r="G18" s="1898">
        <v>102200300</v>
      </c>
    </row>
    <row r="19" spans="1:7" ht="15" x14ac:dyDescent="0.25">
      <c r="A19" t="s">
        <v>880</v>
      </c>
      <c r="B19" s="135" t="str">
        <f>COVER!T25</f>
        <v>cabcpa@frontier.com</v>
      </c>
      <c r="G19" s="1898">
        <v>102200400</v>
      </c>
    </row>
    <row r="20" spans="1:7" ht="15" x14ac:dyDescent="0.25">
      <c r="A20" t="s">
        <v>881</v>
      </c>
      <c r="B20" s="135" t="str">
        <f>COVER!T19</f>
        <v>Marion</v>
      </c>
      <c r="G20" s="1898">
        <v>102200600</v>
      </c>
    </row>
    <row r="21" spans="1:7" ht="15" x14ac:dyDescent="0.25">
      <c r="A21" t="s">
        <v>476</v>
      </c>
      <c r="B21" s="135" t="str">
        <f>COVER!X19</f>
        <v>IL</v>
      </c>
      <c r="G21" s="1898">
        <v>102200800</v>
      </c>
    </row>
    <row r="22" spans="1:7" ht="15" x14ac:dyDescent="0.25">
      <c r="A22" t="s">
        <v>882</v>
      </c>
      <c r="B22" s="135">
        <f>COVER!Z19</f>
        <v>62959</v>
      </c>
      <c r="G22" s="1898">
        <v>102300300</v>
      </c>
    </row>
    <row r="23" spans="1:7" ht="15" x14ac:dyDescent="0.25">
      <c r="A23" t="s">
        <v>1142</v>
      </c>
      <c r="B23" s="135" t="str">
        <f>COVER!T21</f>
        <v>618-997-9711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35735</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1032</v>
      </c>
      <c r="D76" s="2" t="str">
        <f t="shared" si="0"/>
        <v>Error?</v>
      </c>
      <c r="G76" s="1898">
        <v>102570600</v>
      </c>
    </row>
    <row r="77" spans="1:7" ht="15" x14ac:dyDescent="0.25">
      <c r="A77" s="5">
        <v>16</v>
      </c>
      <c r="B77" s="1832">
        <f>'Assets-Liab 5-6'!C13</f>
        <v>1014416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33</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33</v>
      </c>
      <c r="C91" s="2" t="s">
        <v>569</v>
      </c>
      <c r="D91" s="2" t="str">
        <f t="shared" si="0"/>
        <v>Error?</v>
      </c>
      <c r="G91" s="1898">
        <v>102640400</v>
      </c>
    </row>
    <row r="92" spans="1:7" ht="15" x14ac:dyDescent="0.25">
      <c r="A92" s="5">
        <v>31</v>
      </c>
      <c r="B92" s="1832">
        <f>'Assets-Liab 5-6'!C39</f>
        <v>985484</v>
      </c>
      <c r="D92" s="2" t="str">
        <f t="shared" si="0"/>
        <v>Error?</v>
      </c>
      <c r="G92" s="1898">
        <v>102640600</v>
      </c>
    </row>
    <row r="93" spans="1:7" ht="15" x14ac:dyDescent="0.25">
      <c r="A93" s="5">
        <v>32</v>
      </c>
      <c r="B93" s="1832">
        <f>'Assets-Liab 5-6'!C41</f>
        <v>1014416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14835</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14835</v>
      </c>
      <c r="D123" s="2" t="str">
        <f t="shared" si="0"/>
        <v>Error?</v>
      </c>
      <c r="G123" s="1898">
        <v>203000400</v>
      </c>
    </row>
    <row r="124" spans="1:7" ht="15" x14ac:dyDescent="0.25">
      <c r="A124" s="5">
        <v>63</v>
      </c>
      <c r="B124" s="1832">
        <f>'Assets-Liab 5-6'!D41</f>
        <v>14835</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310420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310420</v>
      </c>
      <c r="D140" s="2" t="str">
        <f t="shared" si="1"/>
        <v>Error?</v>
      </c>
    </row>
    <row r="141" spans="1:7" x14ac:dyDescent="0.2">
      <c r="A141" s="5">
        <v>80</v>
      </c>
      <c r="B141" s="1832">
        <f>'Assets-Liab 5-6'!E41</f>
        <v>310420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94595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94595</v>
      </c>
      <c r="D170" s="2" t="str">
        <f t="shared" si="1"/>
        <v>Error?</v>
      </c>
    </row>
    <row r="171" spans="1:4" x14ac:dyDescent="0.2">
      <c r="A171" s="5">
        <v>110</v>
      </c>
      <c r="B171" s="1832">
        <f>'Assets-Liab 5-6'!F41</f>
        <v>94595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53</v>
      </c>
      <c r="D179" s="2" t="str">
        <f t="shared" si="1"/>
        <v>Error?</v>
      </c>
    </row>
    <row r="180" spans="1:4" x14ac:dyDescent="0.2">
      <c r="A180" s="5">
        <v>119</v>
      </c>
      <c r="B180" s="1832">
        <f>'Assets-Liab 5-6'!G13</f>
        <v>83727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83727</v>
      </c>
      <c r="D189" s="2" t="str">
        <f t="shared" si="1"/>
        <v>Error?</v>
      </c>
    </row>
    <row r="190" spans="1:4" x14ac:dyDescent="0.2">
      <c r="A190" s="5">
        <v>129</v>
      </c>
      <c r="B190" s="1832">
        <f>'Assets-Liab 5-6'!G41</f>
        <v>83727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129737</v>
      </c>
      <c r="D273" s="2" t="str">
        <f t="shared" si="3"/>
        <v>Error?</v>
      </c>
    </row>
    <row r="274" spans="1:4" x14ac:dyDescent="0.2">
      <c r="A274" s="5">
        <v>213</v>
      </c>
      <c r="B274" s="1832">
        <f>'Assets-Liab 5-6'!M17</f>
        <v>7502366</v>
      </c>
      <c r="D274" s="2" t="str">
        <f t="shared" si="3"/>
        <v>Error?</v>
      </c>
    </row>
    <row r="275" spans="1:4" x14ac:dyDescent="0.2">
      <c r="A275" s="5">
        <v>214</v>
      </c>
      <c r="B275" s="1832">
        <f>'Assets-Liab 5-6'!M18</f>
        <v>0</v>
      </c>
      <c r="D275" s="2" t="str">
        <f t="shared" si="3"/>
        <v>Error?</v>
      </c>
    </row>
    <row r="276" spans="1:4" x14ac:dyDescent="0.2">
      <c r="A276" s="5">
        <v>215</v>
      </c>
      <c r="B276" s="1832">
        <f>'Assets-Liab 5-6'!M19</f>
        <v>238340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8062740</v>
      </c>
      <c r="C279" s="2" t="s">
        <v>569</v>
      </c>
      <c r="D279" s="2" t="str">
        <f t="shared" si="3"/>
        <v>Error?</v>
      </c>
    </row>
    <row r="280" spans="1:4" x14ac:dyDescent="0.2">
      <c r="A280" s="5">
        <v>219</v>
      </c>
      <c r="B280" s="1832">
        <f>'Assets-Liab 5-6'!M40</f>
        <v>8062740</v>
      </c>
      <c r="D280" s="2" t="str">
        <f t="shared" si="3"/>
        <v>Error?</v>
      </c>
    </row>
    <row r="281" spans="1:4" x14ac:dyDescent="0.2">
      <c r="A281" s="5">
        <v>220</v>
      </c>
      <c r="B281" s="1832">
        <f>'Assets-Liab 5-6'!M41</f>
        <v>8062740</v>
      </c>
      <c r="C281" s="2" t="s">
        <v>569</v>
      </c>
      <c r="D281" s="2" t="str">
        <f t="shared" si="3"/>
        <v>Error?</v>
      </c>
    </row>
    <row r="282" spans="1:4" x14ac:dyDescent="0.2">
      <c r="A282" s="5">
        <v>221</v>
      </c>
      <c r="B282" s="1832">
        <f>'Assets-Liab 5-6'!N21</f>
        <v>310420</v>
      </c>
      <c r="D282" s="2" t="str">
        <f t="shared" si="3"/>
        <v>Error?</v>
      </c>
    </row>
    <row r="283" spans="1:4" x14ac:dyDescent="0.2">
      <c r="A283" s="5">
        <v>222</v>
      </c>
      <c r="B283" s="1832">
        <f>'Assets-Liab 5-6'!N22</f>
        <v>1024580</v>
      </c>
      <c r="D283" s="2" t="str">
        <f t="shared" si="3"/>
        <v>Error?</v>
      </c>
    </row>
    <row r="284" spans="1:4" x14ac:dyDescent="0.2">
      <c r="A284" s="5">
        <v>223</v>
      </c>
      <c r="B284" s="1832">
        <f>'Assets-Liab 5-6'!N23</f>
        <v>1335000</v>
      </c>
      <c r="C284" s="2" t="s">
        <v>569</v>
      </c>
      <c r="D284" s="2" t="str">
        <f t="shared" si="3"/>
        <v>Error?</v>
      </c>
    </row>
    <row r="285" spans="1:4" x14ac:dyDescent="0.2">
      <c r="A285" s="5">
        <v>224</v>
      </c>
      <c r="B285" s="1832">
        <f>'Assets-Liab 5-6'!N36</f>
        <v>1335000</v>
      </c>
      <c r="D285" s="2" t="str">
        <f t="shared" si="3"/>
        <v>Error?</v>
      </c>
    </row>
    <row r="286" spans="1:4" x14ac:dyDescent="0.2">
      <c r="A286" s="10">
        <v>225</v>
      </c>
      <c r="B286" s="1832"/>
      <c r="D286" s="2" t="str">
        <f t="shared" si="3"/>
        <v>OK</v>
      </c>
    </row>
    <row r="287" spans="1:4" x14ac:dyDescent="0.2">
      <c r="A287" s="5">
        <v>226</v>
      </c>
      <c r="B287" s="1832">
        <f>'Assets-Liab 5-6'!N37</f>
        <v>1335000</v>
      </c>
      <c r="C287" s="2" t="s">
        <v>569</v>
      </c>
      <c r="D287" s="2" t="str">
        <f t="shared" si="3"/>
        <v>Error?</v>
      </c>
    </row>
    <row r="288" spans="1:4" x14ac:dyDescent="0.2">
      <c r="A288" s="5">
        <v>227</v>
      </c>
      <c r="B288" s="1832">
        <f>'Assets-Liab 5-6'!N41</f>
        <v>1335000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1280320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1317053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94510</v>
      </c>
      <c r="D722" s="2" t="str">
        <f t="shared" si="10"/>
        <v>Error?</v>
      </c>
    </row>
    <row r="723" spans="1:4" x14ac:dyDescent="0.2">
      <c r="A723" s="5">
        <v>662</v>
      </c>
      <c r="B723" s="1832">
        <f>'Expenditures 15-22'!C38</f>
        <v>21818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6458</v>
      </c>
      <c r="D726" s="2" t="str">
        <f t="shared" si="10"/>
        <v>Error?</v>
      </c>
    </row>
    <row r="727" spans="1:4" x14ac:dyDescent="0.2">
      <c r="A727" s="5">
        <v>666</v>
      </c>
      <c r="B727" s="1832">
        <f>'Expenditures 15-22'!C42</f>
        <v>122786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52229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52229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176041</v>
      </c>
      <c r="D733" s="2" t="str">
        <f t="shared" si="10"/>
        <v>Error?</v>
      </c>
    </row>
    <row r="734" spans="1:4" x14ac:dyDescent="0.2">
      <c r="A734" s="5">
        <v>673</v>
      </c>
      <c r="B734" s="1832">
        <f>'Expenditures 15-22'!C53</f>
        <v>176041</v>
      </c>
      <c r="C734" s="2" t="s">
        <v>569</v>
      </c>
      <c r="D734" s="2" t="str">
        <f t="shared" si="10"/>
        <v>Error?</v>
      </c>
    </row>
    <row r="735" spans="1:4" x14ac:dyDescent="0.2">
      <c r="A735" s="5">
        <v>674</v>
      </c>
      <c r="B735" s="1832">
        <f>'Expenditures 15-22'!C55</f>
        <v>117386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117386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42490</v>
      </c>
      <c r="D739" s="2" t="str">
        <f t="shared" si="10"/>
        <v>Error?</v>
      </c>
    </row>
    <row r="740" spans="1:4" x14ac:dyDescent="0.2">
      <c r="A740" s="5">
        <v>679</v>
      </c>
      <c r="B740" s="1832">
        <f>'Expenditures 15-22'!C61</f>
        <v>179340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56819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278649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747091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2064144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297560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312643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15505</v>
      </c>
      <c r="D780" s="2" t="str">
        <f t="shared" si="11"/>
        <v>Error?</v>
      </c>
    </row>
    <row r="781" spans="1:4" x14ac:dyDescent="0.2">
      <c r="A781" s="5">
        <v>720</v>
      </c>
      <c r="B781" s="1832">
        <f>'Expenditures 15-22'!E38</f>
        <v>1354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34</v>
      </c>
      <c r="D784" s="2" t="str">
        <f t="shared" si="11"/>
        <v>Error?</v>
      </c>
    </row>
    <row r="785" spans="1:4" x14ac:dyDescent="0.2">
      <c r="A785" s="5">
        <v>724</v>
      </c>
      <c r="B785" s="1832">
        <f>'Expenditures 15-22'!D42</f>
        <v>17265</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13377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13377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64896</v>
      </c>
      <c r="D791" s="2" t="str">
        <f t="shared" si="11"/>
        <v>Error?</v>
      </c>
    </row>
    <row r="792" spans="1:4" x14ac:dyDescent="0.2">
      <c r="A792" s="5">
        <v>731</v>
      </c>
      <c r="B792" s="1832">
        <f>'Expenditures 15-22'!D53</f>
        <v>64896</v>
      </c>
      <c r="C792" s="2" t="s">
        <v>569</v>
      </c>
      <c r="D792" s="2" t="str">
        <f t="shared" si="11"/>
        <v>Error?</v>
      </c>
    </row>
    <row r="793" spans="1:4" x14ac:dyDescent="0.2">
      <c r="A793" s="5">
        <v>732</v>
      </c>
      <c r="B793" s="1832">
        <f>'Expenditures 15-22'!D55</f>
        <v>30944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30944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7735</v>
      </c>
      <c r="D797" s="2" t="str">
        <f t="shared" si="11"/>
        <v>Error?</v>
      </c>
    </row>
    <row r="798" spans="1:4" x14ac:dyDescent="0.2">
      <c r="A798" s="5">
        <v>737</v>
      </c>
      <c r="B798" s="1832">
        <f>'Expenditures 15-22'!D61</f>
        <v>29166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36987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163469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476112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13673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14344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28017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15-22'!F38</f>
        <v>430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1354</v>
      </c>
      <c r="C843" s="2" t="s">
        <v>569</v>
      </c>
      <c r="D843" s="2" t="str">
        <f t="shared" si="12"/>
        <v>Error?</v>
      </c>
    </row>
    <row r="844" spans="1:4" x14ac:dyDescent="0.2">
      <c r="A844" s="5">
        <v>783</v>
      </c>
      <c r="B844" s="1832">
        <f>'Expenditures 15-22'!E44</f>
        <v>12552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2086</v>
      </c>
      <c r="D846" s="2" t="str">
        <f t="shared" si="12"/>
        <v>Error?</v>
      </c>
    </row>
    <row r="847" spans="1:4" x14ac:dyDescent="0.2">
      <c r="A847" s="5">
        <v>786</v>
      </c>
      <c r="B847" s="1832">
        <f>'Expenditures 15-22'!E47</f>
        <v>14638</v>
      </c>
      <c r="C847" s="2" t="s">
        <v>569</v>
      </c>
      <c r="D847" s="2" t="str">
        <f t="shared" si="12"/>
        <v>Error?</v>
      </c>
    </row>
    <row r="848" spans="1:4" x14ac:dyDescent="0.2">
      <c r="A848" s="5">
        <v>787</v>
      </c>
      <c r="B848" s="1832">
        <f>'Expenditures 15-22'!E49</f>
        <v>19422</v>
      </c>
      <c r="D848" s="2" t="str">
        <f t="shared" si="12"/>
        <v>Error?</v>
      </c>
    </row>
    <row r="849" spans="1:4" x14ac:dyDescent="0.2">
      <c r="A849" s="5">
        <v>788</v>
      </c>
      <c r="B849" s="1832">
        <f>'Expenditures 15-22'!E50</f>
        <v>8002</v>
      </c>
      <c r="D849" s="2" t="str">
        <f t="shared" si="12"/>
        <v>Error?</v>
      </c>
    </row>
    <row r="850" spans="1:4" x14ac:dyDescent="0.2">
      <c r="A850" s="5">
        <v>789</v>
      </c>
      <c r="B850" s="1832">
        <f>'Expenditures 15-22'!E53</f>
        <v>27424</v>
      </c>
      <c r="C850" s="2" t="s">
        <v>569</v>
      </c>
      <c r="D850" s="2" t="str">
        <f t="shared" si="12"/>
        <v>Error?</v>
      </c>
    </row>
    <row r="851" spans="1:4" x14ac:dyDescent="0.2">
      <c r="A851" s="5">
        <v>790</v>
      </c>
      <c r="B851" s="1832">
        <f>'Expenditures 15-22'!F55</f>
        <v>3589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29874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387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30261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74429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144786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102158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15823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118299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t="e">
        <f>'Expenditures 15-22'!#REF!</f>
        <v>#REF!</v>
      </c>
      <c r="D897" s="2" t="e">
        <f t="shared" si="13"/>
        <v>#REF!</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430</v>
      </c>
      <c r="C901" s="2" t="s">
        <v>569</v>
      </c>
      <c r="D901" s="2" t="str">
        <f t="shared" si="13"/>
        <v>Error?</v>
      </c>
    </row>
    <row r="902" spans="1:4" x14ac:dyDescent="0.2">
      <c r="A902" s="5">
        <v>841</v>
      </c>
      <c r="B902" s="1832">
        <f>'Expenditures 15-22'!F44</f>
        <v>17557</v>
      </c>
      <c r="D902" s="2" t="str">
        <f t="shared" si="13"/>
        <v>Error?</v>
      </c>
    </row>
    <row r="903" spans="1:4" x14ac:dyDescent="0.2">
      <c r="A903" s="5">
        <v>842</v>
      </c>
      <c r="B903" s="1832">
        <f>'Expenditures 15-22'!F45</f>
        <v>15289</v>
      </c>
      <c r="D903" s="2" t="str">
        <f t="shared" si="13"/>
        <v>Error?</v>
      </c>
    </row>
    <row r="904" spans="1:4" x14ac:dyDescent="0.2">
      <c r="A904" s="5">
        <v>843</v>
      </c>
      <c r="B904" s="1832">
        <f>'Expenditures 15-22'!F46</f>
        <v>1088</v>
      </c>
      <c r="D904" s="2" t="str">
        <f t="shared" si="13"/>
        <v>Error?</v>
      </c>
    </row>
    <row r="905" spans="1:4" x14ac:dyDescent="0.2">
      <c r="A905" s="5">
        <v>844</v>
      </c>
      <c r="B905" s="1832">
        <f>'Expenditures 15-22'!F47</f>
        <v>33934</v>
      </c>
      <c r="C905" s="2" t="s">
        <v>569</v>
      </c>
      <c r="D905" s="2" t="str">
        <f t="shared" si="13"/>
        <v>Error?</v>
      </c>
    </row>
    <row r="906" spans="1:4" x14ac:dyDescent="0.2">
      <c r="A906" s="5">
        <v>845</v>
      </c>
      <c r="B906" s="1832">
        <f>'Expenditures 15-22'!F49</f>
        <v>5525</v>
      </c>
      <c r="D906" s="2" t="str">
        <f t="shared" si="13"/>
        <v>Error?</v>
      </c>
    </row>
    <row r="907" spans="1:4" x14ac:dyDescent="0.2">
      <c r="A907" s="5">
        <v>846</v>
      </c>
      <c r="B907" s="1832">
        <f>'Expenditures 15-22'!F50</f>
        <v>3877</v>
      </c>
      <c r="D907" s="2" t="str">
        <f t="shared" si="13"/>
        <v>Error?</v>
      </c>
    </row>
    <row r="908" spans="1:4" x14ac:dyDescent="0.2">
      <c r="A908" s="5">
        <v>847</v>
      </c>
      <c r="B908" s="1832">
        <f>'Expenditures 15-22'!F53</f>
        <v>9402</v>
      </c>
      <c r="C908" s="2" t="s">
        <v>569</v>
      </c>
      <c r="D908" s="2" t="str">
        <f t="shared" si="13"/>
        <v>Error?</v>
      </c>
    </row>
    <row r="909" spans="1:4" x14ac:dyDescent="0.2">
      <c r="A909" s="5">
        <v>848</v>
      </c>
      <c r="B909" s="1832" t="e">
        <f>'Expenditures 15-22'!#REF!</f>
        <v>#REF!</v>
      </c>
      <c r="D909" s="2" t="e">
        <f t="shared" si="13"/>
        <v>#REF!</v>
      </c>
    </row>
    <row r="910" spans="1:4" x14ac:dyDescent="0.2">
      <c r="A910" s="5">
        <v>849</v>
      </c>
      <c r="B910" s="1832">
        <f>'Expenditures 15-22'!F56</f>
        <v>0</v>
      </c>
      <c r="D910" s="2" t="str">
        <f t="shared" si="13"/>
        <v>Error?</v>
      </c>
    </row>
    <row r="911" spans="1:4" x14ac:dyDescent="0.2">
      <c r="A911" s="5">
        <v>850</v>
      </c>
      <c r="B911" s="1832">
        <f>'Expenditures 15-22'!F57</f>
        <v>3589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3579</v>
      </c>
      <c r="D913" s="2" t="str">
        <f t="shared" si="13"/>
        <v>Error?</v>
      </c>
    </row>
    <row r="914" spans="1:4" x14ac:dyDescent="0.2">
      <c r="A914" s="5">
        <v>853</v>
      </c>
      <c r="B914" s="1832">
        <f>'Expenditures 15-22'!F61</f>
        <v>325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122778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126682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174037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292336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23624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23624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935</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935</v>
      </c>
      <c r="C959" s="2" t="s">
        <v>569</v>
      </c>
      <c r="D959" s="2" t="str">
        <f t="shared" ref="D959:D1022" si="14">IF(ISBLANK(B959),"OK",IF(A959-B959=0,"OK","Error?"))</f>
        <v>Error?</v>
      </c>
    </row>
    <row r="960" spans="1:4" x14ac:dyDescent="0.2">
      <c r="A960" s="5">
        <v>899</v>
      </c>
      <c r="B960" s="1832">
        <f>'Expenditures 15-22'!G44</f>
        <v>19968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19968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20903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44527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5503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1830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7333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3534</v>
      </c>
      <c r="D1022" s="2" t="str">
        <f t="shared" si="14"/>
        <v>Error?</v>
      </c>
    </row>
    <row r="1023" spans="1:4" x14ac:dyDescent="0.2">
      <c r="A1023" s="5">
        <v>962</v>
      </c>
      <c r="B1023" s="1832">
        <f>'Expenditures 15-22'!H50</f>
        <v>6431</v>
      </c>
      <c r="D1023" s="2" t="str">
        <f t="shared" ref="D1023:D1086" si="15">IF(ISBLANK(B1023),"OK",IF(A1023-B1023=0,"OK","Error?"))</f>
        <v>Error?</v>
      </c>
    </row>
    <row r="1024" spans="1:4" x14ac:dyDescent="0.2">
      <c r="A1024" s="5">
        <v>963</v>
      </c>
      <c r="B1024" s="1832">
        <f>'Expenditures 15-22'!H53</f>
        <v>9965</v>
      </c>
      <c r="C1024" s="2" t="s">
        <v>569</v>
      </c>
      <c r="D1024" s="2" t="str">
        <f t="shared" si="15"/>
        <v>Error?</v>
      </c>
    </row>
    <row r="1025" spans="1:4" x14ac:dyDescent="0.2">
      <c r="A1025" s="5">
        <v>964</v>
      </c>
      <c r="B1025" s="1832">
        <f>'Expenditures 15-22'!H55</f>
        <v>1106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1106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895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268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1163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12234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474675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494242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1722838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31997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1806969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110015</v>
      </c>
      <c r="C1110" s="2" t="s">
        <v>569</v>
      </c>
      <c r="D1110" s="2" t="str">
        <f t="shared" si="16"/>
        <v>Error?</v>
      </c>
    </row>
    <row r="1111" spans="1:4" x14ac:dyDescent="0.2">
      <c r="A1111" s="5">
        <v>1050</v>
      </c>
      <c r="B1111" s="1832">
        <f>'Expenditures 15-22'!K38</f>
        <v>26263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6492</v>
      </c>
      <c r="C1114" s="2" t="s">
        <v>569</v>
      </c>
      <c r="D1114" s="2" t="str">
        <f t="shared" si="16"/>
        <v>Error?</v>
      </c>
    </row>
    <row r="1115" spans="1:4" x14ac:dyDescent="0.2">
      <c r="A1115" s="5">
        <v>1054</v>
      </c>
      <c r="B1115" s="1832">
        <f>'Expenditures 15-22'!K42</f>
        <v>142770</v>
      </c>
      <c r="C1115" s="2" t="s">
        <v>569</v>
      </c>
      <c r="D1115" s="2" t="str">
        <f t="shared" si="16"/>
        <v>Error?</v>
      </c>
    </row>
    <row r="1116" spans="1:4" x14ac:dyDescent="0.2">
      <c r="A1116" s="5">
        <v>1055</v>
      </c>
      <c r="B1116" s="1832">
        <f>'Expenditures 15-22'!K44</f>
        <v>50077</v>
      </c>
      <c r="C1116" s="2" t="s">
        <v>569</v>
      </c>
      <c r="D1116" s="2" t="str">
        <f t="shared" si="16"/>
        <v>Error?</v>
      </c>
    </row>
    <row r="1117" spans="1:4" x14ac:dyDescent="0.2">
      <c r="A1117" s="5">
        <v>1056</v>
      </c>
      <c r="B1117" s="1832">
        <f>'Expenditures 15-22'!K45</f>
        <v>80895</v>
      </c>
      <c r="C1117" s="2" t="s">
        <v>569</v>
      </c>
      <c r="D1117" s="2" t="str">
        <f t="shared" si="16"/>
        <v>Error?</v>
      </c>
    </row>
    <row r="1118" spans="1:4" x14ac:dyDescent="0.2">
      <c r="A1118" s="5">
        <v>1057</v>
      </c>
      <c r="B1118" s="1832">
        <f>'Expenditures 15-22'!K46</f>
        <v>3174</v>
      </c>
      <c r="C1118" s="2" t="s">
        <v>569</v>
      </c>
      <c r="D1118" s="2" t="str">
        <f t="shared" si="16"/>
        <v>Error?</v>
      </c>
    </row>
    <row r="1119" spans="1:4" x14ac:dyDescent="0.2">
      <c r="A1119" s="5">
        <v>1058</v>
      </c>
      <c r="B1119" s="1832">
        <f>'Expenditures 15-22'!K47</f>
        <v>134146</v>
      </c>
      <c r="C1119" s="2" t="s">
        <v>569</v>
      </c>
      <c r="D1119" s="2" t="str">
        <f t="shared" si="16"/>
        <v>Error?</v>
      </c>
    </row>
    <row r="1120" spans="1:4" x14ac:dyDescent="0.2">
      <c r="A1120" s="5">
        <v>1059</v>
      </c>
      <c r="B1120" s="1832">
        <f>'Expenditures 15-22'!K49</f>
        <v>28481</v>
      </c>
      <c r="C1120" s="2" t="s">
        <v>569</v>
      </c>
      <c r="D1120" s="2" t="str">
        <f t="shared" si="16"/>
        <v>Error?</v>
      </c>
    </row>
    <row r="1121" spans="1:4" x14ac:dyDescent="0.2">
      <c r="A1121" s="5">
        <v>1060</v>
      </c>
      <c r="B1121" s="1832">
        <f>'Expenditures 15-22'!K50</f>
        <v>259247</v>
      </c>
      <c r="C1121" s="2" t="s">
        <v>569</v>
      </c>
      <c r="D1121" s="2" t="str">
        <f t="shared" si="16"/>
        <v>Error?</v>
      </c>
    </row>
    <row r="1122" spans="1:4" x14ac:dyDescent="0.2">
      <c r="A1122" s="5">
        <v>1061</v>
      </c>
      <c r="B1122" s="1832">
        <f>'Expenditures 15-22'!K53</f>
        <v>287728</v>
      </c>
      <c r="C1122" s="2" t="s">
        <v>569</v>
      </c>
      <c r="D1122" s="2" t="str">
        <f t="shared" si="16"/>
        <v>Error?</v>
      </c>
    </row>
    <row r="1123" spans="1:4" x14ac:dyDescent="0.2">
      <c r="A1123" s="5">
        <v>1062</v>
      </c>
      <c r="B1123" s="1832">
        <f>'Expenditures 15-22'!K55</f>
        <v>153777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153777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54699</v>
      </c>
      <c r="C1127" s="2" t="s">
        <v>569</v>
      </c>
      <c r="D1127" s="2" t="str">
        <f t="shared" si="16"/>
        <v>Error?</v>
      </c>
    </row>
    <row r="1128" spans="1:4" x14ac:dyDescent="0.2">
      <c r="A1128" s="5">
        <v>1067</v>
      </c>
      <c r="B1128" s="1832">
        <f>'Expenditures 15-22'!K61</f>
        <v>238705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180338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473742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1192163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517015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3516147</v>
      </c>
      <c r="C1152" s="2" t="s">
        <v>569</v>
      </c>
      <c r="D1152" s="2" t="str">
        <f t="shared" si="17"/>
        <v>Error?</v>
      </c>
    </row>
    <row r="1153" spans="1:4" x14ac:dyDescent="0.2">
      <c r="A1153" s="5">
        <v>1092</v>
      </c>
      <c r="B1153" s="1832">
        <f>'Expenditures 15-22'!K115</f>
        <v>357711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15-22'!E124</f>
        <v>30948</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15-22'!F124</f>
        <v>176880</v>
      </c>
      <c r="D1237" s="2" t="str">
        <f t="shared" si="18"/>
        <v>Error?</v>
      </c>
    </row>
    <row r="1238" spans="1:4" x14ac:dyDescent="0.2">
      <c r="A1238" s="10">
        <v>1177</v>
      </c>
      <c r="B1238" s="1832"/>
      <c r="D1238" s="2" t="str">
        <f t="shared" si="18"/>
        <v>OK</v>
      </c>
    </row>
    <row r="1239" spans="1:4" x14ac:dyDescent="0.2">
      <c r="A1239" s="5">
        <v>1178</v>
      </c>
      <c r="B1239" s="1832">
        <f>'Expenditures 15-22'!E127</f>
        <v>30948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30948</v>
      </c>
      <c r="C1241" s="2" t="s">
        <v>569</v>
      </c>
      <c r="D1241" s="2" t="str">
        <f t="shared" si="18"/>
        <v>Error?</v>
      </c>
    </row>
    <row r="1242" spans="1:4" x14ac:dyDescent="0.2">
      <c r="A1242" s="5">
        <v>1181</v>
      </c>
      <c r="B1242" s="1832">
        <f>'Expenditures 15-22'!E151</f>
        <v>30948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t="e">
        <f>'Expenditures 15-22'!#REF!</f>
        <v>#REF!</v>
      </c>
      <c r="D1245" s="2" t="e">
        <f t="shared" si="18"/>
        <v>#REF!</v>
      </c>
    </row>
    <row r="1246" spans="1:4" x14ac:dyDescent="0.2">
      <c r="A1246" s="10">
        <v>1185</v>
      </c>
      <c r="B1246" s="1832"/>
      <c r="D1246" s="2" t="str">
        <f t="shared" si="18"/>
        <v>OK</v>
      </c>
    </row>
    <row r="1247" spans="1:4" x14ac:dyDescent="0.2">
      <c r="A1247" s="5">
        <v>1186</v>
      </c>
      <c r="B1247" s="1832">
        <f>'Expenditures 15-22'!F127</f>
        <v>176880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176880</v>
      </c>
      <c r="C1249" s="2" t="s">
        <v>569</v>
      </c>
      <c r="D1249" s="2" t="str">
        <f t="shared" si="18"/>
        <v>Error?</v>
      </c>
    </row>
    <row r="1250" spans="1:4" x14ac:dyDescent="0.2">
      <c r="A1250" s="5">
        <v>1189</v>
      </c>
      <c r="B1250" s="1832">
        <f>'Expenditures 15-22'!F151</f>
        <v>176880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11790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11790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11790</v>
      </c>
      <c r="C1258" s="2" t="s">
        <v>569</v>
      </c>
      <c r="D1258" s="2" t="str">
        <f t="shared" si="18"/>
        <v>Error?</v>
      </c>
    </row>
    <row r="1259" spans="1:4" x14ac:dyDescent="0.2">
      <c r="A1259" s="5">
        <v>1198</v>
      </c>
      <c r="B1259" s="1832">
        <f>'Expenditures 15-22'!G151</f>
        <v>11790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55</v>
      </c>
      <c r="D1262" s="2" t="str">
        <f t="shared" si="18"/>
        <v>Error?</v>
      </c>
    </row>
    <row r="1263" spans="1:4" x14ac:dyDescent="0.2">
      <c r="A1263" s="10">
        <v>1202</v>
      </c>
      <c r="B1263" s="1832"/>
      <c r="D1263" s="2" t="str">
        <f t="shared" si="18"/>
        <v>OK</v>
      </c>
    </row>
    <row r="1264" spans="1:4" x14ac:dyDescent="0.2">
      <c r="A1264" s="5">
        <v>1203</v>
      </c>
      <c r="B1264" s="1832">
        <f>'Expenditures 15-22'!H127</f>
        <v>55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55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219673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219673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219673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219673</v>
      </c>
      <c r="C1288" s="2" t="s">
        <v>569</v>
      </c>
      <c r="D1288" s="2" t="str">
        <f t="shared" si="19"/>
        <v>Error?</v>
      </c>
    </row>
    <row r="1289" spans="1:4" x14ac:dyDescent="0.2">
      <c r="A1289" s="5">
        <v>1228</v>
      </c>
      <c r="B1289" s="1832">
        <f>'Expenditures 15-22'!K152</f>
        <v>-14787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42701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275000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317701</v>
      </c>
      <c r="C1317" s="2" t="s">
        <v>569</v>
      </c>
      <c r="D1317" s="2" t="str">
        <f t="shared" si="19"/>
        <v>Error?</v>
      </c>
    </row>
    <row r="1318" spans="1:4" x14ac:dyDescent="0.2">
      <c r="A1318" s="5">
        <v>1257</v>
      </c>
      <c r="B1318" s="1832">
        <f>'Expenditures 15-22'!H174</f>
        <v>317701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42701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275000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317701</v>
      </c>
      <c r="C1331" s="2" t="s">
        <v>569</v>
      </c>
      <c r="D1331" s="2" t="str">
        <f t="shared" si="19"/>
        <v>Error?</v>
      </c>
    </row>
    <row r="1332" spans="1:4" x14ac:dyDescent="0.2">
      <c r="A1332" s="5">
        <v>1271</v>
      </c>
      <c r="B1332" s="1832">
        <f>'Expenditures 15-22'!K174</f>
        <v>317701</v>
      </c>
      <c r="C1332" s="2" t="s">
        <v>569</v>
      </c>
      <c r="D1332" s="2" t="str">
        <f t="shared" si="19"/>
        <v>Error?</v>
      </c>
    </row>
    <row r="1333" spans="1:4" x14ac:dyDescent="0.2">
      <c r="A1333" s="5">
        <v>1272</v>
      </c>
      <c r="B1333" s="1832">
        <f>'Expenditures 15-22'!K175</f>
        <v>-52856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113809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113809</v>
      </c>
      <c r="C1339" s="2" t="s">
        <v>569</v>
      </c>
      <c r="D1339" s="2" t="str">
        <f t="shared" si="19"/>
        <v>Error?</v>
      </c>
    </row>
    <row r="1340" spans="1:4" x14ac:dyDescent="0.2">
      <c r="A1340" s="5">
        <v>1279</v>
      </c>
      <c r="B1340" s="1832">
        <f>'Expenditures 15-22'!C210</f>
        <v>113809</v>
      </c>
      <c r="C1340" s="2" t="s">
        <v>569</v>
      </c>
      <c r="D1340" s="2" t="str">
        <f t="shared" si="19"/>
        <v>Error?</v>
      </c>
    </row>
    <row r="1341" spans="1:4" x14ac:dyDescent="0.2">
      <c r="A1341" s="5">
        <v>1280</v>
      </c>
      <c r="B1341" s="1832">
        <f>'Expenditures 15-22'!D182</f>
        <v>32832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32832</v>
      </c>
      <c r="C1345" s="2" t="s">
        <v>569</v>
      </c>
      <c r="D1345" s="2" t="str">
        <f t="shared" si="20"/>
        <v>Error?</v>
      </c>
    </row>
    <row r="1346" spans="1:4" x14ac:dyDescent="0.2">
      <c r="A1346" s="5">
        <v>1285</v>
      </c>
      <c r="B1346" s="1832">
        <f>'Expenditures 15-22'!D210</f>
        <v>32832</v>
      </c>
      <c r="C1346" s="2" t="s">
        <v>569</v>
      </c>
      <c r="D1346" s="2" t="str">
        <f t="shared" si="20"/>
        <v>Error?</v>
      </c>
    </row>
    <row r="1347" spans="1:4" x14ac:dyDescent="0.2">
      <c r="A1347" s="5">
        <v>1286</v>
      </c>
      <c r="B1347" s="1832">
        <f>'Expenditures 15-22'!E182</f>
        <v>93205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93205</v>
      </c>
      <c r="C1351" s="2" t="s">
        <v>569</v>
      </c>
      <c r="D1351" s="2" t="str">
        <f t="shared" si="20"/>
        <v>Error?</v>
      </c>
    </row>
    <row r="1352" spans="1:4" x14ac:dyDescent="0.2">
      <c r="A1352" s="5">
        <v>1291</v>
      </c>
      <c r="B1352" s="1832">
        <f>'Expenditures 15-22'!E196</f>
        <v>25595</v>
      </c>
      <c r="C1352" s="2" t="s">
        <v>569</v>
      </c>
      <c r="D1352" s="2" t="str">
        <f t="shared" si="20"/>
        <v>Error?</v>
      </c>
    </row>
    <row r="1353" spans="1:4" x14ac:dyDescent="0.2">
      <c r="A1353" s="5">
        <v>1292</v>
      </c>
      <c r="B1353" s="1832">
        <f>'Expenditures 15-22'!E210</f>
        <v>118800</v>
      </c>
      <c r="C1353" s="2" t="s">
        <v>569</v>
      </c>
      <c r="D1353" s="2" t="str">
        <f t="shared" si="20"/>
        <v>Error?</v>
      </c>
    </row>
    <row r="1354" spans="1:4" x14ac:dyDescent="0.2">
      <c r="A1354" s="5">
        <v>1293</v>
      </c>
      <c r="B1354" s="1832">
        <f>'Expenditures 15-22'!F182</f>
        <v>28205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28205</v>
      </c>
      <c r="C1358" s="2" t="s">
        <v>569</v>
      </c>
      <c r="D1358" s="2" t="str">
        <f t="shared" si="20"/>
        <v>Error?</v>
      </c>
    </row>
    <row r="1359" spans="1:4" x14ac:dyDescent="0.2">
      <c r="A1359" s="5">
        <v>1298</v>
      </c>
      <c r="B1359" s="1832">
        <f>'Expenditures 15-22'!F210</f>
        <v>28205</v>
      </c>
      <c r="C1359" s="2" t="s">
        <v>569</v>
      </c>
      <c r="D1359" s="2" t="str">
        <f t="shared" si="20"/>
        <v>Error?</v>
      </c>
    </row>
    <row r="1360" spans="1:4" x14ac:dyDescent="0.2">
      <c r="A1360" s="5">
        <v>1299</v>
      </c>
      <c r="B1360" s="1832">
        <f>'Expenditures 15-22'!G182</f>
        <v>40210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40210</v>
      </c>
      <c r="C1364" s="2" t="s">
        <v>569</v>
      </c>
      <c r="D1364" s="2" t="str">
        <f t="shared" si="20"/>
        <v>Error?</v>
      </c>
    </row>
    <row r="1365" spans="1:4" x14ac:dyDescent="0.2">
      <c r="A1365" s="5">
        <v>1304</v>
      </c>
      <c r="B1365" s="1832">
        <f>'Expenditures 15-22'!G210</f>
        <v>40210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308261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308261</v>
      </c>
      <c r="C1381" s="2" t="s">
        <v>569</v>
      </c>
      <c r="D1381" s="2" t="str">
        <f t="shared" si="20"/>
        <v>Error?</v>
      </c>
    </row>
    <row r="1382" spans="1:4" x14ac:dyDescent="0.2">
      <c r="A1382" s="5">
        <v>1321</v>
      </c>
      <c r="B1382" s="1832">
        <f>'Expenditures 15-22'!K196</f>
        <v>25595</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333856</v>
      </c>
      <c r="C1388" s="2" t="s">
        <v>569</v>
      </c>
      <c r="D1388" s="2" t="str">
        <f t="shared" si="20"/>
        <v>Error?</v>
      </c>
    </row>
    <row r="1389" spans="1:4" x14ac:dyDescent="0.2">
      <c r="A1389" s="5">
        <v>1328</v>
      </c>
      <c r="B1389" s="1832">
        <f>'Expenditures 15-22'!K211</f>
        <v>13334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27560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1268</v>
      </c>
      <c r="D1412" s="2" t="str">
        <f t="shared" si="21"/>
        <v>Error?</v>
      </c>
    </row>
    <row r="1413" spans="1:4" x14ac:dyDescent="0.2">
      <c r="A1413" s="5">
        <v>1352</v>
      </c>
      <c r="B1413" s="1832">
        <f>'Expenditures 15-22'!D234</f>
        <v>3910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494</v>
      </c>
      <c r="D1416" s="2" t="str">
        <f t="shared" si="21"/>
        <v>Error?</v>
      </c>
    </row>
    <row r="1417" spans="1:4" x14ac:dyDescent="0.2">
      <c r="A1417" s="5">
        <v>1356</v>
      </c>
      <c r="B1417" s="1832">
        <f>'Expenditures 15-22'!D238</f>
        <v>5672</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689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689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7470</v>
      </c>
      <c r="D1423" s="2" t="str">
        <f t="shared" si="21"/>
        <v>Error?</v>
      </c>
    </row>
    <row r="1424" spans="1:4" x14ac:dyDescent="0.2">
      <c r="A1424" s="5">
        <v>1363</v>
      </c>
      <c r="B1424" s="1832">
        <f>'Expenditures 15-22'!D257</f>
        <v>7470</v>
      </c>
      <c r="C1424" s="2" t="s">
        <v>569</v>
      </c>
      <c r="D1424" s="2" t="str">
        <f t="shared" si="21"/>
        <v>Error?</v>
      </c>
    </row>
    <row r="1425" spans="1:4" x14ac:dyDescent="0.2">
      <c r="A1425" s="5">
        <v>1364</v>
      </c>
      <c r="B1425" s="1832">
        <f>'Expenditures 15-22'!D259</f>
        <v>6601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6601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7607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31550</v>
      </c>
      <c r="D1431" s="2" t="str">
        <f t="shared" si="21"/>
        <v>Error?</v>
      </c>
    </row>
    <row r="1432" spans="1:4" x14ac:dyDescent="0.2">
      <c r="A1432" s="5">
        <v>1371</v>
      </c>
      <c r="B1432" s="1832">
        <f>'Expenditures 15-22'!D267</f>
        <v>13397</v>
      </c>
      <c r="D1432" s="2" t="str">
        <f t="shared" si="21"/>
        <v>Error?</v>
      </c>
    </row>
    <row r="1433" spans="1:4" x14ac:dyDescent="0.2">
      <c r="A1433" s="5">
        <v>1372</v>
      </c>
      <c r="B1433" s="1832">
        <f>'Expenditures 15-22'!D268</f>
        <v>10227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62781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83213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110773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27560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1268</v>
      </c>
      <c r="C1476" s="2" t="s">
        <v>569</v>
      </c>
      <c r="D1476" s="2" t="str">
        <f t="shared" si="22"/>
        <v>Error?</v>
      </c>
    </row>
    <row r="1477" spans="1:4" x14ac:dyDescent="0.2">
      <c r="A1477" s="5">
        <v>1416</v>
      </c>
      <c r="B1477" s="1832">
        <f>'Expenditures 15-22'!K234</f>
        <v>3910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494</v>
      </c>
      <c r="C1480" s="2" t="s">
        <v>569</v>
      </c>
      <c r="D1480" s="2" t="str">
        <f t="shared" si="22"/>
        <v>Error?</v>
      </c>
    </row>
    <row r="1481" spans="1:4" x14ac:dyDescent="0.2">
      <c r="A1481" s="5">
        <v>1420</v>
      </c>
      <c r="B1481" s="1832">
        <f>'Expenditures 15-22'!K238</f>
        <v>5672</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689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689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7470</v>
      </c>
      <c r="C1487" s="2" t="s">
        <v>569</v>
      </c>
      <c r="D1487" s="2" t="str">
        <f t="shared" si="22"/>
        <v>Error?</v>
      </c>
    </row>
    <row r="1488" spans="1:4" x14ac:dyDescent="0.2">
      <c r="A1488" s="5">
        <v>1427</v>
      </c>
      <c r="B1488" s="1832">
        <f>'Expenditures 15-22'!K257</f>
        <v>7470</v>
      </c>
      <c r="C1488" s="2" t="s">
        <v>569</v>
      </c>
      <c r="D1488" s="2" t="str">
        <f t="shared" si="22"/>
        <v>Error?</v>
      </c>
    </row>
    <row r="1489" spans="1:4" x14ac:dyDescent="0.2">
      <c r="A1489" s="5">
        <v>1428</v>
      </c>
      <c r="B1489" s="1832">
        <f>'Expenditures 15-22'!K259</f>
        <v>6601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6601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7607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31550</v>
      </c>
      <c r="C1495" s="2" t="s">
        <v>569</v>
      </c>
      <c r="D1495" s="2" t="str">
        <f t="shared" si="22"/>
        <v>Error?</v>
      </c>
    </row>
    <row r="1496" spans="1:4" x14ac:dyDescent="0.2">
      <c r="A1496" s="5">
        <v>1435</v>
      </c>
      <c r="B1496" s="1832">
        <f>'Expenditures 15-22'!K267</f>
        <v>13397</v>
      </c>
      <c r="C1496" s="2" t="s">
        <v>569</v>
      </c>
      <c r="D1496" s="2" t="str">
        <f t="shared" si="22"/>
        <v>Error?</v>
      </c>
    </row>
    <row r="1497" spans="1:4" x14ac:dyDescent="0.2">
      <c r="A1497" s="5">
        <v>1436</v>
      </c>
      <c r="B1497" s="1832">
        <f>'Expenditures 15-22'!K268</f>
        <v>10227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62781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83213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110773</v>
      </c>
      <c r="C1517" s="2" t="s">
        <v>569</v>
      </c>
      <c r="D1517" s="2" t="str">
        <f t="shared" si="22"/>
        <v>Error?</v>
      </c>
    </row>
    <row r="1518" spans="1:4" x14ac:dyDescent="0.2">
      <c r="A1518" s="5">
        <v>1457</v>
      </c>
      <c r="B1518" s="1832">
        <f>'Expenditures 15-22'!K296</f>
        <v>26224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192297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192297</v>
      </c>
      <c r="C1547" s="2" t="s">
        <v>569</v>
      </c>
      <c r="D1547" s="2" t="str">
        <f t="shared" si="23"/>
        <v>Error?</v>
      </c>
    </row>
    <row r="1548" spans="1:4" x14ac:dyDescent="0.2">
      <c r="A1548" s="5">
        <v>1487</v>
      </c>
      <c r="B1548" s="1832">
        <f>'Expenditures 15-22'!G312</f>
        <v>192297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192297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192297</v>
      </c>
      <c r="C1559" s="2" t="s">
        <v>569</v>
      </c>
      <c r="D1559" s="2" t="str">
        <f t="shared" si="23"/>
        <v>Error?</v>
      </c>
    </row>
    <row r="1560" spans="1:4" x14ac:dyDescent="0.2">
      <c r="A1560" s="5">
        <v>1499</v>
      </c>
      <c r="B1560" s="1832">
        <f>'Expenditures 15-22'!K312</f>
        <v>192297</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656672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1014383</v>
      </c>
      <c r="C1630" s="2" t="s">
        <v>569</v>
      </c>
      <c r="D1630" s="2" t="str">
        <f t="shared" si="24"/>
        <v>Error?</v>
      </c>
    </row>
    <row r="1631" spans="1:4" x14ac:dyDescent="0.2">
      <c r="A1631" s="5">
        <v>1570</v>
      </c>
      <c r="B1631" s="1832">
        <f>'Acct Summary 7-8'!D79</f>
        <v>29622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14835</v>
      </c>
      <c r="C1644" s="2" t="s">
        <v>569</v>
      </c>
      <c r="D1644" s="2" t="str">
        <f t="shared" si="24"/>
        <v>Error?</v>
      </c>
    </row>
    <row r="1645" spans="1:4" x14ac:dyDescent="0.2">
      <c r="A1645" s="5">
        <v>1584</v>
      </c>
      <c r="B1645" s="1832">
        <f>'Acct Summary 7-8'!E79</f>
        <v>363276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310420</v>
      </c>
      <c r="C1658" s="2" t="s">
        <v>569</v>
      </c>
      <c r="D1658" s="2" t="str">
        <f t="shared" si="24"/>
        <v>Error?</v>
      </c>
    </row>
    <row r="1659" spans="1:4" x14ac:dyDescent="0.2">
      <c r="A1659" s="5">
        <v>1598</v>
      </c>
      <c r="B1659" s="1832">
        <f>'Acct Summary 7-8'!F79</f>
        <v>81261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94595</v>
      </c>
      <c r="C1672" s="2" t="s">
        <v>569</v>
      </c>
      <c r="D1672" s="2" t="str">
        <f t="shared" si="25"/>
        <v>Error?</v>
      </c>
    </row>
    <row r="1673" spans="1:4" x14ac:dyDescent="0.2">
      <c r="A1673" s="5">
        <v>1612</v>
      </c>
      <c r="B1673" s="1832">
        <f>'Acct Summary 7-8'!G79</f>
        <v>57503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83727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889030</v>
      </c>
      <c r="C1744" s="2" t="s">
        <v>569</v>
      </c>
      <c r="D1744" s="2" t="str">
        <f t="shared" si="26"/>
        <v>Error?</v>
      </c>
    </row>
    <row r="1745" spans="1:5" x14ac:dyDescent="0.2">
      <c r="A1745" s="5">
        <v>1684</v>
      </c>
      <c r="B1745" s="1832">
        <f>'Tax Sched 23'!B5</f>
        <v>171367</v>
      </c>
      <c r="C1745" s="2" t="s">
        <v>569</v>
      </c>
      <c r="D1745" s="2" t="str">
        <f t="shared" si="26"/>
        <v>Error?</v>
      </c>
    </row>
    <row r="1746" spans="1:5" x14ac:dyDescent="0.2">
      <c r="A1746" s="5">
        <v>1685</v>
      </c>
      <c r="B1746" s="1832">
        <f>'Tax Sched 23'!B6</f>
        <v>53998</v>
      </c>
      <c r="C1746" s="2" t="s">
        <v>569</v>
      </c>
      <c r="D1746" s="2" t="str">
        <f t="shared" si="26"/>
        <v>Error?</v>
      </c>
    </row>
    <row r="1747" spans="1:5" x14ac:dyDescent="0.2">
      <c r="A1747" s="5">
        <v>1686</v>
      </c>
      <c r="B1747" s="1832">
        <f>'Tax Sched 23'!B7</f>
        <v>67193</v>
      </c>
      <c r="C1747" s="2" t="s">
        <v>569</v>
      </c>
      <c r="D1747" s="2" t="str">
        <f t="shared" si="26"/>
        <v>Error?</v>
      </c>
    </row>
    <row r="1748" spans="1:5" x14ac:dyDescent="0.2">
      <c r="A1748" s="5">
        <v>1687</v>
      </c>
      <c r="B1748" s="1832">
        <f>'Tax Sched 23'!B8</f>
        <v>50237</v>
      </c>
      <c r="C1748" s="2" t="s">
        <v>569</v>
      </c>
      <c r="D1748" s="2" t="str">
        <f t="shared" si="26"/>
        <v>Error?</v>
      </c>
    </row>
    <row r="1749" spans="1:5" x14ac:dyDescent="0.2">
      <c r="A1749" s="5">
        <v>1688</v>
      </c>
      <c r="B1749" s="1832">
        <f>'Tax Sched 23'!B10</f>
        <v>15311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93798</v>
      </c>
      <c r="C1752" s="2" t="s">
        <v>569</v>
      </c>
      <c r="D1752" s="2" t="str">
        <f t="shared" si="26"/>
        <v>Error?</v>
      </c>
    </row>
    <row r="1753" spans="1:5" x14ac:dyDescent="0.2">
      <c r="A1753" s="5">
        <v>1692</v>
      </c>
      <c r="B1753" s="1832">
        <f>'Tax Sched 23'!B12</f>
        <v>16862</v>
      </c>
      <c r="C1753" s="2" t="s">
        <v>569</v>
      </c>
      <c r="D1753" s="2" t="str">
        <f t="shared" si="26"/>
        <v>Error?</v>
      </c>
    </row>
    <row r="1754" spans="1:5" x14ac:dyDescent="0.2">
      <c r="A1754" s="5">
        <v>1693</v>
      </c>
      <c r="B1754" s="1832">
        <f>'Tax Sched 23'!B14</f>
        <v>13530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1421563</v>
      </c>
      <c r="C1759" s="2" t="s">
        <v>569</v>
      </c>
      <c r="D1759" s="2" t="str">
        <f t="shared" si="26"/>
        <v>Error?</v>
      </c>
    </row>
    <row r="1760" spans="1:5" x14ac:dyDescent="0.2">
      <c r="A1760" s="5">
        <v>1699</v>
      </c>
      <c r="B1760" s="1832">
        <f>'Tax Sched 23'!D4</f>
        <v>889030</v>
      </c>
      <c r="C1760" s="2" t="s">
        <v>569</v>
      </c>
      <c r="D1760" s="2" t="str">
        <f t="shared" si="26"/>
        <v>Error?</v>
      </c>
    </row>
    <row r="1761" spans="1:7" x14ac:dyDescent="0.2">
      <c r="A1761" s="5">
        <v>1700</v>
      </c>
      <c r="B1761" s="1832">
        <f>'Tax Sched 23'!D5</f>
        <v>171367</v>
      </c>
      <c r="C1761" s="2" t="s">
        <v>569</v>
      </c>
      <c r="D1761" s="2" t="str">
        <f t="shared" si="26"/>
        <v>Error?</v>
      </c>
    </row>
    <row r="1762" spans="1:7" s="8" customFormat="1" x14ac:dyDescent="0.2">
      <c r="A1762" s="5">
        <v>1701</v>
      </c>
      <c r="B1762" s="1832">
        <f>'Tax Sched 23'!D6</f>
        <v>53998</v>
      </c>
      <c r="C1762" s="2" t="s">
        <v>569</v>
      </c>
      <c r="D1762" s="2" t="str">
        <f t="shared" si="26"/>
        <v>Error?</v>
      </c>
      <c r="E1762" s="9"/>
      <c r="G1762"/>
    </row>
    <row r="1763" spans="1:7" x14ac:dyDescent="0.2">
      <c r="A1763" s="5">
        <v>1702</v>
      </c>
      <c r="B1763" s="1832">
        <f>'Tax Sched 23'!D7</f>
        <v>67193</v>
      </c>
      <c r="C1763" s="2" t="s">
        <v>569</v>
      </c>
      <c r="D1763" s="2" t="str">
        <f t="shared" si="26"/>
        <v>Error?</v>
      </c>
    </row>
    <row r="1764" spans="1:7" x14ac:dyDescent="0.2">
      <c r="A1764" s="5">
        <v>1703</v>
      </c>
      <c r="B1764" s="1832">
        <f>'Tax Sched 23'!D8</f>
        <v>50237</v>
      </c>
      <c r="C1764" s="2" t="s">
        <v>569</v>
      </c>
      <c r="D1764" s="2" t="str">
        <f t="shared" si="26"/>
        <v>Error?</v>
      </c>
    </row>
    <row r="1765" spans="1:7" x14ac:dyDescent="0.2">
      <c r="A1765" s="5">
        <v>1704</v>
      </c>
      <c r="B1765" s="1832">
        <f>'Tax Sched 23'!D10</f>
        <v>15311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93798</v>
      </c>
      <c r="C1768" s="2" t="s">
        <v>569</v>
      </c>
      <c r="D1768" s="2" t="str">
        <f t="shared" si="26"/>
        <v>Error?</v>
      </c>
    </row>
    <row r="1769" spans="1:7" x14ac:dyDescent="0.2">
      <c r="A1769" s="5">
        <v>1708</v>
      </c>
      <c r="B1769" s="1832">
        <f>'Tax Sched 23'!D12</f>
        <v>16862</v>
      </c>
      <c r="C1769" s="2" t="s">
        <v>569</v>
      </c>
      <c r="D1769" s="2" t="str">
        <f t="shared" si="26"/>
        <v>Error?</v>
      </c>
    </row>
    <row r="1770" spans="1:7" x14ac:dyDescent="0.2">
      <c r="A1770" s="5">
        <v>1709</v>
      </c>
      <c r="B1770" s="1832">
        <f>'Tax Sched 23'!D14</f>
        <v>13530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1421563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924566</v>
      </c>
      <c r="C1792" s="2" t="s">
        <v>569</v>
      </c>
      <c r="D1792" s="2" t="str">
        <f t="shared" si="27"/>
        <v>Error?</v>
      </c>
    </row>
    <row r="1793" spans="1:4" x14ac:dyDescent="0.2">
      <c r="A1793" s="5">
        <v>1732</v>
      </c>
      <c r="B1793" s="1832">
        <f>'Tax Sched 23'!F5</f>
        <v>175748</v>
      </c>
      <c r="C1793" s="2" t="s">
        <v>569</v>
      </c>
      <c r="D1793" s="2" t="str">
        <f t="shared" si="27"/>
        <v>Error?</v>
      </c>
    </row>
    <row r="1794" spans="1:4" x14ac:dyDescent="0.2">
      <c r="A1794" s="5">
        <v>1733</v>
      </c>
      <c r="B1794" s="1832">
        <f>'Tax Sched 23'!F6</f>
        <v>57544</v>
      </c>
      <c r="C1794" s="2" t="s">
        <v>569</v>
      </c>
      <c r="D1794" s="2" t="str">
        <f t="shared" si="27"/>
        <v>Error?</v>
      </c>
    </row>
    <row r="1795" spans="1:4" x14ac:dyDescent="0.2">
      <c r="A1795" s="5">
        <v>1734</v>
      </c>
      <c r="B1795" s="1832">
        <f>'Tax Sched 23'!F7</f>
        <v>68954</v>
      </c>
      <c r="C1795" s="2" t="s">
        <v>569</v>
      </c>
      <c r="D1795" s="2" t="str">
        <f t="shared" si="27"/>
        <v>Error?</v>
      </c>
    </row>
    <row r="1796" spans="1:4" x14ac:dyDescent="0.2">
      <c r="A1796" s="5">
        <v>1735</v>
      </c>
      <c r="B1796" s="1832">
        <f>'Tax Sched 23'!F8</f>
        <v>51717</v>
      </c>
      <c r="C1796" s="2" t="s">
        <v>569</v>
      </c>
      <c r="D1796" s="2" t="str">
        <f t="shared" si="27"/>
        <v>Error?</v>
      </c>
    </row>
    <row r="1797" spans="1:4" x14ac:dyDescent="0.2">
      <c r="A1797" s="5">
        <v>1736</v>
      </c>
      <c r="B1797" s="1832">
        <f>'Tax Sched 23'!F10</f>
        <v>16248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96175</v>
      </c>
      <c r="C1800" s="2" t="s">
        <v>569</v>
      </c>
      <c r="D1800" s="2" t="str">
        <f t="shared" si="27"/>
        <v>Error?</v>
      </c>
    </row>
    <row r="1801" spans="1:4" x14ac:dyDescent="0.2">
      <c r="A1801" s="5">
        <v>1740</v>
      </c>
      <c r="B1801" s="1832">
        <f>'Tax Sched 23'!F12</f>
        <v>17237</v>
      </c>
      <c r="C1801" s="2" t="s">
        <v>569</v>
      </c>
      <c r="D1801" s="2" t="str">
        <f t="shared" si="27"/>
        <v>Error?</v>
      </c>
    </row>
    <row r="1802" spans="1:4" x14ac:dyDescent="0.2">
      <c r="A1802" s="5">
        <v>1741</v>
      </c>
      <c r="B1802" s="1832">
        <f>'Tax Sched 23'!F14</f>
        <v>13792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1473698</v>
      </c>
      <c r="C1807" s="2" t="s">
        <v>569</v>
      </c>
      <c r="D1807" s="2" t="str">
        <f t="shared" si="27"/>
        <v>Error?</v>
      </c>
    </row>
    <row r="1808" spans="1:4" x14ac:dyDescent="0.2">
      <c r="A1808" s="5">
        <v>1747</v>
      </c>
      <c r="B1808" s="1832">
        <f>'Tax Sched 23'!E4</f>
        <v>924566</v>
      </c>
      <c r="D1808" s="2" t="str">
        <f t="shared" si="27"/>
        <v>Error?</v>
      </c>
    </row>
    <row r="1809" spans="1:4" x14ac:dyDescent="0.2">
      <c r="A1809" s="5">
        <v>1748</v>
      </c>
      <c r="B1809" s="1832">
        <f>'Tax Sched 23'!E5</f>
        <v>175748</v>
      </c>
      <c r="D1809" s="2" t="str">
        <f t="shared" si="27"/>
        <v>Error?</v>
      </c>
    </row>
    <row r="1810" spans="1:4" x14ac:dyDescent="0.2">
      <c r="A1810" s="5">
        <v>1749</v>
      </c>
      <c r="B1810" s="1832">
        <f>'Tax Sched 23'!E6</f>
        <v>57544</v>
      </c>
      <c r="D1810" s="2" t="str">
        <f t="shared" si="27"/>
        <v>Error?</v>
      </c>
    </row>
    <row r="1811" spans="1:4" x14ac:dyDescent="0.2">
      <c r="A1811" s="5">
        <v>1750</v>
      </c>
      <c r="B1811" s="1832">
        <f>'Tax Sched 23'!E7</f>
        <v>68954</v>
      </c>
      <c r="D1811" s="2" t="str">
        <f t="shared" si="27"/>
        <v>Error?</v>
      </c>
    </row>
    <row r="1812" spans="1:4" x14ac:dyDescent="0.2">
      <c r="A1812" s="5">
        <v>1751</v>
      </c>
      <c r="B1812" s="1832">
        <f>'Tax Sched 23'!E8</f>
        <v>51717</v>
      </c>
      <c r="D1812" s="2" t="str">
        <f t="shared" si="27"/>
        <v>Error?</v>
      </c>
    </row>
    <row r="1813" spans="1:4" x14ac:dyDescent="0.2">
      <c r="A1813" s="5">
        <v>1752</v>
      </c>
      <c r="B1813" s="1832">
        <f>'Tax Sched 23'!E10</f>
        <v>16248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96175</v>
      </c>
      <c r="D1816" s="2" t="str">
        <f t="shared" si="27"/>
        <v>Error?</v>
      </c>
    </row>
    <row r="1817" spans="1:4" x14ac:dyDescent="0.2">
      <c r="A1817" s="5">
        <v>1756</v>
      </c>
      <c r="B1817" s="1832">
        <f>'Tax Sched 23'!E12</f>
        <v>17237</v>
      </c>
      <c r="D1817" s="2" t="str">
        <f t="shared" si="27"/>
        <v>Error?</v>
      </c>
    </row>
    <row r="1818" spans="1:4" x14ac:dyDescent="0.2">
      <c r="A1818" s="5">
        <v>1757</v>
      </c>
      <c r="B1818" s="1832">
        <f>'Tax Sched 23'!E14</f>
        <v>13792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1473698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1610000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13517</v>
      </c>
      <c r="D1972" s="2" t="str">
        <f t="shared" si="29"/>
        <v>Error?</v>
      </c>
    </row>
    <row r="1973" spans="1:5" x14ac:dyDescent="0.2">
      <c r="A1973" s="5">
        <v>1912</v>
      </c>
      <c r="B1973" s="1832">
        <f>'Rest Tax Levies-Tort Im 25'!H6</f>
        <v>10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13527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13527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129737</v>
      </c>
      <c r="D2008" s="2" t="str">
        <f t="shared" si="30"/>
        <v>Error?</v>
      </c>
    </row>
    <row r="2009" spans="1:4" x14ac:dyDescent="0.2">
      <c r="A2009" s="5">
        <v>1948</v>
      </c>
      <c r="B2009" s="1832">
        <f>'Cap Outlay Deprec 26'!C8</f>
        <v>10732350</v>
      </c>
      <c r="D2009" s="2" t="str">
        <f t="shared" si="30"/>
        <v>Error?</v>
      </c>
    </row>
    <row r="2010" spans="1:4" x14ac:dyDescent="0.2">
      <c r="A2010" s="5">
        <v>1949</v>
      </c>
      <c r="B2010" s="1832">
        <f>'Cap Outlay Deprec 26'!C10</f>
        <v>296448</v>
      </c>
      <c r="D2010" s="2" t="str">
        <f t="shared" si="30"/>
        <v>Error?</v>
      </c>
    </row>
    <row r="2011" spans="1:4" x14ac:dyDescent="0.2">
      <c r="A2011" s="5">
        <v>1950</v>
      </c>
      <c r="B2011" s="1832">
        <f>'Cap Outlay Deprec 26'!C12</f>
        <v>443598</v>
      </c>
      <c r="D2011" s="2" t="str">
        <f t="shared" si="30"/>
        <v>Error?</v>
      </c>
    </row>
    <row r="2012" spans="1:4" x14ac:dyDescent="0.2">
      <c r="A2012" s="5">
        <v>1951</v>
      </c>
      <c r="B2012" s="1832">
        <f>'Cap Outlay Deprec 26'!C13</f>
        <v>210993</v>
      </c>
      <c r="D2012" s="2" t="str">
        <f t="shared" si="30"/>
        <v>Error?</v>
      </c>
    </row>
    <row r="2013" spans="1:4" x14ac:dyDescent="0.2">
      <c r="A2013" s="5">
        <v>1952</v>
      </c>
      <c r="B2013" s="1832">
        <f>'Cap Outlay Deprec 26'!C16</f>
        <v>11813126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56217</v>
      </c>
      <c r="D2017" s="2" t="str">
        <f t="shared" si="30"/>
        <v>Error?</v>
      </c>
    </row>
    <row r="2018" spans="1:4" x14ac:dyDescent="0.2">
      <c r="A2018" s="5">
        <v>1957</v>
      </c>
      <c r="B2018" s="1832">
        <f>'Cap Outlay Deprec 26'!D13</f>
        <v>40210</v>
      </c>
      <c r="D2018" s="2" t="str">
        <f t="shared" si="30"/>
        <v>Error?</v>
      </c>
    </row>
    <row r="2019" spans="1:4" x14ac:dyDescent="0.2">
      <c r="A2019" s="5">
        <v>1958</v>
      </c>
      <c r="B2019" s="1832">
        <f>'Cap Outlay Deprec 26'!D16</f>
        <v>288724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32730</v>
      </c>
      <c r="D2023" s="2" t="str">
        <f t="shared" si="30"/>
        <v>Error?</v>
      </c>
    </row>
    <row r="2024" spans="1:4" x14ac:dyDescent="0.2">
      <c r="A2024" s="5">
        <v>1963</v>
      </c>
      <c r="B2024" s="1832">
        <f>'Cap Outlay Deprec 26'!E13</f>
        <v>48142</v>
      </c>
      <c r="D2024" s="2" t="str">
        <f t="shared" si="30"/>
        <v>Error?</v>
      </c>
    </row>
    <row r="2025" spans="1:4" x14ac:dyDescent="0.2">
      <c r="A2025" s="5">
        <v>1964</v>
      </c>
      <c r="B2025" s="1832">
        <f>'Cap Outlay Deprec 26'!E16</f>
        <v>80872</v>
      </c>
      <c r="C2025" s="2" t="s">
        <v>569</v>
      </c>
      <c r="D2025" s="2" t="str">
        <f t="shared" si="30"/>
        <v>Error?</v>
      </c>
    </row>
    <row r="2026" spans="1:4" x14ac:dyDescent="0.2">
      <c r="A2026" s="5">
        <v>1965</v>
      </c>
      <c r="B2026" s="1832">
        <f>'Cap Outlay Deprec 26'!F5</f>
        <v>129737</v>
      </c>
      <c r="C2026" s="2" t="s">
        <v>569</v>
      </c>
      <c r="D2026" s="2" t="str">
        <f t="shared" si="30"/>
        <v>Error?</v>
      </c>
    </row>
    <row r="2027" spans="1:4" x14ac:dyDescent="0.2">
      <c r="A2027" s="5">
        <v>1966</v>
      </c>
      <c r="B2027" s="1832">
        <f>'Cap Outlay Deprec 26'!F8</f>
        <v>10732350</v>
      </c>
      <c r="C2027" s="2" t="s">
        <v>569</v>
      </c>
      <c r="D2027" s="2" t="str">
        <f t="shared" si="30"/>
        <v>Error?</v>
      </c>
    </row>
    <row r="2028" spans="1:4" x14ac:dyDescent="0.2">
      <c r="A2028" s="5">
        <v>1967</v>
      </c>
      <c r="B2028" s="1832">
        <f>'Cap Outlay Deprec 26'!F10</f>
        <v>296448</v>
      </c>
      <c r="C2028" s="2" t="s">
        <v>569</v>
      </c>
      <c r="D2028" s="2" t="str">
        <f t="shared" si="30"/>
        <v>Error?</v>
      </c>
    </row>
    <row r="2029" spans="1:4" x14ac:dyDescent="0.2">
      <c r="A2029" s="5">
        <v>1968</v>
      </c>
      <c r="B2029" s="1832">
        <f>'Cap Outlay Deprec 26'!F12</f>
        <v>467085</v>
      </c>
      <c r="C2029" s="2" t="s">
        <v>569</v>
      </c>
      <c r="D2029" s="2" t="str">
        <f t="shared" si="30"/>
        <v>Error?</v>
      </c>
    </row>
    <row r="2030" spans="1:4" x14ac:dyDescent="0.2">
      <c r="A2030" s="5">
        <v>1969</v>
      </c>
      <c r="B2030" s="1832">
        <f>'Cap Outlay Deprec 26'!F13</f>
        <v>203061</v>
      </c>
      <c r="C2030" s="2" t="s">
        <v>569</v>
      </c>
      <c r="D2030" s="2" t="str">
        <f t="shared" si="30"/>
        <v>Error?</v>
      </c>
    </row>
    <row r="2031" spans="1:4" x14ac:dyDescent="0.2">
      <c r="A2031" s="5">
        <v>1970</v>
      </c>
      <c r="B2031" s="1832">
        <f>'Cap Outlay Deprec 26'!F16</f>
        <v>12020978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3216863</v>
      </c>
      <c r="D2033" s="2" t="str">
        <f t="shared" si="30"/>
        <v>Error?</v>
      </c>
    </row>
    <row r="2034" spans="1:4" x14ac:dyDescent="0.2">
      <c r="A2034" s="5">
        <v>1973</v>
      </c>
      <c r="B2034" s="1832">
        <f>'Cap Outlay Deprec 26'!H10</f>
        <v>80412</v>
      </c>
      <c r="D2034" s="2" t="str">
        <f t="shared" si="30"/>
        <v>Error?</v>
      </c>
    </row>
    <row r="2035" spans="1:4" x14ac:dyDescent="0.2">
      <c r="A2035" s="5">
        <v>1974</v>
      </c>
      <c r="B2035" s="1832">
        <f>'Cap Outlay Deprec 26'!H12</f>
        <v>257944</v>
      </c>
      <c r="D2035" s="2" t="str">
        <f t="shared" si="30"/>
        <v>Error?</v>
      </c>
    </row>
    <row r="2036" spans="1:4" x14ac:dyDescent="0.2">
      <c r="A2036" s="5">
        <v>1975</v>
      </c>
      <c r="B2036" s="1832">
        <f>'Cap Outlay Deprec 26'!H13</f>
        <v>202512</v>
      </c>
      <c r="D2036" s="2" t="str">
        <f t="shared" si="30"/>
        <v>Error?</v>
      </c>
    </row>
    <row r="2037" spans="1:4" x14ac:dyDescent="0.2">
      <c r="A2037" s="5">
        <v>1976</v>
      </c>
      <c r="B2037" s="1832">
        <f>'Cap Outlay Deprec 26'!H16</f>
        <v>3757731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214647</v>
      </c>
      <c r="D2039" s="2" t="str">
        <f t="shared" si="30"/>
        <v>Error?</v>
      </c>
    </row>
    <row r="2040" spans="1:4" x14ac:dyDescent="0.2">
      <c r="A2040" s="5">
        <v>1979</v>
      </c>
      <c r="B2040" s="1832">
        <f>'Cap Outlay Deprec 26'!I10</f>
        <v>14510</v>
      </c>
      <c r="D2040" s="2" t="str">
        <f t="shared" si="30"/>
        <v>Error?</v>
      </c>
    </row>
    <row r="2041" spans="1:4" x14ac:dyDescent="0.2">
      <c r="A2041" s="5">
        <v>1980</v>
      </c>
      <c r="B2041" s="1832">
        <f>'Cap Outlay Deprec 26'!I12</f>
        <v>39546</v>
      </c>
      <c r="D2041" s="2" t="str">
        <f t="shared" si="30"/>
        <v>Error?</v>
      </c>
    </row>
    <row r="2042" spans="1:4" x14ac:dyDescent="0.2">
      <c r="A2042" s="5">
        <v>1981</v>
      </c>
      <c r="B2042" s="1832">
        <f>'Cap Outlay Deprec 26'!I13</f>
        <v>12676</v>
      </c>
      <c r="D2042" s="2" t="str">
        <f t="shared" si="30"/>
        <v>Error?</v>
      </c>
    </row>
    <row r="2043" spans="1:4" x14ac:dyDescent="0.2">
      <c r="A2043" s="5">
        <v>1982</v>
      </c>
      <c r="B2043" s="1832">
        <f>'Cap Outlay Deprec 26'!I16</f>
        <v>281379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32730</v>
      </c>
      <c r="D2047" s="2" t="str">
        <f t="shared" ref="D2047:D2110" si="31">IF(ISBLANK(B2047),"OK",IF(A2047-B2047=0,"OK","Error?"))</f>
        <v>Error?</v>
      </c>
    </row>
    <row r="2048" spans="1:4" x14ac:dyDescent="0.2">
      <c r="A2048" s="5">
        <v>1987</v>
      </c>
      <c r="B2048" s="1832">
        <f>'Cap Outlay Deprec 26'!J13</f>
        <v>48142</v>
      </c>
      <c r="D2048" s="2" t="str">
        <f t="shared" si="31"/>
        <v>Error?</v>
      </c>
    </row>
    <row r="2049" spans="1:4" x14ac:dyDescent="0.2">
      <c r="A2049" s="5">
        <v>1988</v>
      </c>
      <c r="B2049" s="1832">
        <f>'Cap Outlay Deprec 26'!J16</f>
        <v>80872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3431510</v>
      </c>
      <c r="C2051" s="2" t="s">
        <v>569</v>
      </c>
      <c r="D2051" s="2" t="str">
        <f t="shared" si="31"/>
        <v>Error?</v>
      </c>
    </row>
    <row r="2052" spans="1:4" x14ac:dyDescent="0.2">
      <c r="A2052" s="5">
        <v>1991</v>
      </c>
      <c r="B2052" s="1832">
        <f>'Cap Outlay Deprec 26'!K10</f>
        <v>94922</v>
      </c>
      <c r="C2052" s="2" t="s">
        <v>569</v>
      </c>
      <c r="D2052" s="2" t="str">
        <f t="shared" si="31"/>
        <v>Error?</v>
      </c>
    </row>
    <row r="2053" spans="1:4" x14ac:dyDescent="0.2">
      <c r="A2053" s="5">
        <v>1992</v>
      </c>
      <c r="B2053" s="1832">
        <f>'Cap Outlay Deprec 26'!K12</f>
        <v>264760</v>
      </c>
      <c r="C2053" s="2" t="s">
        <v>569</v>
      </c>
      <c r="D2053" s="2" t="str">
        <f t="shared" si="31"/>
        <v>Error?</v>
      </c>
    </row>
    <row r="2054" spans="1:4" x14ac:dyDescent="0.2">
      <c r="A2054" s="5">
        <v>1993</v>
      </c>
      <c r="B2054" s="1832">
        <f>'Cap Outlay Deprec 26'!K13</f>
        <v>167046</v>
      </c>
      <c r="C2054" s="2" t="s">
        <v>569</v>
      </c>
      <c r="D2054" s="2" t="str">
        <f t="shared" si="31"/>
        <v>Error?</v>
      </c>
    </row>
    <row r="2055" spans="1:4" x14ac:dyDescent="0.2">
      <c r="A2055" s="5">
        <v>1994</v>
      </c>
      <c r="B2055" s="1832">
        <f>'Cap Outlay Deprec 26'!K16</f>
        <v>3958238</v>
      </c>
      <c r="C2055" s="2" t="s">
        <v>569</v>
      </c>
      <c r="D2055" s="2" t="str">
        <f t="shared" si="31"/>
        <v>Error?</v>
      </c>
    </row>
    <row r="2056" spans="1:4" x14ac:dyDescent="0.2">
      <c r="A2056" s="5">
        <v>1995</v>
      </c>
      <c r="B2056" s="1832">
        <f>'Cap Outlay Deprec 26'!L5</f>
        <v>129737</v>
      </c>
      <c r="C2056" s="2" t="s">
        <v>569</v>
      </c>
      <c r="D2056" s="2" t="str">
        <f t="shared" si="31"/>
        <v>Error?</v>
      </c>
    </row>
    <row r="2057" spans="1:4" x14ac:dyDescent="0.2">
      <c r="A2057" s="5">
        <v>1996</v>
      </c>
      <c r="B2057" s="1832">
        <f>'Cap Outlay Deprec 26'!L8</f>
        <v>7300840</v>
      </c>
      <c r="C2057" s="2" t="s">
        <v>569</v>
      </c>
      <c r="D2057" s="2" t="str">
        <f t="shared" si="31"/>
        <v>Error?</v>
      </c>
    </row>
    <row r="2058" spans="1:4" x14ac:dyDescent="0.2">
      <c r="A2058" s="5">
        <v>1997</v>
      </c>
      <c r="B2058" s="1832">
        <f>'Cap Outlay Deprec 26'!L10</f>
        <v>201526</v>
      </c>
      <c r="C2058" s="2" t="s">
        <v>569</v>
      </c>
      <c r="D2058" s="2" t="str">
        <f t="shared" si="31"/>
        <v>Error?</v>
      </c>
    </row>
    <row r="2059" spans="1:4" x14ac:dyDescent="0.2">
      <c r="A2059" s="5">
        <v>1998</v>
      </c>
      <c r="B2059" s="1832">
        <f>'Cap Outlay Deprec 26'!L12</f>
        <v>202325</v>
      </c>
      <c r="C2059" s="2" t="s">
        <v>569</v>
      </c>
      <c r="D2059" s="2" t="str">
        <f t="shared" si="31"/>
        <v>Error?</v>
      </c>
    </row>
    <row r="2060" spans="1:4" x14ac:dyDescent="0.2">
      <c r="A2060" s="5">
        <v>1999</v>
      </c>
      <c r="B2060" s="1832">
        <f>'Cap Outlay Deprec 26'!L13</f>
        <v>36015</v>
      </c>
      <c r="C2060" s="2" t="s">
        <v>569</v>
      </c>
      <c r="D2060" s="2" t="str">
        <f t="shared" si="31"/>
        <v>Error?</v>
      </c>
    </row>
    <row r="2061" spans="1:4" x14ac:dyDescent="0.2">
      <c r="A2061" s="5">
        <v>2000</v>
      </c>
      <c r="B2061" s="1832">
        <f>'Cap Outlay Deprec 26'!L16</f>
        <v>8062740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474675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517015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28899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1144613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2395093</v>
      </c>
      <c r="C2553" s="2" t="s">
        <v>569</v>
      </c>
      <c r="D2553" s="2" t="str">
        <f t="shared" si="38"/>
        <v>Error?</v>
      </c>
    </row>
    <row r="2554" spans="1:4" x14ac:dyDescent="0.2">
      <c r="A2554" s="5">
        <v>2493</v>
      </c>
      <c r="B2554" s="1832">
        <f>'Acct Summary 7-8'!C7</f>
        <v>334152</v>
      </c>
      <c r="C2554" s="2" t="s">
        <v>569</v>
      </c>
      <c r="D2554" s="2" t="str">
        <f t="shared" si="38"/>
        <v>Error?</v>
      </c>
    </row>
    <row r="2555" spans="1:4" x14ac:dyDescent="0.2">
      <c r="A2555" s="5">
        <v>2494</v>
      </c>
      <c r="B2555" s="1832">
        <f>'Acct Summary 7-8'!C8</f>
        <v>3873858</v>
      </c>
      <c r="C2555" s="2" t="s">
        <v>569</v>
      </c>
      <c r="D2555" s="2" t="str">
        <f t="shared" si="38"/>
        <v>Error?</v>
      </c>
    </row>
    <row r="2556" spans="1:4" x14ac:dyDescent="0.2">
      <c r="A2556" s="5">
        <v>2495</v>
      </c>
      <c r="B2556" s="1832">
        <f>'Acct Summary 7-8'!C12</f>
        <v>1806969</v>
      </c>
      <c r="C2556" s="2" t="s">
        <v>569</v>
      </c>
      <c r="D2556" s="2" t="str">
        <f t="shared" si="38"/>
        <v>Error?</v>
      </c>
    </row>
    <row r="2557" spans="1:4" x14ac:dyDescent="0.2">
      <c r="A2557" s="5">
        <v>2496</v>
      </c>
      <c r="B2557" s="1832">
        <f>'Acct Summary 7-8'!C13</f>
        <v>1192163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517015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3516147</v>
      </c>
      <c r="C2561" s="2" t="s">
        <v>569</v>
      </c>
      <c r="D2561" s="2" t="str">
        <f t="shared" si="39"/>
        <v>Error?</v>
      </c>
    </row>
    <row r="2562" spans="1:4" x14ac:dyDescent="0.2">
      <c r="A2562" s="5">
        <v>2501</v>
      </c>
      <c r="B2562" s="1832">
        <f>'Acct Summary 7-8'!C20</f>
        <v>357711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204886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204886</v>
      </c>
      <c r="C2568" s="2" t="s">
        <v>569</v>
      </c>
      <c r="D2568" s="2" t="str">
        <f t="shared" si="39"/>
        <v>Error?</v>
      </c>
    </row>
    <row r="2569" spans="1:4" x14ac:dyDescent="0.2">
      <c r="A2569" s="5">
        <v>2508</v>
      </c>
      <c r="B2569" s="1832">
        <f>'Acct Summary 7-8'!D13</f>
        <v>219673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219673</v>
      </c>
      <c r="C2573" s="2" t="s">
        <v>569</v>
      </c>
      <c r="D2573" s="2" t="str">
        <f t="shared" si="39"/>
        <v>Error?</v>
      </c>
    </row>
    <row r="2574" spans="1:4" x14ac:dyDescent="0.2">
      <c r="A2574" s="5">
        <v>2513</v>
      </c>
      <c r="B2574" s="1832">
        <f>'Acct Summary 7-8'!D20</f>
        <v>-14787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129270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217920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347190</v>
      </c>
      <c r="C2595" s="2" t="s">
        <v>569</v>
      </c>
      <c r="D2595" s="2" t="str">
        <f t="shared" si="39"/>
        <v>Error?</v>
      </c>
    </row>
    <row r="2596" spans="1:4" x14ac:dyDescent="0.2">
      <c r="A2596" s="5">
        <v>2535</v>
      </c>
      <c r="B2596" s="1832">
        <f>'Acct Summary 7-8'!F13</f>
        <v>308261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25595</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333856</v>
      </c>
      <c r="C2600" s="2" t="s">
        <v>569</v>
      </c>
      <c r="D2600" s="2" t="str">
        <f t="shared" si="39"/>
        <v>Error?</v>
      </c>
    </row>
    <row r="2601" spans="1:4" x14ac:dyDescent="0.2">
      <c r="A2601" s="5">
        <v>2540</v>
      </c>
      <c r="B2601" s="1832">
        <f>'Acct Summary 7-8'!F20</f>
        <v>13334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136997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136997</v>
      </c>
      <c r="C2606" s="2" t="s">
        <v>569</v>
      </c>
      <c r="D2606" s="2" t="str">
        <f t="shared" si="39"/>
        <v>Error?</v>
      </c>
    </row>
    <row r="2607" spans="1:4" x14ac:dyDescent="0.2">
      <c r="A2607" s="5">
        <v>2546</v>
      </c>
      <c r="B2607" s="1832">
        <f>'Acct Summary 7-8'!G12</f>
        <v>27560</v>
      </c>
      <c r="C2607" s="2" t="s">
        <v>569</v>
      </c>
      <c r="D2607" s="2" t="str">
        <f t="shared" si="39"/>
        <v>Error?</v>
      </c>
    </row>
    <row r="2608" spans="1:4" x14ac:dyDescent="0.2">
      <c r="A2608" s="5">
        <v>2547</v>
      </c>
      <c r="B2608" s="1832">
        <f>'Acct Summary 7-8'!G13</f>
        <v>83213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110773</v>
      </c>
      <c r="C2612" s="2" t="s">
        <v>569</v>
      </c>
      <c r="D2612" s="2" t="str">
        <f t="shared" si="39"/>
        <v>Error?</v>
      </c>
    </row>
    <row r="2613" spans="1:4" x14ac:dyDescent="0.2">
      <c r="A2613" s="5">
        <v>2552</v>
      </c>
      <c r="B2613" s="1832">
        <f>'Acct Summary 7-8'!G20</f>
        <v>26224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258012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264845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317701</v>
      </c>
      <c r="C2634" s="2" t="s">
        <v>569</v>
      </c>
      <c r="D2634" s="2" t="str">
        <f t="shared" si="40"/>
        <v>Error?</v>
      </c>
    </row>
    <row r="2635" spans="1:4" x14ac:dyDescent="0.2">
      <c r="A2635" s="5">
        <v>2574</v>
      </c>
      <c r="B2635" s="1832">
        <f>'Acct Summary 7-8'!E17</f>
        <v>317701</v>
      </c>
      <c r="C2635" s="2" t="s">
        <v>569</v>
      </c>
      <c r="D2635" s="2" t="str">
        <f t="shared" si="40"/>
        <v>Error?</v>
      </c>
    </row>
    <row r="2636" spans="1:4" x14ac:dyDescent="0.2">
      <c r="A2636" s="5">
        <v>2575</v>
      </c>
      <c r="B2636" s="1832">
        <f>'Acct Summary 7-8'!E20</f>
        <v>-52856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142297</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192297</v>
      </c>
      <c r="C2658" s="2" t="s">
        <v>569</v>
      </c>
      <c r="D2658" s="2" t="str">
        <f t="shared" si="40"/>
        <v>Error?</v>
      </c>
    </row>
    <row r="2659" spans="1:4" x14ac:dyDescent="0.2">
      <c r="A2659" s="5">
        <v>2598</v>
      </c>
      <c r="B2659" s="1832">
        <f>'Acct Summary 7-8'!H13</f>
        <v>192297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192297</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42340</v>
      </c>
      <c r="C2789" s="2" t="s">
        <v>569</v>
      </c>
      <c r="D2789" s="2" t="str">
        <f t="shared" si="42"/>
        <v>Error?</v>
      </c>
    </row>
    <row r="2790" spans="1:4" x14ac:dyDescent="0.2">
      <c r="A2790" s="5">
        <v>2729</v>
      </c>
      <c r="B2790" s="1832">
        <f>'Expenditures 15-22'!E102</f>
        <v>42340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25595</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25595</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192297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399999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95568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399999</v>
      </c>
      <c r="D2912" s="2" t="str">
        <f t="shared" si="44"/>
        <v>Error?</v>
      </c>
    </row>
    <row r="2913" spans="1:4" x14ac:dyDescent="0.2">
      <c r="A2913" s="5">
        <v>2852</v>
      </c>
      <c r="B2913" s="1832">
        <f>'Assets-Liab 5-6'!I41</f>
        <v>399999</v>
      </c>
      <c r="C2913" s="2" t="s">
        <v>569</v>
      </c>
      <c r="D2913" s="2" t="str">
        <f t="shared" si="44"/>
        <v>Error?</v>
      </c>
    </row>
    <row r="2914" spans="1:4" x14ac:dyDescent="0.2">
      <c r="A2914" s="5">
        <v>2853</v>
      </c>
      <c r="B2914" s="1832">
        <f>'Assets-Liab 5-6'!L33</f>
        <v>95568</v>
      </c>
      <c r="D2914" s="2" t="str">
        <f t="shared" si="44"/>
        <v>Error?</v>
      </c>
    </row>
    <row r="2915" spans="1:4" x14ac:dyDescent="0.2">
      <c r="A2915" s="10">
        <v>2854</v>
      </c>
      <c r="B2915" s="1832"/>
      <c r="D2915" s="2" t="str">
        <f t="shared" si="44"/>
        <v>OK</v>
      </c>
    </row>
    <row r="2916" spans="1:4" x14ac:dyDescent="0.2">
      <c r="A2916" s="5">
        <v>2855</v>
      </c>
      <c r="B2916" s="1832">
        <f>'Assets-Liab 5-6'!L34</f>
        <v>95568</v>
      </c>
      <c r="C2916" s="2" t="s">
        <v>569</v>
      </c>
      <c r="D2916" s="2" t="str">
        <f t="shared" si="44"/>
        <v>Error?</v>
      </c>
    </row>
    <row r="2917" spans="1:4" x14ac:dyDescent="0.2">
      <c r="A2917" s="5">
        <v>2856</v>
      </c>
      <c r="B2917" s="1832">
        <f>'Assets-Liab 5-6'!L41</f>
        <v>95568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42340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474675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517015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25595</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25595</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t="e">
        <f>'Expenditures 15-22'!#REF!</f>
        <v>#REF!</v>
      </c>
      <c r="D3055" s="2" t="e">
        <f t="shared" si="46"/>
        <v>#REF!</v>
      </c>
    </row>
    <row r="3056" spans="1:4" x14ac:dyDescent="0.2">
      <c r="A3056" s="5">
        <v>2995</v>
      </c>
      <c r="B3056" s="1832" t="e">
        <f>'Expenditures 15-22'!#REF!</f>
        <v>#REF!</v>
      </c>
      <c r="D3056" s="2" t="e">
        <f t="shared" si="46"/>
        <v>#REF!</v>
      </c>
    </row>
    <row r="3057" spans="1:4" x14ac:dyDescent="0.2">
      <c r="A3057" s="5">
        <v>2996</v>
      </c>
      <c r="B3057" s="1832">
        <f>'Expenditures 15-22'!E10</f>
        <v>0</v>
      </c>
      <c r="D3057" s="2" t="str">
        <f t="shared" si="46"/>
        <v>Error?</v>
      </c>
    </row>
    <row r="3058" spans="1:4" x14ac:dyDescent="0.2">
      <c r="A3058" s="5">
        <v>2997</v>
      </c>
      <c r="B3058" s="1832" t="e">
        <f>'Expenditures 15-22'!#REF!</f>
        <v>#REF!</v>
      </c>
      <c r="D3058" s="2" t="e">
        <f t="shared" si="46"/>
        <v>#REF!</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52134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469</v>
      </c>
      <c r="D3064" s="2" t="str">
        <f t="shared" si="46"/>
        <v>Error?</v>
      </c>
    </row>
    <row r="3065" spans="1:4" x14ac:dyDescent="0.2">
      <c r="A3065" s="5">
        <v>3004</v>
      </c>
      <c r="B3065" s="1832">
        <f>'Expenditures 15-22'!K219</f>
        <v>469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18620</v>
      </c>
      <c r="C3225" s="2" t="s">
        <v>569</v>
      </c>
      <c r="D3225" s="2" t="str">
        <f t="shared" si="49"/>
        <v>Error?</v>
      </c>
    </row>
    <row r="3226" spans="1:4" x14ac:dyDescent="0.2">
      <c r="A3226" s="5">
        <v>3165</v>
      </c>
      <c r="B3226" s="1832">
        <f>'Acct Summary 7-8'!I8</f>
        <v>18620</v>
      </c>
      <c r="C3226" s="2" t="s">
        <v>569</v>
      </c>
      <c r="D3226" s="2" t="str">
        <f t="shared" si="49"/>
        <v>Error?</v>
      </c>
    </row>
    <row r="3227" spans="1:4" x14ac:dyDescent="0.2">
      <c r="A3227" s="5">
        <v>3166</v>
      </c>
      <c r="B3227" s="1832">
        <f>'Acct Summary 7-8'!I20</f>
        <v>18620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357711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-14787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13334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26224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-52856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18620</v>
      </c>
      <c r="C3320" s="2" t="s">
        <v>569</v>
      </c>
      <c r="D3320" s="2" t="str">
        <f t="shared" si="50"/>
        <v>Error?</v>
      </c>
    </row>
    <row r="3321" spans="1:4" x14ac:dyDescent="0.2">
      <c r="A3321" s="5">
        <v>3260</v>
      </c>
      <c r="B3321" s="1832">
        <f>'Acct Summary 7-8'!I79</f>
        <v>381379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399999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27091</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27091</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1013384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14835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310420</v>
      </c>
      <c r="D3417" s="2" t="str">
        <f t="shared" si="52"/>
        <v>Error?</v>
      </c>
    </row>
    <row r="3418" spans="1:4" x14ac:dyDescent="0.2">
      <c r="A3418" s="10">
        <v>3357</v>
      </c>
      <c r="B3418" s="1832"/>
      <c r="D3418" s="2" t="str">
        <f t="shared" si="52"/>
        <v>OK</v>
      </c>
    </row>
    <row r="3419" spans="1:4" x14ac:dyDescent="0.2">
      <c r="A3419" s="5">
        <v>3358</v>
      </c>
      <c r="B3419" s="1832">
        <f>'Assets-Liab 5-6'!F4</f>
        <v>94595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83674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399999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95568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50237</v>
      </c>
      <c r="C3446" s="2" t="s">
        <v>569</v>
      </c>
      <c r="D3446" s="2" t="str">
        <f t="shared" si="52"/>
        <v>Error?</v>
      </c>
    </row>
    <row r="3447" spans="1:4" x14ac:dyDescent="0.2">
      <c r="A3447" s="5">
        <v>3386</v>
      </c>
      <c r="B3447" s="1832">
        <f>'Tax Sched 23'!D16</f>
        <v>50237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51717</v>
      </c>
      <c r="C3449" s="2" t="s">
        <v>569</v>
      </c>
      <c r="D3449" s="2" t="str">
        <f t="shared" si="52"/>
        <v>Error?</v>
      </c>
    </row>
    <row r="3450" spans="1:4" x14ac:dyDescent="0.2">
      <c r="A3450" s="5">
        <v>3389</v>
      </c>
      <c r="B3450" s="1832">
        <f>'Tax Sched 23'!E16</f>
        <v>51717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192297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192297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192297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69070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69070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69070</v>
      </c>
      <c r="D3567" s="2" t="str">
        <f t="shared" si="54"/>
        <v>Error?</v>
      </c>
    </row>
    <row r="3568" spans="1:4" x14ac:dyDescent="0.2">
      <c r="A3568" s="5">
        <v>3507</v>
      </c>
      <c r="B3568" s="1832">
        <f>'Assets-Liab 5-6'!K41</f>
        <v>69070</v>
      </c>
      <c r="C3568" s="2" t="s">
        <v>569</v>
      </c>
      <c r="D3568" s="2" t="str">
        <f t="shared" si="54"/>
        <v>Error?</v>
      </c>
    </row>
    <row r="3569" spans="1:4" x14ac:dyDescent="0.2">
      <c r="A3569" s="5">
        <v>3508</v>
      </c>
      <c r="B3569" s="1832">
        <f>'Acct Summary 7-8'!K4</f>
        <v>17495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17495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17495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17495</v>
      </c>
      <c r="C3588" s="2" t="s">
        <v>569</v>
      </c>
      <c r="D3588" s="2" t="str">
        <f t="shared" si="55"/>
        <v>Error?</v>
      </c>
    </row>
    <row r="3589" spans="1:4" x14ac:dyDescent="0.2">
      <c r="A3589" s="5">
        <v>3528</v>
      </c>
      <c r="B3589" s="1832">
        <f>'Acct Summary 7-8'!K79</f>
        <v>51575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69070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17495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1394043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5267901</v>
      </c>
      <c r="C4122" s="2" t="s">
        <v>569</v>
      </c>
      <c r="D4122" s="2" t="str">
        <f t="shared" si="63"/>
        <v>Error?</v>
      </c>
    </row>
    <row r="4123" spans="1:4" x14ac:dyDescent="0.2">
      <c r="A4123" s="5">
        <v>4062</v>
      </c>
      <c r="B4123" s="1832">
        <f>'Acct Summary 7-8'!D10</f>
        <v>204886</v>
      </c>
      <c r="C4123" s="2" t="s">
        <v>569</v>
      </c>
      <c r="D4123" s="2" t="str">
        <f t="shared" si="63"/>
        <v>Error?</v>
      </c>
    </row>
    <row r="4124" spans="1:4" x14ac:dyDescent="0.2">
      <c r="A4124" s="5">
        <v>4063</v>
      </c>
      <c r="B4124" s="1832">
        <f>'Acct Summary 7-8'!E10</f>
        <v>264845</v>
      </c>
      <c r="C4124" s="2" t="s">
        <v>569</v>
      </c>
      <c r="D4124" s="2" t="str">
        <f t="shared" si="63"/>
        <v>Error?</v>
      </c>
    </row>
    <row r="4125" spans="1:4" x14ac:dyDescent="0.2">
      <c r="A4125" s="5">
        <v>4064</v>
      </c>
      <c r="B4125" s="1832">
        <f>'Acct Summary 7-8'!F10</f>
        <v>347190</v>
      </c>
      <c r="C4125" s="2" t="s">
        <v>569</v>
      </c>
      <c r="D4125" s="2" t="str">
        <f t="shared" si="63"/>
        <v>Error?</v>
      </c>
    </row>
    <row r="4126" spans="1:4" x14ac:dyDescent="0.2">
      <c r="A4126" s="5">
        <v>4065</v>
      </c>
      <c r="B4126" s="1832">
        <f>'Acct Summary 7-8'!G10</f>
        <v>136997</v>
      </c>
      <c r="C4126" s="2" t="s">
        <v>569</v>
      </c>
      <c r="D4126" s="2" t="str">
        <f t="shared" si="63"/>
        <v>Error?</v>
      </c>
    </row>
    <row r="4127" spans="1:4" x14ac:dyDescent="0.2">
      <c r="A4127" s="5">
        <v>4066</v>
      </c>
      <c r="B4127" s="1832">
        <f>'Acct Summary 7-8'!H10</f>
        <v>192297</v>
      </c>
      <c r="C4127" s="2" t="s">
        <v>569</v>
      </c>
      <c r="D4127" s="2" t="str">
        <f t="shared" si="63"/>
        <v>Error?</v>
      </c>
    </row>
    <row r="4128" spans="1:4" x14ac:dyDescent="0.2">
      <c r="A4128" s="5">
        <v>4067</v>
      </c>
      <c r="B4128" s="1832">
        <f>'Acct Summary 7-8'!I10</f>
        <v>18620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17495</v>
      </c>
      <c r="C4130" s="2" t="s">
        <v>569</v>
      </c>
      <c r="D4130" s="2" t="str">
        <f t="shared" si="63"/>
        <v>Error?</v>
      </c>
    </row>
    <row r="4131" spans="1:4" x14ac:dyDescent="0.2">
      <c r="A4131" s="5">
        <v>4070</v>
      </c>
      <c r="B4131" s="1832">
        <f>'Acct Summary 7-8'!C18</f>
        <v>1394043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4910190</v>
      </c>
      <c r="C4136" s="2" t="s">
        <v>569</v>
      </c>
      <c r="D4136" s="2" t="str">
        <f t="shared" si="63"/>
        <v>Error?</v>
      </c>
    </row>
    <row r="4137" spans="1:4" x14ac:dyDescent="0.2">
      <c r="A4137" s="5">
        <v>4076</v>
      </c>
      <c r="B4137" s="1832">
        <f>'Acct Summary 7-8'!D19</f>
        <v>219673</v>
      </c>
      <c r="C4137" s="2" t="s">
        <v>569</v>
      </c>
      <c r="D4137" s="2" t="str">
        <f t="shared" si="63"/>
        <v>Error?</v>
      </c>
    </row>
    <row r="4138" spans="1:4" x14ac:dyDescent="0.2">
      <c r="A4138" s="5">
        <v>4077</v>
      </c>
      <c r="B4138" s="1832">
        <f>'Acct Summary 7-8'!E19</f>
        <v>317701</v>
      </c>
      <c r="C4138" s="2" t="s">
        <v>569</v>
      </c>
      <c r="D4138" s="2" t="str">
        <f t="shared" si="63"/>
        <v>Error?</v>
      </c>
    </row>
    <row r="4139" spans="1:4" x14ac:dyDescent="0.2">
      <c r="A4139" s="5">
        <v>4078</v>
      </c>
      <c r="B4139" s="1832">
        <f>'Acct Summary 7-8'!F19</f>
        <v>333856</v>
      </c>
      <c r="C4139" s="2" t="s">
        <v>569</v>
      </c>
      <c r="D4139" s="2" t="str">
        <f t="shared" si="63"/>
        <v>Error?</v>
      </c>
    </row>
    <row r="4140" spans="1:4" x14ac:dyDescent="0.2">
      <c r="A4140" s="5">
        <v>4079</v>
      </c>
      <c r="B4140" s="1832">
        <f>'Acct Summary 7-8'!G19</f>
        <v>110773</v>
      </c>
      <c r="C4140" s="2" t="s">
        <v>569</v>
      </c>
      <c r="D4140" s="2" t="str">
        <f t="shared" si="63"/>
        <v>Error?</v>
      </c>
    </row>
    <row r="4141" spans="1:4" x14ac:dyDescent="0.2">
      <c r="A4141" s="5">
        <v>4080</v>
      </c>
      <c r="B4141" s="1832">
        <f>'Acct Summary 7-8'!H19</f>
        <v>192297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1335000</v>
      </c>
      <c r="C4171" s="2" t="s">
        <v>569</v>
      </c>
      <c r="D4171" s="2" t="str">
        <f t="shared" si="64"/>
        <v>Error?</v>
      </c>
    </row>
    <row r="4172" spans="1:4" x14ac:dyDescent="0.2">
      <c r="A4172" s="5">
        <v>4111</v>
      </c>
      <c r="B4172" s="1832">
        <f>'Short-Term Long-Term Debt 24'!J49</f>
        <v>1024580</v>
      </c>
      <c r="C4172" s="2" t="s">
        <v>569</v>
      </c>
      <c r="D4172" s="2" t="str">
        <f t="shared" si="64"/>
        <v>Error?</v>
      </c>
    </row>
    <row r="4173" spans="1:4" x14ac:dyDescent="0.2">
      <c r="A4173" s="5">
        <v>4112</v>
      </c>
      <c r="B4173" s="1832">
        <f>'Short-Term Long-Term Debt 24'!H49</f>
        <v>275000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2581.66</v>
      </c>
      <c r="C4265" s="2" t="s">
        <v>569</v>
      </c>
      <c r="D4265" s="2" t="str">
        <f t="shared" si="65"/>
        <v>Error?</v>
      </c>
      <c r="E4265" s="125"/>
    </row>
    <row r="4266" spans="1:5" x14ac:dyDescent="0.2">
      <c r="A4266" s="12">
        <v>4205</v>
      </c>
      <c r="B4266" s="1832">
        <f>('FP Info 3'!F10)*100000</f>
        <v>490.74</v>
      </c>
      <c r="C4266" s="2" t="s">
        <v>569</v>
      </c>
      <c r="D4266" s="2" t="str">
        <f t="shared" si="65"/>
        <v>Error?</v>
      </c>
      <c r="E4266" s="125"/>
    </row>
    <row r="4267" spans="1:5" x14ac:dyDescent="0.2">
      <c r="A4267" s="12">
        <v>4206</v>
      </c>
      <c r="B4267" s="1832">
        <f>('FP Info 3'!H10)*100000</f>
        <v>192.54000000000002</v>
      </c>
      <c r="C4267" s="2" t="s">
        <v>569</v>
      </c>
      <c r="D4267" s="2" t="str">
        <f t="shared" si="65"/>
        <v>Error?</v>
      </c>
      <c r="E4267" s="125"/>
    </row>
    <row r="4268" spans="1:5" x14ac:dyDescent="0.2">
      <c r="A4268" s="12">
        <v>4207</v>
      </c>
      <c r="B4268" s="1832">
        <f>('FP Info 3'!J10)*100000</f>
        <v>3265</v>
      </c>
      <c r="C4268" s="2" t="s">
        <v>569</v>
      </c>
      <c r="D4268" s="2" t="str">
        <f t="shared" si="65"/>
        <v>Error?</v>
      </c>
    </row>
    <row r="4269" spans="1:5" x14ac:dyDescent="0.2">
      <c r="A4269" s="12">
        <v>4208</v>
      </c>
      <c r="B4269" s="1832">
        <f>'FP Info 3'!J16</f>
        <v>1523812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2006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15769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6833</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45.370000000000005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6833</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40226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35812835</v>
      </c>
      <c r="D4995" s="2" t="str">
        <f t="shared" si="77"/>
        <v>Error?</v>
      </c>
    </row>
    <row r="4996" spans="1:4" x14ac:dyDescent="0.2">
      <c r="A4996" s="12">
        <v>4935</v>
      </c>
      <c r="B4996" s="1832">
        <f>'FP Info 3'!H31</f>
        <v>4942171.2300000004</v>
      </c>
      <c r="D4996" s="2" t="str">
        <f t="shared" si="77"/>
        <v>Error?</v>
      </c>
    </row>
    <row r="4997" spans="1:4" x14ac:dyDescent="0.2">
      <c r="A4997" s="12">
        <v>4936</v>
      </c>
      <c r="B4997" s="1832">
        <f>'FP Info 3'!H37</f>
        <v>1335000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889030</v>
      </c>
      <c r="D5061" s="2" t="str">
        <f t="shared" si="78"/>
        <v>Error?</v>
      </c>
    </row>
    <row r="5062" spans="1:4" x14ac:dyDescent="0.2">
      <c r="A5062" s="10">
        <v>5001</v>
      </c>
      <c r="B5062" s="1832"/>
      <c r="D5062" s="2" t="str">
        <f t="shared" si="78"/>
        <v>OK</v>
      </c>
    </row>
    <row r="5063" spans="1:4" x14ac:dyDescent="0.2">
      <c r="A5063" s="5">
        <v>5002</v>
      </c>
      <c r="B5063" s="1832">
        <f>'Revenues 9-14'!C7</f>
        <v>13530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902560</v>
      </c>
      <c r="C5066" s="2" t="s">
        <v>569</v>
      </c>
      <c r="D5066" s="2" t="str">
        <f t="shared" si="78"/>
        <v>Error?</v>
      </c>
    </row>
    <row r="5067" spans="1:4" x14ac:dyDescent="0.2">
      <c r="A5067" s="5">
        <v>5006</v>
      </c>
      <c r="B5067" s="1832">
        <f>'Revenues 9-14'!C14</f>
        <v>5710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161563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167273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7924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7924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243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397</v>
      </c>
      <c r="C5096" s="2" t="s">
        <v>569</v>
      </c>
      <c r="D5096" s="2" t="str">
        <f t="shared" si="78"/>
        <v>Error?</v>
      </c>
    </row>
    <row r="5097" spans="1:4" x14ac:dyDescent="0.2">
      <c r="A5097" s="5">
        <v>5036</v>
      </c>
      <c r="B5097" s="1832">
        <f>'Revenues 9-14'!C77</f>
        <v>29025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7517</v>
      </c>
      <c r="D5101" s="2" t="str">
        <f t="shared" si="78"/>
        <v>Error?</v>
      </c>
    </row>
    <row r="5102" spans="1:4" x14ac:dyDescent="0.2">
      <c r="A5102" s="5">
        <v>5041</v>
      </c>
      <c r="B5102" s="1832">
        <f>'Revenues 9-14'!C82</f>
        <v>36542</v>
      </c>
      <c r="C5102" s="2" t="s">
        <v>569</v>
      </c>
      <c r="D5102" s="2" t="str">
        <f t="shared" si="78"/>
        <v>Error?</v>
      </c>
    </row>
    <row r="5103" spans="1:4" x14ac:dyDescent="0.2">
      <c r="A5103" s="5">
        <v>5042</v>
      </c>
      <c r="B5103" s="1832">
        <f>'Revenues 9-14'!C84</f>
        <v>11725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11293</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23018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2783</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3216</v>
      </c>
      <c r="D5119" s="2" t="str">
        <f t="shared" ref="D5119:D5182" si="79">IF(ISBLANK(B5119),"OK",IF(A5119-B5119=0,"OK","Error?"))</f>
        <v>Error?</v>
      </c>
    </row>
    <row r="5120" spans="1:4" x14ac:dyDescent="0.2">
      <c r="A5120" s="5">
        <v>5059</v>
      </c>
      <c r="B5120" s="1832">
        <f>'Revenues 9-14'!C108</f>
        <v>6899</v>
      </c>
      <c r="C5120" s="2" t="s">
        <v>569</v>
      </c>
      <c r="D5120" s="2" t="str">
        <f t="shared" si="79"/>
        <v>Error?</v>
      </c>
    </row>
    <row r="5121" spans="1:4" x14ac:dyDescent="0.2">
      <c r="A5121" s="5">
        <v>5060</v>
      </c>
      <c r="B5121" s="1832">
        <f>'Revenues 9-14'!C109</f>
        <v>1144613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2347702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2347702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24860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24860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14265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2501</v>
      </c>
      <c r="D5167" s="2" t="str">
        <f t="shared" si="79"/>
        <v>Error?</v>
      </c>
    </row>
    <row r="5168" spans="1:4" x14ac:dyDescent="0.2">
      <c r="A5168" s="5">
        <v>5107</v>
      </c>
      <c r="B5168" s="1832">
        <f>'Revenues 9-14'!C148</f>
        <v>5015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47391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2395093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108395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40914</v>
      </c>
      <c r="D5241" s="2" t="str">
        <f t="shared" si="80"/>
        <v>Error?</v>
      </c>
    </row>
    <row r="5242" spans="1:4" x14ac:dyDescent="0.2">
      <c r="A5242" s="5">
        <v>5181</v>
      </c>
      <c r="B5242" s="1832">
        <f>'Revenues 9-14'!C194</f>
        <v>21077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170386</v>
      </c>
      <c r="C5246" s="2" t="s">
        <v>569</v>
      </c>
      <c r="D5246" s="2" t="str">
        <f t="shared" si="80"/>
        <v>Error?</v>
      </c>
    </row>
    <row r="5247" spans="1:4" x14ac:dyDescent="0.2">
      <c r="A5247" s="5">
        <v>5186</v>
      </c>
      <c r="B5247" s="1832">
        <f>'Revenues 9-14'!C200</f>
        <v>105765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105765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334152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334152</v>
      </c>
      <c r="C5326" s="2" t="s">
        <v>569</v>
      </c>
      <c r="D5326" s="2" t="str">
        <f t="shared" si="82"/>
        <v>Error?</v>
      </c>
    </row>
    <row r="5327" spans="1:5" x14ac:dyDescent="0.2">
      <c r="A5327" s="5">
        <v>5266</v>
      </c>
      <c r="B5327" s="1832">
        <f>'Revenues 9-14'!C268</f>
        <v>3873858</v>
      </c>
      <c r="C5327" s="2" t="s">
        <v>569</v>
      </c>
      <c r="D5327" s="2" t="str">
        <f t="shared" si="82"/>
        <v>Error?</v>
      </c>
    </row>
    <row r="5328" spans="1:5" x14ac:dyDescent="0.2">
      <c r="A5328" s="5">
        <v>5267</v>
      </c>
      <c r="B5328" s="1832">
        <f>'Revenues 9-14'!D5</f>
        <v>171367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171367</v>
      </c>
      <c r="C5334" s="2" t="s">
        <v>569</v>
      </c>
      <c r="D5334" s="2" t="str">
        <f t="shared" si="82"/>
        <v>Error?</v>
      </c>
    </row>
    <row r="5335" spans="1:4" x14ac:dyDescent="0.2">
      <c r="A5335" s="5">
        <v>5274</v>
      </c>
      <c r="B5335" s="1832">
        <f>'Revenues 9-14'!D14</f>
        <v>1084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31879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32963</v>
      </c>
      <c r="C5339" s="2" t="s">
        <v>569</v>
      </c>
      <c r="D5339" s="2" t="str">
        <f t="shared" si="82"/>
        <v>Error?</v>
      </c>
    </row>
    <row r="5340" spans="1:4" x14ac:dyDescent="0.2">
      <c r="A5340" s="5">
        <v>5279</v>
      </c>
      <c r="B5340" s="1832">
        <f>'Revenues 9-14'!D65</f>
        <v>556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556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204886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204886</v>
      </c>
      <c r="C5508" s="2" t="s">
        <v>569</v>
      </c>
      <c r="D5508" s="2" t="str">
        <f t="shared" si="85"/>
        <v>Error?</v>
      </c>
    </row>
    <row r="5509" spans="1:4" x14ac:dyDescent="0.2">
      <c r="A5509" s="5">
        <v>5448</v>
      </c>
      <c r="B5509" s="1832">
        <f>'Revenues 9-14'!E5</f>
        <v>53998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53998</v>
      </c>
      <c r="C5513" s="2" t="s">
        <v>569</v>
      </c>
      <c r="D5513" s="2" t="str">
        <f t="shared" si="85"/>
        <v>Error?</v>
      </c>
    </row>
    <row r="5514" spans="1:4" x14ac:dyDescent="0.2">
      <c r="A5514" s="5">
        <v>5453</v>
      </c>
      <c r="B5514" s="1832">
        <f>'Revenues 9-14'!E14</f>
        <v>342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342</v>
      </c>
      <c r="C5518" s="2" t="s">
        <v>569</v>
      </c>
      <c r="D5518" s="2" t="str">
        <f t="shared" si="85"/>
        <v>Error?</v>
      </c>
    </row>
    <row r="5519" spans="1:4" x14ac:dyDescent="0.2">
      <c r="A5519" s="5">
        <v>5458</v>
      </c>
      <c r="B5519" s="1832">
        <f>'Revenues 9-14'!E65</f>
        <v>2877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2877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200795</v>
      </c>
      <c r="C5526" s="2" t="s">
        <v>569</v>
      </c>
      <c r="D5526" s="2" t="str">
        <f t="shared" si="85"/>
        <v>Error?</v>
      </c>
    </row>
    <row r="5527" spans="1:4" x14ac:dyDescent="0.2">
      <c r="A5527" s="5">
        <v>5466</v>
      </c>
      <c r="B5527" s="1832">
        <f>'Revenues 9-14'!E109</f>
        <v>258012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264845</v>
      </c>
      <c r="C5552" s="2" t="s">
        <v>569</v>
      </c>
      <c r="D5552" s="2" t="str">
        <f t="shared" si="85"/>
        <v>Error?</v>
      </c>
    </row>
    <row r="5553" spans="1:4" x14ac:dyDescent="0.2">
      <c r="A5553" s="5">
        <v>5492</v>
      </c>
      <c r="B5553" s="1832">
        <f>'Revenues 9-14'!F5</f>
        <v>67193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67193</v>
      </c>
      <c r="C5557" s="2" t="s">
        <v>569</v>
      </c>
      <c r="D5557" s="2" t="str">
        <f t="shared" si="85"/>
        <v>Error?</v>
      </c>
    </row>
    <row r="5558" spans="1:4" x14ac:dyDescent="0.2">
      <c r="A5558" s="5">
        <v>5497</v>
      </c>
      <c r="B5558" s="1832">
        <f>'Revenues 9-14'!F14</f>
        <v>425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61367</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61792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285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285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129270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40000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40000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177920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177920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177920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217920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347190</v>
      </c>
      <c r="C5720" s="2" t="s">
        <v>569</v>
      </c>
      <c r="D5720" s="2" t="str">
        <f t="shared" si="88"/>
        <v>Error?</v>
      </c>
    </row>
    <row r="5721" spans="1:4" x14ac:dyDescent="0.2">
      <c r="A5721" s="5">
        <v>5660</v>
      </c>
      <c r="B5721" s="1832">
        <f>'Revenues 9-14'!G5</f>
        <v>50237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50237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100474</v>
      </c>
      <c r="C5725" s="2" t="s">
        <v>569</v>
      </c>
      <c r="D5725" s="2" t="str">
        <f t="shared" si="88"/>
        <v>Error?</v>
      </c>
    </row>
    <row r="5726" spans="1:4" x14ac:dyDescent="0.2">
      <c r="A5726" s="5">
        <v>5665</v>
      </c>
      <c r="B5726" s="1832">
        <f>'Revenues 9-14'!G14</f>
        <v>636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35636</v>
      </c>
      <c r="C5730" s="2" t="s">
        <v>569</v>
      </c>
      <c r="D5730" s="2" t="str">
        <f t="shared" si="88"/>
        <v>Error?</v>
      </c>
    </row>
    <row r="5731" spans="1:4" x14ac:dyDescent="0.2">
      <c r="A5731" s="5">
        <v>5670</v>
      </c>
      <c r="B5731" s="1832">
        <f>'Revenues 9-14'!G65</f>
        <v>887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887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136997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9-14'!H103</f>
        <v>142297</v>
      </c>
      <c r="D5885" s="2" t="str">
        <f t="shared" si="90"/>
        <v>Error?</v>
      </c>
    </row>
    <row r="5886" spans="1:4" x14ac:dyDescent="0.2">
      <c r="A5886" s="5">
        <v>5825</v>
      </c>
      <c r="B5886" s="1832">
        <f>'Revenues 9-14'!H108</f>
        <v>142297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192297</v>
      </c>
      <c r="C5915" s="2" t="s">
        <v>569</v>
      </c>
      <c r="D5915" s="2" t="str">
        <f t="shared" si="91"/>
        <v>Error?</v>
      </c>
    </row>
    <row r="5916" spans="1:4" x14ac:dyDescent="0.2">
      <c r="A5916" s="5">
        <v>5855</v>
      </c>
      <c r="B5916" s="1832">
        <f>'Revenues 9-14'!I5</f>
        <v>15311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15311</v>
      </c>
      <c r="C5918" s="2" t="s">
        <v>569</v>
      </c>
      <c r="D5918" s="2" t="str">
        <f t="shared" si="91"/>
        <v>Error?</v>
      </c>
    </row>
    <row r="5919" spans="1:4" x14ac:dyDescent="0.2">
      <c r="A5919" s="5">
        <v>5858</v>
      </c>
      <c r="B5919" s="1832">
        <f>'Revenues 9-14'!I14</f>
        <v>97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97</v>
      </c>
      <c r="C5923" s="2" t="s">
        <v>569</v>
      </c>
      <c r="D5923" s="2" t="str">
        <f t="shared" si="91"/>
        <v>Error?</v>
      </c>
    </row>
    <row r="5924" spans="1:4" x14ac:dyDescent="0.2">
      <c r="A5924" s="5">
        <v>5863</v>
      </c>
      <c r="B5924" s="1832">
        <f>'Revenues 9-14'!I65</f>
        <v>3212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3212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18620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16862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16862</v>
      </c>
      <c r="C5987" s="2" t="s">
        <v>569</v>
      </c>
      <c r="D5987" s="2" t="str">
        <f t="shared" si="92"/>
        <v>Error?</v>
      </c>
    </row>
    <row r="5988" spans="1:4" x14ac:dyDescent="0.2">
      <c r="A5988" s="5">
        <v>5927</v>
      </c>
      <c r="B5988" s="1832">
        <f>'Revenues 9-14'!K14</f>
        <v>107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107</v>
      </c>
      <c r="C5992" s="2" t="s">
        <v>569</v>
      </c>
      <c r="D5992" s="2" t="str">
        <f t="shared" si="92"/>
        <v>Error?</v>
      </c>
    </row>
    <row r="5993" spans="1:4" x14ac:dyDescent="0.2">
      <c r="A5993" s="5">
        <v>5932</v>
      </c>
      <c r="B5993" s="1832">
        <f>'Revenues 9-14'!K65</f>
        <v>526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526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17495</v>
      </c>
      <c r="C6023" s="2" t="s">
        <v>569</v>
      </c>
      <c r="D6023" s="2" t="str">
        <f t="shared" si="93"/>
        <v>Error?</v>
      </c>
    </row>
    <row r="6024" spans="1:5" x14ac:dyDescent="0.2">
      <c r="A6024" s="5">
        <v>5963</v>
      </c>
      <c r="B6024" s="1832">
        <f>'Revenues 9-14'!G109</f>
        <v>136997</v>
      </c>
      <c r="C6024" s="2" t="s">
        <v>569</v>
      </c>
      <c r="D6024" s="2" t="str">
        <f t="shared" si="93"/>
        <v>Error?</v>
      </c>
    </row>
    <row r="6025" spans="1:5" x14ac:dyDescent="0.2">
      <c r="A6025" s="5">
        <v>5964</v>
      </c>
      <c r="B6025" s="1832">
        <f>'Revenues 9-14'!H109</f>
        <v>142297</v>
      </c>
      <c r="C6025" s="2" t="s">
        <v>569</v>
      </c>
      <c r="D6025" s="2" t="str">
        <f t="shared" si="93"/>
        <v>Error?</v>
      </c>
    </row>
    <row r="6026" spans="1:5" x14ac:dyDescent="0.2">
      <c r="A6026" s="5">
        <v>5965</v>
      </c>
      <c r="B6026" s="1832">
        <f>'Revenues 9-14'!I109</f>
        <v>18620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17495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478.4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94479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94479</v>
      </c>
      <c r="D6215" s="2" t="str">
        <f t="shared" si="96"/>
        <v>Error?</v>
      </c>
      <c r="E6215" s="2" t="s">
        <v>189</v>
      </c>
    </row>
    <row r="6216" spans="1:5" x14ac:dyDescent="0.2">
      <c r="A6216">
        <v>6155</v>
      </c>
      <c r="B6216" s="1832">
        <f>'Assets-Liab 5-6'!J41</f>
        <v>94479</v>
      </c>
      <c r="D6216" s="2" t="str">
        <f t="shared" si="96"/>
        <v>Error?</v>
      </c>
      <c r="E6216" s="2" t="s">
        <v>189</v>
      </c>
    </row>
    <row r="6217" spans="1:5" x14ac:dyDescent="0.2">
      <c r="A6217">
        <v>6156</v>
      </c>
      <c r="B6217" s="1832">
        <f>'Assets-Liab 5-6'!J4</f>
        <v>94479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95225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95225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95225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68557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68557</v>
      </c>
      <c r="D6229" s="2" t="str">
        <f t="shared" si="96"/>
        <v>Error?</v>
      </c>
      <c r="E6229" s="2" t="s">
        <v>189</v>
      </c>
    </row>
    <row r="6230" spans="1:5" x14ac:dyDescent="0.2">
      <c r="A6230">
        <v>6169</v>
      </c>
      <c r="B6230" s="1832">
        <f>'Acct Summary 7-8'!J20</f>
        <v>26668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26668</v>
      </c>
      <c r="D6263" s="2" t="str">
        <f t="shared" si="96"/>
        <v>Error?</v>
      </c>
      <c r="E6263" s="2" t="s">
        <v>189</v>
      </c>
    </row>
    <row r="6264" spans="1:5" x14ac:dyDescent="0.2">
      <c r="A6264">
        <v>6203</v>
      </c>
      <c r="B6264" s="1832">
        <f>'Acct Summary 7-8'!J79</f>
        <v>67811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94479</v>
      </c>
      <c r="D6266" s="2" t="str">
        <f t="shared" si="96"/>
        <v>Error?</v>
      </c>
      <c r="E6266" s="2" t="s">
        <v>189</v>
      </c>
    </row>
    <row r="6267" spans="1:5" x14ac:dyDescent="0.2">
      <c r="A6267">
        <v>6206</v>
      </c>
      <c r="B6267" s="1832">
        <f>'Acct Summary 7-8'!C82</f>
        <v>357711</v>
      </c>
      <c r="D6267" s="2" t="str">
        <f t="shared" si="96"/>
        <v>Error?</v>
      </c>
      <c r="E6267" s="2" t="s">
        <v>189</v>
      </c>
    </row>
    <row r="6268" spans="1:5" x14ac:dyDescent="0.2">
      <c r="A6268">
        <v>6207</v>
      </c>
      <c r="B6268" s="1832">
        <f>'Acct Summary 7-8'!D82</f>
        <v>-14787</v>
      </c>
      <c r="D6268" s="2" t="str">
        <f t="shared" si="96"/>
        <v>Error?</v>
      </c>
      <c r="E6268" s="2" t="s">
        <v>189</v>
      </c>
    </row>
    <row r="6269" spans="1:5" x14ac:dyDescent="0.2">
      <c r="A6269">
        <v>6208</v>
      </c>
      <c r="B6269" s="1832">
        <f>'Acct Summary 7-8'!E82</f>
        <v>-52856</v>
      </c>
      <c r="D6269" s="2" t="str">
        <f t="shared" si="96"/>
        <v>Error?</v>
      </c>
      <c r="E6269" s="2" t="s">
        <v>189</v>
      </c>
    </row>
    <row r="6270" spans="1:5" x14ac:dyDescent="0.2">
      <c r="A6270">
        <v>6209</v>
      </c>
      <c r="B6270" s="1832">
        <f>'Acct Summary 7-8'!F82</f>
        <v>13334</v>
      </c>
      <c r="D6270" s="2" t="str">
        <f t="shared" si="96"/>
        <v>Error?</v>
      </c>
      <c r="E6270" s="2" t="s">
        <v>189</v>
      </c>
    </row>
    <row r="6271" spans="1:5" x14ac:dyDescent="0.2">
      <c r="A6271">
        <v>6210</v>
      </c>
      <c r="B6271" s="1832">
        <f>'Acct Summary 7-8'!G82</f>
        <v>26224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18620</v>
      </c>
      <c r="D6273" s="2" t="str">
        <f t="shared" si="97"/>
        <v>Error?</v>
      </c>
      <c r="E6273" s="2" t="s">
        <v>189</v>
      </c>
    </row>
    <row r="6274" spans="1:5" x14ac:dyDescent="0.2">
      <c r="A6274">
        <v>6213</v>
      </c>
      <c r="B6274" s="1832">
        <f>'Acct Summary 7-8'!J82</f>
        <v>26668</v>
      </c>
      <c r="D6274" s="2" t="str">
        <f t="shared" si="97"/>
        <v>Error?</v>
      </c>
      <c r="E6274" s="2" t="s">
        <v>189</v>
      </c>
    </row>
    <row r="6275" spans="1:5" x14ac:dyDescent="0.2">
      <c r="A6275">
        <v>6214</v>
      </c>
      <c r="B6275" s="1832">
        <f>'Acct Summary 7-8'!K82</f>
        <v>17495</v>
      </c>
      <c r="D6275" s="2" t="str">
        <f t="shared" si="97"/>
        <v>Error?</v>
      </c>
      <c r="E6275" s="2" t="s">
        <v>189</v>
      </c>
    </row>
    <row r="6276" spans="1:5" x14ac:dyDescent="0.2">
      <c r="A6276">
        <v>6215</v>
      </c>
      <c r="B6276" s="1832">
        <f>'Acct Summary 7-8'!C83</f>
        <v>0.35263899335852433</v>
      </c>
      <c r="D6276" s="2" t="str">
        <f t="shared" si="97"/>
        <v>Error?</v>
      </c>
      <c r="E6276" s="2" t="s">
        <v>189</v>
      </c>
    </row>
    <row r="6277" spans="1:5" x14ac:dyDescent="0.2">
      <c r="A6277">
        <v>6216</v>
      </c>
      <c r="B6277" s="1832">
        <f>'Acct Summary 7-8'!D83</f>
        <v>-0.99676440849342773</v>
      </c>
      <c r="D6277" s="2" t="str">
        <f t="shared" si="97"/>
        <v>Error?</v>
      </c>
      <c r="E6277" s="2" t="s">
        <v>189</v>
      </c>
    </row>
    <row r="6278" spans="1:5" x14ac:dyDescent="0.2">
      <c r="A6278">
        <v>6217</v>
      </c>
      <c r="B6278" s="1832">
        <f>'Acct Summary 7-8'!E83</f>
        <v>-0.17027253398621223</v>
      </c>
      <c r="D6278" s="2" t="str">
        <f t="shared" si="97"/>
        <v>Error?</v>
      </c>
      <c r="E6278" s="2" t="s">
        <v>189</v>
      </c>
    </row>
    <row r="6279" spans="1:5" x14ac:dyDescent="0.2">
      <c r="A6279">
        <v>6218</v>
      </c>
      <c r="B6279" s="1832">
        <f>'Acct Summary 7-8'!F83</f>
        <v>0.14095882446218089</v>
      </c>
      <c r="D6279" s="2" t="str">
        <f t="shared" si="97"/>
        <v>Error?</v>
      </c>
      <c r="E6279" s="2" t="s">
        <v>189</v>
      </c>
    </row>
    <row r="6280" spans="1:5" x14ac:dyDescent="0.2">
      <c r="A6280">
        <v>6219</v>
      </c>
      <c r="B6280" s="1832">
        <f>'Acct Summary 7-8'!G83</f>
        <v>0.31320840350185725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4.655011637529094E-2</v>
      </c>
      <c r="D6282" s="2" t="str">
        <f t="shared" si="97"/>
        <v>Error?</v>
      </c>
      <c r="E6282" s="2" t="s">
        <v>189</v>
      </c>
    </row>
    <row r="6283" spans="1:5" x14ac:dyDescent="0.2">
      <c r="A6283">
        <v>6222</v>
      </c>
      <c r="B6283" s="1832">
        <f>'Acct Summary 7-8'!J83</f>
        <v>0.2822637834862774</v>
      </c>
      <c r="D6283" s="2" t="str">
        <f t="shared" si="97"/>
        <v>Error?</v>
      </c>
      <c r="E6283" s="2" t="s">
        <v>189</v>
      </c>
    </row>
    <row r="6284" spans="1:5" x14ac:dyDescent="0.2">
      <c r="A6284">
        <v>6223</v>
      </c>
      <c r="B6284" s="1832">
        <f>'Acct Summary 7-8'!K83</f>
        <v>0.25329375995367021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93798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93798</v>
      </c>
      <c r="D6301" s="2" t="str">
        <f t="shared" si="97"/>
        <v>Error?</v>
      </c>
      <c r="E6301" s="2" t="s">
        <v>189</v>
      </c>
    </row>
    <row r="6302" spans="1:5" x14ac:dyDescent="0.2">
      <c r="A6302">
        <v>6241</v>
      </c>
      <c r="B6302" s="1832">
        <f>'Revenues 9-14'!J14</f>
        <v>593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593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834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834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95225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14265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6833</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6833</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68557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95225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29065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29065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38992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38992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t="e">
        <f>'Expenditures 15-22'!#REF!</f>
        <v>#REF!</v>
      </c>
      <c r="D7192" s="2" t="e">
        <f t="shared" si="111"/>
        <v>#REF!</v>
      </c>
    </row>
    <row r="7193" spans="1:4" x14ac:dyDescent="0.2">
      <c r="A7193">
        <v>7132</v>
      </c>
      <c r="B7193" s="1832">
        <f>'Expenditures 15-22'!F327</f>
        <v>0</v>
      </c>
      <c r="D7193" s="2" t="str">
        <f t="shared" si="111"/>
        <v>Error?</v>
      </c>
    </row>
    <row r="7194" spans="1:4" x14ac:dyDescent="0.2">
      <c r="A7194">
        <v>7133</v>
      </c>
      <c r="B7194" s="1832">
        <f>'Expenditures 15-22'!E327</f>
        <v>500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500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68557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68557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68557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68557</v>
      </c>
      <c r="D7224" s="2" t="str">
        <f t="shared" si="111"/>
        <v>Error?</v>
      </c>
    </row>
    <row r="7225" spans="1:4" x14ac:dyDescent="0.2">
      <c r="A7225">
        <v>7164</v>
      </c>
      <c r="B7225" s="1832">
        <f>'Expenditures 15-22'!K343</f>
        <v>26668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15-22'!C10</f>
        <v>36733</v>
      </c>
      <c r="D7251" s="2" t="str">
        <f t="shared" si="112"/>
        <v>Error?</v>
      </c>
    </row>
    <row r="7252" spans="1:4" x14ac:dyDescent="0.2">
      <c r="A7252">
        <f t="shared" si="113"/>
        <v>7191</v>
      </c>
      <c r="B7252" s="1832">
        <f>'Expenditures 15-22'!D10</f>
        <v>15083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15-22'!F10</f>
        <v>318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281379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219472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900</v>
      </c>
      <c r="D7712" s="2" t="str">
        <f t="shared" si="126"/>
        <v>Error?</v>
      </c>
      <c r="E7712" s="2" t="s">
        <v>822</v>
      </c>
    </row>
    <row r="7713" spans="1:6" x14ac:dyDescent="0.2">
      <c r="A7713">
        <v>7652</v>
      </c>
      <c r="B7713" s="1832">
        <f>'Rest Tax Levies-Tort Im 25'!J8</f>
        <v>343092</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343092</v>
      </c>
      <c r="D7718" s="2" t="str">
        <f t="shared" si="126"/>
        <v>Error?</v>
      </c>
      <c r="E7718" s="2" t="s">
        <v>822</v>
      </c>
    </row>
    <row r="7719" spans="1:6" x14ac:dyDescent="0.2">
      <c r="A7719">
        <v>7658</v>
      </c>
      <c r="B7719" s="1832">
        <f>'Rest Tax Levies-Tort Im 25'!K12</f>
        <v>900</v>
      </c>
      <c r="D7719" s="2" t="str">
        <f t="shared" si="126"/>
        <v>Error?</v>
      </c>
      <c r="E7719" s="2" t="s">
        <v>822</v>
      </c>
    </row>
    <row r="7720" spans="1:6" x14ac:dyDescent="0.2">
      <c r="A7720">
        <v>7659</v>
      </c>
      <c r="B7720" s="1832">
        <f>'Rest Tax Levies-Tort Im 25'!H14</f>
        <v>13527</v>
      </c>
      <c r="D7720" s="2" t="str">
        <f t="shared" si="126"/>
        <v>Error?</v>
      </c>
      <c r="E7720" s="2" t="s">
        <v>822</v>
      </c>
    </row>
    <row r="7721" spans="1:6" x14ac:dyDescent="0.2">
      <c r="A7721">
        <v>7660</v>
      </c>
      <c r="B7721" s="1832">
        <f>'Rest Tax Levies-Tort Im 25'!K14</f>
        <v>900</v>
      </c>
      <c r="D7721" s="2" t="str">
        <f t="shared" si="126"/>
        <v>Error?</v>
      </c>
      <c r="E7721" s="2" t="s">
        <v>822</v>
      </c>
    </row>
    <row r="7722" spans="1:6" x14ac:dyDescent="0.2">
      <c r="A7722">
        <v>7661</v>
      </c>
      <c r="B7722" s="1832">
        <f>'Rest Tax Levies-Tort Im 25'!J15</f>
        <v>142297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38353</v>
      </c>
      <c r="D7724" s="2" t="str">
        <f t="shared" si="126"/>
        <v>Error?</v>
      </c>
      <c r="E7724" s="2" t="s">
        <v>822</v>
      </c>
      <c r="F7724" s="2"/>
    </row>
    <row r="7725" spans="1:6" x14ac:dyDescent="0.2">
      <c r="A7725">
        <v>7664</v>
      </c>
      <c r="B7725" s="1832">
        <f>'Rest Tax Levies-Tort Im 25'!J19</f>
        <v>225000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263353</v>
      </c>
      <c r="D7727" s="2" t="str">
        <f t="shared" si="126"/>
        <v>Error?</v>
      </c>
      <c r="E7727" s="2" t="s">
        <v>822</v>
      </c>
    </row>
    <row r="7728" spans="1:6" x14ac:dyDescent="0.2">
      <c r="A7728">
        <v>7667</v>
      </c>
      <c r="B7728" s="1832">
        <f>'Revenues 9-14'!E103</f>
        <v>200795</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405650</v>
      </c>
      <c r="D7730" s="2" t="str">
        <f t="shared" si="126"/>
        <v>Error?</v>
      </c>
      <c r="E7730" s="2" t="s">
        <v>822</v>
      </c>
    </row>
    <row r="7731" spans="1:6" x14ac:dyDescent="0.2">
      <c r="A7731">
        <v>7670</v>
      </c>
      <c r="B7731" s="1832" t="e">
        <f>'Revenues 9-14'!#REF!</f>
        <v>#REF!</v>
      </c>
      <c r="D7731" s="2" t="e">
        <f t="shared" si="126"/>
        <v>#REF!</v>
      </c>
      <c r="E7731" s="2" t="s">
        <v>822</v>
      </c>
    </row>
    <row r="7732" spans="1:6" x14ac:dyDescent="0.2">
      <c r="A7732">
        <v>7671</v>
      </c>
      <c r="B7732" s="1832">
        <f>'Rest Tax Levies-Tort Im 25'!J24</f>
        <v>156914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156914</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6833</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900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2710000</v>
      </c>
      <c r="D7817" s="2" t="str">
        <f t="shared" si="128"/>
        <v>Error?</v>
      </c>
      <c r="E7817" s="4" t="s">
        <v>1966</v>
      </c>
    </row>
    <row r="7818" spans="1:5" x14ac:dyDescent="0.2">
      <c r="A7818">
        <v>7757</v>
      </c>
      <c r="B7818" s="1832">
        <f>'PCTC-OEPP 27-28'!F172</f>
        <v>100834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4566707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914137</v>
      </c>
      <c r="D7834" s="2" t="str">
        <f t="shared" si="129"/>
        <v>Error?</v>
      </c>
      <c r="E7834" s="4" t="s">
        <v>1998</v>
      </c>
    </row>
    <row r="7835" spans="1:5" x14ac:dyDescent="0.2">
      <c r="A7835">
        <v>7774</v>
      </c>
      <c r="B7835" s="1832">
        <f>'PCTC-OEPP 27-28'!F78</f>
        <v>3652570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7634.9707357859534</v>
      </c>
      <c r="D7837" s="2" t="str">
        <f t="shared" si="129"/>
        <v>Error?</v>
      </c>
      <c r="E7837" s="4" t="s">
        <v>1998</v>
      </c>
    </row>
    <row r="7838" spans="1:5" x14ac:dyDescent="0.2">
      <c r="A7838">
        <v>7777</v>
      </c>
      <c r="B7838" s="1832">
        <f>'PCTC-OEPP 27-28'!F96</f>
        <v>36542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2783</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24860</v>
      </c>
      <c r="D7842" s="2" t="str">
        <f t="shared" si="129"/>
        <v>Error?</v>
      </c>
      <c r="E7842" s="4" t="s">
        <v>1998</v>
      </c>
    </row>
    <row r="7843" spans="1:5" x14ac:dyDescent="0.2">
      <c r="A7843">
        <v>7782</v>
      </c>
      <c r="B7843" s="1832">
        <f>'PCTC-OEPP 27-28'!F107</f>
        <v>14265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5015</v>
      </c>
      <c r="D7846" s="2" t="str">
        <f t="shared" si="129"/>
        <v>Error?</v>
      </c>
      <c r="E7846" s="4" t="s">
        <v>1998</v>
      </c>
    </row>
    <row r="7847" spans="1:5" x14ac:dyDescent="0.2">
      <c r="A7847">
        <v>7786</v>
      </c>
      <c r="B7847" s="1832">
        <f>'PCTC-OEPP 27-28'!F112</f>
        <v>177920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170386</v>
      </c>
      <c r="D7858" s="2" t="str">
        <f t="shared" si="129"/>
        <v>Error?</v>
      </c>
      <c r="E7858" s="4" t="s">
        <v>1998</v>
      </c>
    </row>
    <row r="7859" spans="1:5" x14ac:dyDescent="0.2">
      <c r="A7859">
        <v>7798</v>
      </c>
      <c r="B7859" s="1832">
        <f>'PCTC-OEPP 27-28'!F127</f>
        <v>105765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6833</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15769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2006</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40226</v>
      </c>
      <c r="D7876" s="2" t="str">
        <f t="shared" si="129"/>
        <v>Error?</v>
      </c>
      <c r="E7876" s="4" t="s">
        <v>1998</v>
      </c>
    </row>
    <row r="7877" spans="1:5" x14ac:dyDescent="0.2">
      <c r="A7877">
        <v>7816</v>
      </c>
      <c r="B7877" s="1832">
        <f>'PCTC-OEPP 27-28'!F175</f>
        <v>729870</v>
      </c>
      <c r="D7877" s="2" t="str">
        <f t="shared" si="129"/>
        <v>Error?</v>
      </c>
      <c r="E7877" s="4" t="s">
        <v>1998</v>
      </c>
    </row>
    <row r="7878" spans="1:5" x14ac:dyDescent="0.2">
      <c r="A7878">
        <v>7817</v>
      </c>
      <c r="B7878" s="1832">
        <f>'PCTC-OEPP 27-28'!F176</f>
        <v>2922700</v>
      </c>
      <c r="D7878" s="2" t="str">
        <f t="shared" si="129"/>
        <v>Error?</v>
      </c>
      <c r="E7878" s="4" t="s">
        <v>1998</v>
      </c>
    </row>
    <row r="7879" spans="1:5" x14ac:dyDescent="0.2">
      <c r="A7879">
        <v>7818</v>
      </c>
      <c r="B7879" s="1832">
        <f>'PCTC-OEPP 27-28'!F178</f>
        <v>3204079</v>
      </c>
      <c r="D7879" s="2" t="str">
        <f t="shared" si="129"/>
        <v>Error?</v>
      </c>
      <c r="E7879" s="4" t="s">
        <v>1998</v>
      </c>
    </row>
    <row r="7880" spans="1:5" x14ac:dyDescent="0.2">
      <c r="A7880">
        <v>7819</v>
      </c>
      <c r="B7880" s="1832">
        <f>'PCTC-OEPP 27-28'!F180</f>
        <v>6697.4895484949839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48" t="s">
        <v>1180</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Crab Orchard CUSD 3</v>
      </c>
      <c r="B7" s="2540"/>
      <c r="C7" s="2540"/>
      <c r="D7" s="2541"/>
      <c r="E7" s="2542">
        <f>COVER!A13</f>
        <v>21100003026</v>
      </c>
      <c r="F7" s="2543"/>
      <c r="G7" s="2549">
        <f>COVER!T23</f>
        <v>65.022628999999995</v>
      </c>
      <c r="H7" s="2550"/>
      <c r="I7" s="2550"/>
      <c r="J7" s="2550"/>
      <c r="K7" s="2550"/>
      <c r="L7" s="255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2"/>
      <c r="B9" s="2553"/>
      <c r="C9" s="2553"/>
      <c r="D9" s="2553"/>
      <c r="E9" s="2553"/>
      <c r="F9" s="2554"/>
      <c r="G9" s="2522" t="str">
        <f>COVER!T13</f>
        <v>Cindy A. Bobell, CPA</v>
      </c>
      <c r="H9" s="2555"/>
      <c r="I9" s="2555"/>
      <c r="J9" s="2555"/>
      <c r="K9" s="2555"/>
      <c r="L9" s="2556"/>
    </row>
    <row r="10" spans="1:29" ht="13.5" customHeight="1" x14ac:dyDescent="0.2">
      <c r="A10" s="2528" t="str">
        <f>COVER!A38</f>
        <v>Derek Hutchins</v>
      </c>
      <c r="B10" s="2529"/>
      <c r="C10" s="2529"/>
      <c r="D10" s="2529"/>
      <c r="E10" s="2529"/>
      <c r="F10" s="2530"/>
      <c r="G10" s="2522" t="str">
        <f>COVER!T17</f>
        <v>10653 Khoury League Road</v>
      </c>
      <c r="H10" s="2523"/>
      <c r="I10" s="2523"/>
      <c r="J10" s="2523"/>
      <c r="K10" s="2523"/>
      <c r="L10" s="2524"/>
    </row>
    <row r="11" spans="1:29" ht="13.5" customHeight="1" x14ac:dyDescent="0.2">
      <c r="A11" s="963" t="s">
        <v>1502</v>
      </c>
      <c r="B11" s="964"/>
      <c r="C11" s="965"/>
      <c r="D11" s="970"/>
      <c r="E11" s="965"/>
      <c r="F11" s="969"/>
      <c r="G11" s="2522" t="str">
        <f>COVER!T19</f>
        <v>Marion</v>
      </c>
      <c r="H11" s="2523"/>
      <c r="I11" s="2523"/>
      <c r="J11" s="2523"/>
      <c r="K11" s="2523"/>
      <c r="L11" s="2524"/>
    </row>
    <row r="12" spans="1:29" ht="13.5" customHeight="1" x14ac:dyDescent="0.2">
      <c r="A12" s="2531" t="s">
        <v>1501</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1503</v>
      </c>
      <c r="H13" s="2518"/>
      <c r="I13" s="2534" t="str">
        <f>COVER!T25</f>
        <v>cabcpa@frontier.com</v>
      </c>
      <c r="J13" s="2535"/>
      <c r="K13" s="2535"/>
      <c r="L13" s="2536"/>
    </row>
    <row r="14" spans="1:29" ht="13.5" customHeight="1" x14ac:dyDescent="0.2">
      <c r="A14" s="2522" t="str">
        <f>COVER!A19</f>
        <v>18189 Cory Bailey Street</v>
      </c>
      <c r="B14" s="2523"/>
      <c r="C14" s="2523"/>
      <c r="D14" s="2523"/>
      <c r="E14" s="2523"/>
      <c r="F14" s="2524"/>
      <c r="G14" s="974" t="s">
        <v>1175</v>
      </c>
      <c r="H14" s="972"/>
      <c r="I14" s="972"/>
      <c r="J14" s="972"/>
      <c r="K14" s="972"/>
      <c r="L14" s="973"/>
    </row>
    <row r="15" spans="1:29" ht="13.5" customHeight="1" x14ac:dyDescent="0.2">
      <c r="A15" s="2522" t="str">
        <f>COVER!A21</f>
        <v>Marion</v>
      </c>
      <c r="B15" s="2523"/>
      <c r="C15" s="2523"/>
      <c r="D15" s="2523"/>
      <c r="E15" s="2523"/>
      <c r="F15" s="2524"/>
      <c r="G15" s="2519" t="str">
        <f>COVER!T15</f>
        <v>Cindy A. Bobell, CPA</v>
      </c>
      <c r="H15" s="2520"/>
      <c r="I15" s="2520"/>
      <c r="J15" s="2520"/>
      <c r="K15" s="2520"/>
      <c r="L15" s="2521"/>
    </row>
    <row r="16" spans="1:29" ht="12.2" customHeight="1" x14ac:dyDescent="0.2">
      <c r="A16" s="2545">
        <f>COVER!A25</f>
        <v>62959</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74" t="s">
        <v>1174</v>
      </c>
      <c r="H17" s="972"/>
      <c r="I17" s="972"/>
      <c r="J17" s="972"/>
      <c r="K17" s="976" t="s">
        <v>1173</v>
      </c>
      <c r="L17" s="969"/>
      <c r="M17" s="962"/>
    </row>
    <row r="18" spans="1:13" ht="12.2" customHeight="1" x14ac:dyDescent="0.2">
      <c r="A18" s="2528"/>
      <c r="B18" s="2529"/>
      <c r="C18" s="2529"/>
      <c r="D18" s="2529"/>
      <c r="E18" s="2529"/>
      <c r="F18" s="2530"/>
      <c r="G18" s="2539" t="str">
        <f>COVER!T21</f>
        <v>618-997-9711</v>
      </c>
      <c r="H18" s="2540"/>
      <c r="I18" s="2540"/>
      <c r="J18" s="2540"/>
      <c r="K18" s="2539" t="str">
        <f>COVER!X21</f>
        <v>618-997-8014</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Crab Orchard CUSD 3</v>
      </c>
      <c r="B1" s="2562"/>
      <c r="C1" s="2562"/>
      <c r="D1" s="2562"/>
    </row>
    <row r="2" spans="1:11" s="991" customFormat="1" ht="12.75" x14ac:dyDescent="0.2">
      <c r="A2" s="2563">
        <f>'Single Audit Cover'!E7</f>
        <v>21100003026</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Crab Orchard CUSD 3</v>
      </c>
      <c r="B1" s="2566"/>
      <c r="C1" s="2566"/>
      <c r="D1" s="2566"/>
      <c r="E1" s="2566"/>
    </row>
    <row r="2" spans="1:5" x14ac:dyDescent="0.2">
      <c r="A2" s="2567">
        <f>'Single Audit Cover'!E7</f>
        <v>21100003026</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340985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340985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340985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0</v>
      </c>
    </row>
    <row r="49" spans="2:4" x14ac:dyDescent="0.2">
      <c r="B49" s="1048" t="s">
        <v>1215</v>
      </c>
      <c r="C49" s="1048"/>
      <c r="D49" s="1049">
        <f>D32-D47</f>
        <v>340985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Crab Orchard CUSD 3</v>
      </c>
      <c r="C1" s="2570"/>
      <c r="D1" s="2570"/>
      <c r="E1" s="2570"/>
      <c r="F1" s="2570"/>
      <c r="G1" s="2570"/>
      <c r="H1" s="2570"/>
      <c r="I1" s="2570"/>
      <c r="J1" s="2570"/>
      <c r="K1" s="2570"/>
      <c r="L1" s="2570"/>
      <c r="M1" s="2570"/>
    </row>
    <row r="2" spans="2:14" ht="15" x14ac:dyDescent="0.2">
      <c r="B2" s="2571">
        <f>'Single Audit Cover'!E7</f>
        <v>21100003026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Crab Orchard CUSD 3</v>
      </c>
      <c r="B1" s="2583"/>
      <c r="C1" s="2583"/>
      <c r="D1" s="2583"/>
      <c r="E1" s="2583"/>
      <c r="F1" s="2583"/>
    </row>
    <row r="2" spans="1:7" ht="13.5" customHeight="1" x14ac:dyDescent="0.2">
      <c r="A2" s="2571">
        <f>'Single Audit Cover'!E7</f>
        <v>21100003026</v>
      </c>
      <c r="B2" s="2571"/>
      <c r="C2" s="2571"/>
      <c r="D2" s="2571"/>
      <c r="E2" s="2571"/>
      <c r="F2" s="2571"/>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0" t="s">
        <v>1258</v>
      </c>
      <c r="E15" s="2580"/>
      <c r="F15" s="2580"/>
    </row>
    <row r="16" spans="1:7" ht="13.5" customHeight="1" x14ac:dyDescent="0.2">
      <c r="A16" s="1058"/>
      <c r="B16" s="1052" t="s">
        <v>1257</v>
      </c>
      <c r="C16" s="1476" t="s">
        <v>1256</v>
      </c>
      <c r="D16" s="2581" t="s">
        <v>1571</v>
      </c>
      <c r="E16" s="2581"/>
      <c r="F16" s="2581"/>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1709</v>
      </c>
      <c r="B32" s="2576"/>
      <c r="C32" s="2576"/>
      <c r="D32" s="2576"/>
      <c r="E32" s="2576"/>
      <c r="F32" s="257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7">
        <f>+C33+C34</f>
        <v>0</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4" t="s">
        <v>1534</v>
      </c>
      <c r="C51" s="2574"/>
      <c r="D51" s="2574"/>
    </row>
    <row r="52" spans="1:5" ht="14.25" customHeight="1" x14ac:dyDescent="0.2">
      <c r="A52" s="1077"/>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2076</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2076</v>
      </c>
      <c r="C53" s="174">
        <v>22</v>
      </c>
      <c r="D53" s="242" t="s">
        <v>1445</v>
      </c>
      <c r="E53" s="243"/>
      <c r="F53" s="244"/>
      <c r="G53" s="244" t="s">
        <v>1444</v>
      </c>
      <c r="H53" s="245">
        <v>35735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1989</v>
      </c>
      <c r="B88" s="2192"/>
      <c r="C88" s="2192"/>
      <c r="D88" s="2193"/>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2052</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Crab Orchard CUSD 3</v>
      </c>
      <c r="C1" s="2598"/>
      <c r="D1" s="2598"/>
      <c r="E1" s="2598"/>
      <c r="F1" s="2598"/>
      <c r="G1" s="2598"/>
      <c r="H1" s="2598"/>
      <c r="I1" s="2598"/>
      <c r="J1" s="1178"/>
    </row>
    <row r="2" spans="2:10" s="295" customFormat="1" ht="12.75" customHeight="1" x14ac:dyDescent="0.2">
      <c r="B2" s="2599">
        <f>'Single Audit Cover'!E7</f>
        <v>21100003026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586" t="s">
        <v>1576</v>
      </c>
      <c r="D43" s="2587"/>
      <c r="E43" s="2587"/>
      <c r="F43" s="2588"/>
      <c r="G43" s="2589">
        <f>SUM(G38:I42)</f>
        <v>0</v>
      </c>
      <c r="H43" s="2589"/>
      <c r="I43" s="2589"/>
    </row>
    <row r="44" spans="2:9" ht="12.75" customHeight="1" x14ac:dyDescent="0.2"/>
    <row r="45" spans="2:9" ht="12.75" customHeight="1" x14ac:dyDescent="0.2">
      <c r="B45" s="1916" t="str">
        <f>"Total Federal Expenditures for 7/1/"&amp;MID('AFR20'!E2,3,2)-1&amp;"-6/30/"&amp;MID('AFR20'!E2,3,2)</f>
        <v>Total Federal Expenditures for 7/1/19-6/30/20</v>
      </c>
      <c r="C45" s="1917"/>
      <c r="D45" s="2590">
        <v>0</v>
      </c>
      <c r="E45" s="259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2"/>
      <c r="F49" s="2592"/>
      <c r="G49" s="259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S20" sqref="S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Crab Orchard CUSD 3</v>
      </c>
      <c r="C1" s="2597"/>
      <c r="D1" s="2597"/>
      <c r="E1" s="2597"/>
      <c r="F1" s="2597"/>
      <c r="G1" s="2597"/>
      <c r="H1" s="2597"/>
      <c r="I1" s="2597"/>
      <c r="J1" s="2597"/>
      <c r="K1" s="2597"/>
      <c r="L1" s="1144"/>
      <c r="M1" s="1144"/>
    </row>
    <row r="2" spans="1:13" ht="12" customHeight="1" x14ac:dyDescent="0.2">
      <c r="B2" s="2599">
        <f>'Single Audit Cover'!E7</f>
        <v>21100003026</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2076</v>
      </c>
      <c r="J10" s="1159" t="s">
        <v>1282</v>
      </c>
      <c r="K10" s="300"/>
      <c r="L10" s="1151"/>
    </row>
    <row r="11" spans="1:13" ht="13.5" customHeight="1" x14ac:dyDescent="0.2">
      <c r="B11" s="300"/>
      <c r="C11" s="300"/>
      <c r="D11" s="300"/>
      <c r="E11" s="300"/>
      <c r="F11" s="300"/>
      <c r="G11" s="1153"/>
      <c r="H11" s="300"/>
      <c r="I11" s="1160" t="s">
        <v>1281</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2081</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t="s">
        <v>2091</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6" t="s">
        <v>2082</v>
      </c>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2" t="s">
        <v>2092</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t="s">
        <v>2083</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t="s">
        <v>2084</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1" t="s">
        <v>2085</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&amp;RB - 38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Crab Orchard CUSD 3</v>
      </c>
      <c r="C1" s="2620"/>
      <c r="D1" s="2620"/>
      <c r="E1" s="2620"/>
      <c r="F1" s="2620"/>
      <c r="G1" s="2620"/>
      <c r="H1" s="2620"/>
      <c r="I1" s="2620"/>
      <c r="J1" s="2620"/>
      <c r="K1" s="2620"/>
      <c r="L1" s="1221"/>
    </row>
    <row r="2" spans="1:12" ht="12.75" customHeight="1" x14ac:dyDescent="0.2">
      <c r="B2" s="2621">
        <f>'Single Audit Cover'!E7</f>
        <v>21100003026</v>
      </c>
      <c r="C2" s="2621"/>
      <c r="D2" s="2621"/>
      <c r="E2" s="2621"/>
      <c r="F2" s="2621"/>
      <c r="G2" s="2621"/>
      <c r="H2" s="2621"/>
      <c r="I2" s="2621"/>
      <c r="J2" s="2621"/>
      <c r="K2" s="2621"/>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Crab Orchard CUSD 3</v>
      </c>
      <c r="C1" s="2597"/>
      <c r="D1" s="2597"/>
      <c r="E1" s="1240"/>
    </row>
    <row r="2" spans="2:5" s="1058" customFormat="1" ht="12.75" customHeight="1" x14ac:dyDescent="0.2">
      <c r="B2" s="2599">
        <f>'Single Audit Cover'!E7</f>
        <v>21100003026</v>
      </c>
      <c r="C2" s="2599"/>
      <c r="D2" s="2599"/>
      <c r="E2" s="1241"/>
    </row>
    <row r="3" spans="2:5" ht="12.75" customHeight="1" x14ac:dyDescent="0.2">
      <c r="B3" s="2613" t="s">
        <v>1743</v>
      </c>
      <c r="C3" s="2613"/>
      <c r="D3" s="2613"/>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2086</v>
      </c>
      <c r="C7" s="302" t="s">
        <v>2088</v>
      </c>
      <c r="D7" s="302" t="s">
        <v>2087</v>
      </c>
      <c r="E7" s="302"/>
    </row>
    <row r="8" spans="2:5" ht="13.5" customHeight="1" x14ac:dyDescent="0.2">
      <c r="B8" s="1245"/>
      <c r="C8" s="302" t="s">
        <v>2089</v>
      </c>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&amp;R
B - 39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D10" sqref="D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35812835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2.5816599999999999E-2</v>
      </c>
      <c r="E10" s="333" t="s">
        <v>998</v>
      </c>
      <c r="F10" s="332">
        <v>4.9074000000000001E-3</v>
      </c>
      <c r="G10" s="333" t="s">
        <v>998</v>
      </c>
      <c r="H10" s="332">
        <v>1.9254000000000001E-3</v>
      </c>
      <c r="I10" s="333" t="s">
        <v>999</v>
      </c>
      <c r="J10" s="1424">
        <f>ROUND(D10+F10+H10,5)</f>
        <v>3.2649999999999998E-2</v>
      </c>
      <c r="K10" s="217"/>
      <c r="L10" s="332">
        <v>4.5370000000000002E-4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4444554</v>
      </c>
      <c r="E16" s="1547"/>
      <c r="F16" s="1546">
        <f>SUM('Acct Summary 7-8'!C17,'Acct Summary 7-8'!D17,'Acct Summary 7-8'!F17)</f>
        <v>4069676</v>
      </c>
      <c r="G16" s="1547"/>
      <c r="H16" s="1546">
        <f>SUM(D16-F16)</f>
        <v>374878</v>
      </c>
      <c r="I16" s="1548"/>
      <c r="J16" s="1546">
        <f>SUM('Acct Summary 7-8'!C81,'Acct Summary 7-8'!D81,'Acct Summary 7-8'!F81,'Acct Summary 7-8'!I81)</f>
        <v>1523812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4942171.2300000004</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Crab Orchard CUSD 3</v>
      </c>
      <c r="E7" s="368"/>
      <c r="G7" s="247"/>
      <c r="H7" s="364"/>
      <c r="I7" s="364"/>
      <c r="J7" s="364"/>
      <c r="K7" s="364"/>
      <c r="L7" s="307"/>
      <c r="M7" s="307"/>
      <c r="N7" s="307"/>
      <c r="O7" s="307"/>
      <c r="P7" s="307"/>
    </row>
    <row r="8" spans="1:18" ht="12.75" x14ac:dyDescent="0.2">
      <c r="A8" s="307"/>
      <c r="B8" s="307"/>
      <c r="C8" s="366" t="s">
        <v>1115</v>
      </c>
      <c r="D8" s="369">
        <f>COVER!A13</f>
        <v>21100003026</v>
      </c>
      <c r="E8" s="370"/>
      <c r="G8" s="307"/>
      <c r="H8" s="307"/>
      <c r="I8" s="307"/>
      <c r="J8" s="307"/>
      <c r="K8" s="307"/>
      <c r="L8" s="307"/>
      <c r="M8" s="307"/>
      <c r="N8" s="307"/>
      <c r="O8" s="307"/>
      <c r="P8" s="307"/>
    </row>
    <row r="9" spans="1:18" ht="12.75" x14ac:dyDescent="0.2">
      <c r="A9" s="307"/>
      <c r="B9" s="307"/>
      <c r="C9" s="366" t="s">
        <v>708</v>
      </c>
      <c r="D9" s="371" t="str">
        <f>COVER!A15</f>
        <v>Williamson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1523812</v>
      </c>
      <c r="I12" s="380"/>
      <c r="J12" s="380"/>
      <c r="K12" s="1559">
        <f>TRUNC((H12/H13*100000),5)/100000</f>
        <v>0.34284924870000005</v>
      </c>
      <c r="L12" s="381"/>
      <c r="M12" s="337" t="s">
        <v>1134</v>
      </c>
      <c r="N12" s="337"/>
      <c r="O12" s="1562">
        <v>0.35</v>
      </c>
      <c r="P12" s="213"/>
      <c r="Q12" s="213"/>
    </row>
    <row r="13" spans="1:18" s="382" customFormat="1" ht="12.75" x14ac:dyDescent="0.2">
      <c r="A13" s="213"/>
      <c r="B13" s="377"/>
      <c r="C13" s="2211" t="s">
        <v>1313</v>
      </c>
      <c r="D13" s="2212"/>
      <c r="E13" s="213"/>
      <c r="F13" s="383" t="s">
        <v>788</v>
      </c>
      <c r="G13" s="378"/>
      <c r="H13" s="1551">
        <f>SUM('Acct Summary 7-8'!C8+'Acct Summary 7-8'!D8+'Acct Summary 7-8'!F8+'Acct Summary 7-8'!I8)+H14</f>
        <v>4444554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4069676</v>
      </c>
      <c r="I17" s="380"/>
      <c r="J17" s="389"/>
      <c r="K17" s="1559">
        <f>TRUNC((H17/H18*100000),5)/100000</f>
        <v>0.91565452910000011</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789</v>
      </c>
      <c r="G18" s="378"/>
      <c r="H18" s="1551">
        <f>SUM('Acct Summary 7-8'!C8+'Acct Summary 7-8'!D8+'Acct Summary 7-8'!F8+'Acct Summary 7-8'!I8)+H19</f>
        <v>4444554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8" t="s">
        <v>1395</v>
      </c>
      <c r="D24" s="2208"/>
      <c r="E24" s="213"/>
      <c r="F24" s="213" t="s">
        <v>442</v>
      </c>
      <c r="G24" s="378"/>
      <c r="H24" s="1551">
        <f>SUM('Assets-Liab 5-6'!C4+'Assets-Liab 5-6'!D4+'Assets-Liab 5-6'!F4+'Assets-Liab 5-6'!I4+'Assets-Liab 5-6'!C5+'Assets-Liab 5-6'!D5+'Assets-Liab 5-6'!F5+'Assets-Liab 5-6'!I5)</f>
        <v>1522813</v>
      </c>
      <c r="I24" s="394"/>
      <c r="J24" s="394"/>
      <c r="K24" s="1555">
        <f>TRUNC(((H24/H25*100000)/100000),2)</f>
        <v>134.69999999999999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11304.655559999999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993895.70334000001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1335000</v>
      </c>
      <c r="I32" s="392"/>
      <c r="J32" s="392"/>
      <c r="K32" s="1555">
        <f>TRUNC(100-((((H32/H33*100))*100)/100),2)</f>
        <v>72.98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4942171.2300000004</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3" activePane="bottomLeft" state="frozen"/>
      <selection activeCell="T24" sqref="T24"/>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1632</v>
      </c>
      <c r="B4" s="428"/>
      <c r="C4" s="1572">
        <v>1013384</v>
      </c>
      <c r="D4" s="1573">
        <v>14835</v>
      </c>
      <c r="E4" s="1573">
        <v>310420</v>
      </c>
      <c r="F4" s="1573">
        <v>94595</v>
      </c>
      <c r="G4" s="1573">
        <v>83674</v>
      </c>
      <c r="H4" s="1573">
        <v>0</v>
      </c>
      <c r="I4" s="1573">
        <v>399999</v>
      </c>
      <c r="J4" s="1574">
        <v>94479</v>
      </c>
      <c r="K4" s="1573">
        <v>69070</v>
      </c>
      <c r="L4" s="1573">
        <v>95568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1032</v>
      </c>
      <c r="D12" s="1573"/>
      <c r="E12" s="1573"/>
      <c r="F12" s="1573"/>
      <c r="G12" s="1573">
        <v>53</v>
      </c>
      <c r="H12" s="1573"/>
      <c r="I12" s="1573"/>
      <c r="J12" s="1574"/>
      <c r="K12" s="1573"/>
      <c r="L12" s="1573"/>
      <c r="M12" s="1576"/>
      <c r="N12" s="1576"/>
    </row>
    <row r="13" spans="1:14" ht="13.5" customHeight="1" thickBot="1" x14ac:dyDescent="0.25">
      <c r="A13" s="1426" t="s">
        <v>639</v>
      </c>
      <c r="B13" s="1407"/>
      <c r="C13" s="1587">
        <f>SUM(C4:C12)</f>
        <v>1014416</v>
      </c>
      <c r="D13" s="1587">
        <f t="shared" ref="D13:L13" si="0">SUM(D4:D12)</f>
        <v>14835</v>
      </c>
      <c r="E13" s="1587">
        <f t="shared" si="0"/>
        <v>310420</v>
      </c>
      <c r="F13" s="1587">
        <f t="shared" si="0"/>
        <v>94595</v>
      </c>
      <c r="G13" s="1587">
        <f t="shared" si="0"/>
        <v>83727</v>
      </c>
      <c r="H13" s="1587">
        <f t="shared" si="0"/>
        <v>0</v>
      </c>
      <c r="I13" s="1587">
        <f t="shared" si="0"/>
        <v>399999</v>
      </c>
      <c r="J13" s="1587">
        <f t="shared" si="0"/>
        <v>94479</v>
      </c>
      <c r="K13" s="1587">
        <f t="shared" si="0"/>
        <v>69070</v>
      </c>
      <c r="L13" s="1587">
        <f t="shared" si="0"/>
        <v>95568</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129737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7300840+201526</f>
        <v>7502366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202325+36015</f>
        <v>238340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192297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310420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1024580</v>
      </c>
    </row>
    <row r="23" spans="1:14" ht="13.5" customHeight="1" thickBot="1" x14ac:dyDescent="0.25">
      <c r="A23" s="1426" t="s">
        <v>638</v>
      </c>
      <c r="B23" s="1429"/>
      <c r="C23" s="1575"/>
      <c r="D23" s="1575"/>
      <c r="E23" s="1575"/>
      <c r="F23" s="1575"/>
      <c r="G23" s="1575"/>
      <c r="H23" s="1575"/>
      <c r="I23" s="1575"/>
      <c r="J23" s="1575"/>
      <c r="K23" s="1575"/>
      <c r="L23" s="1575"/>
      <c r="M23" s="1594">
        <f>SUM(M15:M22)</f>
        <v>8062740</v>
      </c>
      <c r="N23" s="1594">
        <f>SUM(N21:N22)</f>
        <v>1335000</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33</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95568</v>
      </c>
      <c r="M33" s="1575"/>
      <c r="N33" s="1576"/>
    </row>
    <row r="34" spans="1:14" ht="13.5" customHeight="1" thickBot="1" x14ac:dyDescent="0.25">
      <c r="A34" s="1427" t="s">
        <v>649</v>
      </c>
      <c r="B34" s="1428"/>
      <c r="C34" s="1600">
        <f>SUM(C25:C33)</f>
        <v>33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95568</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1335000</v>
      </c>
    </row>
    <row r="37" spans="1:14" ht="13.5" thickBot="1" x14ac:dyDescent="0.25">
      <c r="A37" s="1426" t="s">
        <v>648</v>
      </c>
      <c r="B37" s="1429"/>
      <c r="C37" s="1582"/>
      <c r="D37" s="1582"/>
      <c r="E37" s="1582"/>
      <c r="F37" s="1582"/>
      <c r="G37" s="1582"/>
      <c r="H37" s="1582"/>
      <c r="I37" s="1582"/>
      <c r="J37" s="1582"/>
      <c r="K37" s="1582"/>
      <c r="L37" s="1585"/>
      <c r="M37" s="1575"/>
      <c r="N37" s="1594">
        <f>SUM(N36:N36)</f>
        <v>1335000</v>
      </c>
    </row>
    <row r="38" spans="1:14" s="307" customFormat="1" ht="13.5" customHeight="1" thickTop="1" x14ac:dyDescent="0.2">
      <c r="A38" s="438" t="s">
        <v>417</v>
      </c>
      <c r="B38" s="432">
        <v>714</v>
      </c>
      <c r="C38" s="1573">
        <v>28899</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985484</v>
      </c>
      <c r="D39" s="1573">
        <f>'Acct Summary 7-8'!D81</f>
        <v>14835</v>
      </c>
      <c r="E39" s="1573">
        <v>310420</v>
      </c>
      <c r="F39" s="1573">
        <v>94595</v>
      </c>
      <c r="G39" s="1573">
        <v>83727</v>
      </c>
      <c r="H39" s="1573">
        <v>0</v>
      </c>
      <c r="I39" s="1573">
        <v>399999</v>
      </c>
      <c r="J39" s="1574">
        <v>94479</v>
      </c>
      <c r="K39" s="1573">
        <v>69070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8062740</v>
      </c>
      <c r="N40" s="1604"/>
    </row>
    <row r="41" spans="1:14" ht="13.5" customHeight="1" thickBot="1" x14ac:dyDescent="0.25">
      <c r="A41" s="1426" t="s">
        <v>650</v>
      </c>
      <c r="B41" s="1405"/>
      <c r="C41" s="1594">
        <f>(SUM(C34,C37,C38,C39))</f>
        <v>1014416</v>
      </c>
      <c r="D41" s="1594">
        <f t="shared" ref="D41:L41" si="2">SUM(D34,D37,D38:D39)</f>
        <v>14835</v>
      </c>
      <c r="E41" s="1594">
        <f t="shared" si="2"/>
        <v>310420</v>
      </c>
      <c r="F41" s="1594">
        <f t="shared" si="2"/>
        <v>94595</v>
      </c>
      <c r="G41" s="1594">
        <f t="shared" si="2"/>
        <v>83727</v>
      </c>
      <c r="H41" s="1594">
        <f t="shared" si="2"/>
        <v>0</v>
      </c>
      <c r="I41" s="1594">
        <f t="shared" si="2"/>
        <v>399999</v>
      </c>
      <c r="J41" s="1594">
        <f t="shared" si="2"/>
        <v>94479</v>
      </c>
      <c r="K41" s="1594">
        <f t="shared" si="2"/>
        <v>69070</v>
      </c>
      <c r="L41" s="1594">
        <f t="shared" si="2"/>
        <v>95568</v>
      </c>
      <c r="M41" s="1594">
        <f>SUM(M40)</f>
        <v>8062740</v>
      </c>
      <c r="N41" s="1594">
        <f>SUM(N37)</f>
        <v>1335000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7" activePane="bottomLeft" state="frozen"/>
      <selection activeCell="T24" sqref="T24"/>
      <selection pane="bottomLeft" activeCell="T24" sqref="T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1482</v>
      </c>
      <c r="B4" s="1538">
        <v>1000</v>
      </c>
      <c r="C4" s="1606">
        <f>'Revenues 9-14'!C109</f>
        <v>1144613</v>
      </c>
      <c r="D4" s="1606">
        <f>'Revenues 9-14'!D109</f>
        <v>204886</v>
      </c>
      <c r="E4" s="1606">
        <f>'Revenues 9-14'!E109</f>
        <v>258012</v>
      </c>
      <c r="F4" s="1606">
        <f>'Revenues 9-14'!F109</f>
        <v>129270</v>
      </c>
      <c r="G4" s="1606">
        <f>'Revenues 9-14'!G109</f>
        <v>136997</v>
      </c>
      <c r="H4" s="1606">
        <f>'Revenues 9-14'!H109</f>
        <v>142297</v>
      </c>
      <c r="I4" s="1606">
        <f>'Revenues 9-14'!I109</f>
        <v>18620</v>
      </c>
      <c r="J4" s="1606">
        <f>'Revenues 9-14'!J109</f>
        <v>95225</v>
      </c>
      <c r="K4" s="1606">
        <f>'Revenues 9-14'!K109</f>
        <v>17495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2395093</v>
      </c>
      <c r="D6" s="1607">
        <f>'Revenues 9-14'!D170</f>
        <v>0</v>
      </c>
      <c r="E6" s="1607">
        <f>'Revenues 9-14'!E170</f>
        <v>0</v>
      </c>
      <c r="F6" s="1607">
        <f>'Revenues 9-14'!F170</f>
        <v>217920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334152</v>
      </c>
      <c r="D7" s="1607">
        <f>'Revenues 9-14'!D267</f>
        <v>0</v>
      </c>
      <c r="E7" s="1607">
        <f>'Revenues 9-14'!E267</f>
        <v>6833</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3873858</v>
      </c>
      <c r="D8" s="1594">
        <f t="shared" ref="D8:K8" si="0">SUM(D4:D7)</f>
        <v>204886</v>
      </c>
      <c r="E8" s="1594">
        <f t="shared" si="0"/>
        <v>264845</v>
      </c>
      <c r="F8" s="1594">
        <f t="shared" si="0"/>
        <v>347190</v>
      </c>
      <c r="G8" s="1594">
        <f t="shared" si="0"/>
        <v>136997</v>
      </c>
      <c r="H8" s="1594">
        <f t="shared" si="0"/>
        <v>192297</v>
      </c>
      <c r="I8" s="1594">
        <f t="shared" si="0"/>
        <v>18620</v>
      </c>
      <c r="J8" s="1594">
        <f t="shared" si="0"/>
        <v>95225</v>
      </c>
      <c r="K8" s="1594">
        <f t="shared" si="0"/>
        <v>17495</v>
      </c>
      <c r="L8" s="325"/>
    </row>
    <row r="9" spans="1:13" ht="15.75" thickTop="1" x14ac:dyDescent="0.2">
      <c r="A9" s="449" t="s">
        <v>1634</v>
      </c>
      <c r="B9" s="450">
        <v>3998</v>
      </c>
      <c r="C9" s="1586">
        <v>1394043</v>
      </c>
      <c r="D9" s="1613"/>
      <c r="E9" s="1586"/>
      <c r="F9" s="1586"/>
      <c r="G9" s="1614"/>
      <c r="H9" s="1586"/>
      <c r="I9" s="1609" t="s">
        <v>1159</v>
      </c>
      <c r="J9" s="1583"/>
      <c r="K9" s="1586"/>
      <c r="L9" s="325"/>
    </row>
    <row r="10" spans="1:13" s="452" customFormat="1" ht="13.5" thickBot="1" x14ac:dyDescent="0.25">
      <c r="A10" s="1426" t="s">
        <v>1163</v>
      </c>
      <c r="B10" s="1407"/>
      <c r="C10" s="1594">
        <f>SUM(C8:C9)</f>
        <v>5267901</v>
      </c>
      <c r="D10" s="1594">
        <f t="shared" ref="D10:K10" si="1">SUM(D8:D9)</f>
        <v>204886</v>
      </c>
      <c r="E10" s="1594">
        <f t="shared" si="1"/>
        <v>264845</v>
      </c>
      <c r="F10" s="1594">
        <f t="shared" si="1"/>
        <v>347190</v>
      </c>
      <c r="G10" s="1594">
        <f t="shared" si="1"/>
        <v>136997</v>
      </c>
      <c r="H10" s="1594">
        <f t="shared" si="1"/>
        <v>192297</v>
      </c>
      <c r="I10" s="1594">
        <f t="shared" si="1"/>
        <v>18620</v>
      </c>
      <c r="J10" s="1594">
        <f t="shared" si="1"/>
        <v>95225</v>
      </c>
      <c r="K10" s="1594">
        <f t="shared" si="1"/>
        <v>17495</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1806969</v>
      </c>
      <c r="D12" s="1616" t="s">
        <v>1159</v>
      </c>
      <c r="E12" s="1575" t="s">
        <v>1159</v>
      </c>
      <c r="F12" s="1575" t="s">
        <v>1159</v>
      </c>
      <c r="G12" s="1606">
        <f>'Expenditures 15-22'!K229</f>
        <v>27560</v>
      </c>
      <c r="H12" s="1617"/>
      <c r="I12" s="1575" t="s">
        <v>1159</v>
      </c>
      <c r="J12" s="1575" t="s">
        <v>1159</v>
      </c>
      <c r="K12" s="1617" t="s">
        <v>1159</v>
      </c>
      <c r="L12" s="325"/>
    </row>
    <row r="13" spans="1:13" ht="15.75" customHeight="1" x14ac:dyDescent="0.2">
      <c r="A13" s="1314" t="s">
        <v>454</v>
      </c>
      <c r="B13" s="1316">
        <v>2000</v>
      </c>
      <c r="C13" s="1607">
        <f>'Expenditures 15-22'!K74</f>
        <v>1192163</v>
      </c>
      <c r="D13" s="1607">
        <f>'Expenditures 15-22'!K129</f>
        <v>219673</v>
      </c>
      <c r="E13" s="1576" t="s">
        <v>1159</v>
      </c>
      <c r="F13" s="1607">
        <f>'Expenditures 15-22'!K184</f>
        <v>308261</v>
      </c>
      <c r="G13" s="1607">
        <f>'Expenditures 15-22'!K279</f>
        <v>83213</v>
      </c>
      <c r="H13" s="1607">
        <f>'Expenditures 15-22'!K303</f>
        <v>192297</v>
      </c>
      <c r="I13" s="1575" t="s">
        <v>1159</v>
      </c>
      <c r="J13" s="1607">
        <f>'Expenditures 15-22'!K330</f>
        <v>68557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517015</v>
      </c>
      <c r="D15" s="1607">
        <f>'Expenditures 15-22'!K139</f>
        <v>0</v>
      </c>
      <c r="E15" s="1607">
        <f>'Expenditures 15-22'!K160</f>
        <v>0</v>
      </c>
      <c r="F15" s="1607">
        <f>'Expenditures 15-22'!K196</f>
        <v>25595</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317701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3516147</v>
      </c>
      <c r="D17" s="1594">
        <f t="shared" si="2"/>
        <v>219673</v>
      </c>
      <c r="E17" s="1594">
        <f t="shared" si="2"/>
        <v>317701</v>
      </c>
      <c r="F17" s="1594">
        <f t="shared" si="2"/>
        <v>333856</v>
      </c>
      <c r="G17" s="1594">
        <f t="shared" si="2"/>
        <v>110773</v>
      </c>
      <c r="H17" s="1594">
        <f t="shared" si="2"/>
        <v>192297</v>
      </c>
      <c r="I17" s="1575"/>
      <c r="J17" s="1594">
        <f>SUM(J12:J16)</f>
        <v>68557</v>
      </c>
      <c r="K17" s="1594">
        <f>SUM(K12:K16)</f>
        <v>0</v>
      </c>
      <c r="L17" s="325"/>
    </row>
    <row r="18" spans="1:12" ht="15" customHeight="1" thickTop="1" x14ac:dyDescent="0.2">
      <c r="A18" s="1430" t="s">
        <v>1635</v>
      </c>
      <c r="B18" s="1431">
        <v>4180</v>
      </c>
      <c r="C18" s="1606">
        <f t="shared" ref="C18:H18" si="3">C9</f>
        <v>1394043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4910190</v>
      </c>
      <c r="D19" s="1594">
        <f t="shared" si="4"/>
        <v>219673</v>
      </c>
      <c r="E19" s="1594">
        <f t="shared" si="4"/>
        <v>317701</v>
      </c>
      <c r="F19" s="1594">
        <f t="shared" si="4"/>
        <v>333856</v>
      </c>
      <c r="G19" s="1594">
        <f t="shared" si="4"/>
        <v>110773</v>
      </c>
      <c r="H19" s="1594">
        <f t="shared" si="4"/>
        <v>192297</v>
      </c>
      <c r="I19" s="1575"/>
      <c r="J19" s="1594">
        <f>SUM(J17:J18)</f>
        <v>68557</v>
      </c>
      <c r="K19" s="1594">
        <f>SUM(K17:K18)</f>
        <v>0</v>
      </c>
      <c r="L19" s="325"/>
    </row>
    <row r="20" spans="1:12" ht="16.5" thickTop="1" thickBot="1" x14ac:dyDescent="0.25">
      <c r="A20" s="2236" t="s">
        <v>1636</v>
      </c>
      <c r="B20" s="2237"/>
      <c r="C20" s="1622">
        <f>C8-C17</f>
        <v>357711</v>
      </c>
      <c r="D20" s="1622">
        <f t="shared" ref="D20:K20" si="5">D8-D17</f>
        <v>-14787</v>
      </c>
      <c r="E20" s="1622">
        <f t="shared" si="5"/>
        <v>-52856</v>
      </c>
      <c r="F20" s="1622">
        <f t="shared" si="5"/>
        <v>13334</v>
      </c>
      <c r="G20" s="1622">
        <f t="shared" si="5"/>
        <v>26224</v>
      </c>
      <c r="H20" s="1622">
        <f t="shared" si="5"/>
        <v>0</v>
      </c>
      <c r="I20" s="1622">
        <f t="shared" si="5"/>
        <v>18620</v>
      </c>
      <c r="J20" s="1622">
        <f t="shared" si="5"/>
        <v>26668</v>
      </c>
      <c r="K20" s="1622">
        <f t="shared" si="5"/>
        <v>17495</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0" t="s">
        <v>371</v>
      </c>
      <c r="B44" s="2251"/>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6" t="s">
        <v>437</v>
      </c>
      <c r="B76" s="2227"/>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8" t="s">
        <v>1167</v>
      </c>
      <c r="B77" s="2229"/>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2" t="s">
        <v>593</v>
      </c>
      <c r="B78" s="2233"/>
      <c r="C78" s="1629">
        <f t="shared" ref="C78:K78" si="9">C20+C77</f>
        <v>357711</v>
      </c>
      <c r="D78" s="1629">
        <f t="shared" si="9"/>
        <v>-14787</v>
      </c>
      <c r="E78" s="1629">
        <f t="shared" si="9"/>
        <v>-52856</v>
      </c>
      <c r="F78" s="1629">
        <f t="shared" si="9"/>
        <v>13334</v>
      </c>
      <c r="G78" s="1629">
        <f t="shared" si="9"/>
        <v>26224</v>
      </c>
      <c r="H78" s="1629">
        <f t="shared" si="9"/>
        <v>0</v>
      </c>
      <c r="I78" s="1629">
        <f t="shared" si="9"/>
        <v>18620</v>
      </c>
      <c r="J78" s="1629">
        <f t="shared" si="9"/>
        <v>26668</v>
      </c>
      <c r="K78" s="1629">
        <f t="shared" si="9"/>
        <v>17495</v>
      </c>
      <c r="L78" s="457"/>
    </row>
    <row r="79" spans="1:12" ht="13.5" thickTop="1" x14ac:dyDescent="0.2">
      <c r="A79" s="1844" t="str">
        <f>"Fund Balances - July 1, "&amp;'AFR20'!E2-1</f>
        <v>Fund Balances - July 1, 2019</v>
      </c>
      <c r="B79" s="458"/>
      <c r="C79" s="1583">
        <v>656672</v>
      </c>
      <c r="D79" s="1630">
        <v>29622</v>
      </c>
      <c r="E79" s="1630">
        <v>363276</v>
      </c>
      <c r="F79" s="1630">
        <v>81261</v>
      </c>
      <c r="G79" s="1630">
        <v>57503</v>
      </c>
      <c r="H79" s="1630"/>
      <c r="I79" s="1630">
        <v>381379</v>
      </c>
      <c r="J79" s="1630">
        <v>67811</v>
      </c>
      <c r="K79" s="1630">
        <v>51575</v>
      </c>
      <c r="L79" s="325"/>
    </row>
    <row r="80" spans="1:12" x14ac:dyDescent="0.2">
      <c r="A80" s="2238" t="s">
        <v>1772</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1014383</v>
      </c>
      <c r="D81" s="1594">
        <f>SUM(D78:D80)</f>
        <v>14835</v>
      </c>
      <c r="E81" s="1594">
        <f t="shared" ref="E81:K81" si="10">SUM(E78:E80)</f>
        <v>310420</v>
      </c>
      <c r="F81" s="1594">
        <f t="shared" si="10"/>
        <v>94595</v>
      </c>
      <c r="G81" s="1594">
        <f t="shared" si="10"/>
        <v>83727</v>
      </c>
      <c r="H81" s="1594">
        <f t="shared" si="10"/>
        <v>0</v>
      </c>
      <c r="I81" s="1594">
        <f t="shared" si="10"/>
        <v>399999</v>
      </c>
      <c r="J81" s="1594">
        <f t="shared" si="10"/>
        <v>94479</v>
      </c>
      <c r="K81" s="1594">
        <f t="shared" si="10"/>
        <v>69070</v>
      </c>
      <c r="L81" s="325"/>
    </row>
    <row r="82" spans="1:12" ht="0.75" customHeight="1" thickTop="1" thickBot="1" x14ac:dyDescent="0.25">
      <c r="A82" s="459" t="s">
        <v>340</v>
      </c>
      <c r="B82" s="460"/>
      <c r="C82" s="461">
        <f>(C81-C79)</f>
        <v>357711</v>
      </c>
      <c r="D82" s="461">
        <f t="shared" ref="D82:K82" si="11">(D81-D79)</f>
        <v>-14787</v>
      </c>
      <c r="E82" s="461">
        <f t="shared" si="11"/>
        <v>-52856</v>
      </c>
      <c r="F82" s="461">
        <f t="shared" si="11"/>
        <v>13334</v>
      </c>
      <c r="G82" s="461">
        <f t="shared" si="11"/>
        <v>26224</v>
      </c>
      <c r="H82" s="461">
        <f t="shared" si="11"/>
        <v>0</v>
      </c>
      <c r="I82" s="461">
        <f t="shared" si="11"/>
        <v>18620</v>
      </c>
      <c r="J82" s="461">
        <f t="shared" si="11"/>
        <v>26668</v>
      </c>
      <c r="K82" s="461">
        <f t="shared" si="11"/>
        <v>17495</v>
      </c>
    </row>
    <row r="83" spans="1:12" ht="14.25" hidden="1" thickTop="1" thickBot="1" x14ac:dyDescent="0.25">
      <c r="A83" s="462" t="s">
        <v>341</v>
      </c>
      <c r="B83" s="428"/>
      <c r="C83" s="463">
        <f>C82/C81</f>
        <v>0.35263899335852433</v>
      </c>
      <c r="D83" s="463">
        <f t="shared" ref="D83:K83" si="12">D82/D81</f>
        <v>-0.99676440849342773</v>
      </c>
      <c r="E83" s="463">
        <f t="shared" si="12"/>
        <v>-0.17027253398621223</v>
      </c>
      <c r="F83" s="463">
        <f t="shared" si="12"/>
        <v>0.14095882446218089</v>
      </c>
      <c r="G83" s="463">
        <f t="shared" si="12"/>
        <v>0.31320840350185725</v>
      </c>
      <c r="H83" s="463" t="e">
        <f t="shared" si="12"/>
        <v>#DIV/0!</v>
      </c>
      <c r="I83" s="463">
        <f t="shared" si="12"/>
        <v>4.655011637529094E-2</v>
      </c>
      <c r="J83" s="463">
        <f t="shared" si="12"/>
        <v>0.2822637834862774</v>
      </c>
      <c r="K83" s="463">
        <f t="shared" si="12"/>
        <v>0.25329375995367021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5" activePane="bottomLeft" state="frozen"/>
      <selection activeCell="T24" sqref="T2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889030</v>
      </c>
      <c r="D5" s="1586">
        <v>171367</v>
      </c>
      <c r="E5" s="1573">
        <v>53998</v>
      </c>
      <c r="F5" s="1631">
        <v>67193</v>
      </c>
      <c r="G5" s="1573">
        <v>50237</v>
      </c>
      <c r="H5" s="1573"/>
      <c r="I5" s="1573">
        <v>15311</v>
      </c>
      <c r="J5" s="1574">
        <v>93798</v>
      </c>
      <c r="K5" s="1573">
        <v>16862</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13530</v>
      </c>
      <c r="D7" s="1573"/>
      <c r="E7" s="1575"/>
      <c r="F7" s="1574"/>
      <c r="G7" s="1574"/>
      <c r="H7" s="1574"/>
      <c r="I7" s="1575"/>
      <c r="J7" s="1575"/>
      <c r="K7" s="1575"/>
    </row>
    <row r="8" spans="1:12" x14ac:dyDescent="0.2">
      <c r="A8" s="427" t="s">
        <v>410</v>
      </c>
      <c r="B8" s="429">
        <v>1150</v>
      </c>
      <c r="C8" s="1580"/>
      <c r="D8" s="1580"/>
      <c r="E8" s="1582"/>
      <c r="F8" s="1582"/>
      <c r="G8" s="1586">
        <v>50237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902560</v>
      </c>
      <c r="D12" s="1633">
        <f t="shared" si="0"/>
        <v>171367</v>
      </c>
      <c r="E12" s="1633">
        <f t="shared" si="0"/>
        <v>53998</v>
      </c>
      <c r="F12" s="1633">
        <f t="shared" si="0"/>
        <v>67193</v>
      </c>
      <c r="G12" s="1633">
        <f t="shared" si="0"/>
        <v>100474</v>
      </c>
      <c r="H12" s="1633">
        <f t="shared" si="0"/>
        <v>0</v>
      </c>
      <c r="I12" s="1633">
        <f t="shared" si="0"/>
        <v>15311</v>
      </c>
      <c r="J12" s="1633">
        <f t="shared" si="0"/>
        <v>93798</v>
      </c>
      <c r="K12" s="1594">
        <f t="shared" si="0"/>
        <v>16862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5710</v>
      </c>
      <c r="D14" s="1573">
        <v>1084</v>
      </c>
      <c r="E14" s="1573">
        <v>342</v>
      </c>
      <c r="F14" s="1573">
        <v>425</v>
      </c>
      <c r="G14" s="1573">
        <v>636</v>
      </c>
      <c r="H14" s="1573"/>
      <c r="I14" s="1573">
        <v>97</v>
      </c>
      <c r="J14" s="1574">
        <v>593</v>
      </c>
      <c r="K14" s="1573">
        <v>107</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161563</v>
      </c>
      <c r="D16" s="1573">
        <v>31879</v>
      </c>
      <c r="E16" s="1573"/>
      <c r="F16" s="1573">
        <v>61367</v>
      </c>
      <c r="G16" s="1573">
        <v>35000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167273</v>
      </c>
      <c r="D18" s="1635">
        <f t="shared" ref="D18:K18" si="1">SUM(D14:D17)</f>
        <v>32963</v>
      </c>
      <c r="E18" s="1635">
        <f t="shared" si="1"/>
        <v>342</v>
      </c>
      <c r="F18" s="1635">
        <f t="shared" si="1"/>
        <v>61792</v>
      </c>
      <c r="G18" s="1635">
        <f t="shared" si="1"/>
        <v>35636</v>
      </c>
      <c r="H18" s="1635">
        <f t="shared" si="1"/>
        <v>0</v>
      </c>
      <c r="I18" s="1635">
        <f t="shared" si="1"/>
        <v>97</v>
      </c>
      <c r="J18" s="1635">
        <f t="shared" si="1"/>
        <v>593</v>
      </c>
      <c r="K18" s="1636">
        <f t="shared" si="1"/>
        <v>107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7924</v>
      </c>
      <c r="D65" s="1573">
        <v>556</v>
      </c>
      <c r="E65" s="1573">
        <v>2877</v>
      </c>
      <c r="F65" s="1574">
        <v>285</v>
      </c>
      <c r="G65" s="1573">
        <f>888-1</f>
        <v>887</v>
      </c>
      <c r="H65" s="1573"/>
      <c r="I65" s="1573">
        <v>3212</v>
      </c>
      <c r="J65" s="1574">
        <v>834</v>
      </c>
      <c r="K65" s="1573">
        <v>526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7924</v>
      </c>
      <c r="D67" s="1594">
        <f t="shared" ref="D67:K67" si="2">SUM(D65:D66)</f>
        <v>556</v>
      </c>
      <c r="E67" s="1594">
        <f t="shared" si="2"/>
        <v>2877</v>
      </c>
      <c r="F67" s="1594">
        <f t="shared" si="2"/>
        <v>285</v>
      </c>
      <c r="G67" s="1594">
        <f t="shared" si="2"/>
        <v>887</v>
      </c>
      <c r="H67" s="1594">
        <f t="shared" si="2"/>
        <v>0</v>
      </c>
      <c r="I67" s="1594">
        <f t="shared" si="2"/>
        <v>3212</v>
      </c>
      <c r="J67" s="1594">
        <f t="shared" si="2"/>
        <v>834</v>
      </c>
      <c r="K67" s="1594">
        <f t="shared" si="2"/>
        <v>526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243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397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29025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7517</v>
      </c>
      <c r="D81" s="1573"/>
      <c r="E81" s="1575"/>
      <c r="F81" s="1575"/>
      <c r="G81" s="1575"/>
      <c r="H81" s="1575"/>
      <c r="I81" s="1575"/>
      <c r="J81" s="1575"/>
      <c r="K81" s="1575"/>
    </row>
    <row r="82" spans="1:11" ht="12.75" customHeight="1" thickBot="1" x14ac:dyDescent="0.25">
      <c r="A82" s="1406" t="s">
        <v>239</v>
      </c>
      <c r="B82" s="1407"/>
      <c r="C82" s="1633">
        <f>SUM(C77:C81)</f>
        <v>36542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11725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v>11293</v>
      </c>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23018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2783</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900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200795</v>
      </c>
      <c r="F103" s="1575"/>
      <c r="G103" s="1575"/>
      <c r="H103" s="1573">
        <v>142297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3216</v>
      </c>
      <c r="D107" s="1573"/>
      <c r="E107" s="1573"/>
      <c r="F107" s="1573"/>
      <c r="G107" s="1573"/>
      <c r="H107" s="2034"/>
      <c r="I107" s="1573"/>
      <c r="J107" s="1574"/>
      <c r="K107" s="1573"/>
    </row>
    <row r="108" spans="1:12" ht="12.75" customHeight="1" thickBot="1" x14ac:dyDescent="0.25">
      <c r="A108" s="1406" t="s">
        <v>484</v>
      </c>
      <c r="B108" s="1408"/>
      <c r="C108" s="1633">
        <f>SUM(C95:C107)</f>
        <v>6899</v>
      </c>
      <c r="D108" s="1633">
        <f t="shared" ref="D108:K108" si="3">SUM(D95:D107)</f>
        <v>0</v>
      </c>
      <c r="E108" s="1633">
        <f t="shared" si="3"/>
        <v>200795</v>
      </c>
      <c r="F108" s="1633">
        <f t="shared" si="3"/>
        <v>0</v>
      </c>
      <c r="G108" s="1633">
        <f t="shared" si="3"/>
        <v>0</v>
      </c>
      <c r="H108" s="1633">
        <f>SUM(H95:H106)</f>
        <v>142297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1144613</v>
      </c>
      <c r="D109" s="1641">
        <f t="shared" si="4"/>
        <v>204886</v>
      </c>
      <c r="E109" s="1641">
        <f t="shared" si="4"/>
        <v>258012</v>
      </c>
      <c r="F109" s="1641">
        <f t="shared" si="4"/>
        <v>129270</v>
      </c>
      <c r="G109" s="1641">
        <f t="shared" si="4"/>
        <v>136997</v>
      </c>
      <c r="H109" s="1641">
        <f t="shared" si="4"/>
        <v>142297</v>
      </c>
      <c r="I109" s="1641">
        <f t="shared" si="4"/>
        <v>18620</v>
      </c>
      <c r="J109" s="1641">
        <f t="shared" si="4"/>
        <v>95225</v>
      </c>
      <c r="K109" s="1629">
        <f t="shared" si="4"/>
        <v>17495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2347702</v>
      </c>
      <c r="D117" s="1586"/>
      <c r="E117" s="1573"/>
      <c r="F117" s="1586">
        <v>40000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2347702</v>
      </c>
      <c r="D122" s="1633">
        <f t="shared" si="5"/>
        <v>0</v>
      </c>
      <c r="E122" s="1633">
        <f t="shared" si="5"/>
        <v>0</v>
      </c>
      <c r="F122" s="1633">
        <f t="shared" si="5"/>
        <v>40000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24860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24860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14265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14265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2501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5015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177920</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177920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4" t="s">
        <v>395</v>
      </c>
      <c r="B169" s="2255"/>
      <c r="C169" s="1658">
        <f t="shared" ref="C169:K169" si="6">SUM(C132,C141,C145,C146:C150,C155,C156:C167,C168)</f>
        <v>47391</v>
      </c>
      <c r="D169" s="1658">
        <f t="shared" si="6"/>
        <v>0</v>
      </c>
      <c r="E169" s="1658">
        <f t="shared" si="6"/>
        <v>0</v>
      </c>
      <c r="F169" s="1658">
        <f t="shared" si="6"/>
        <v>177920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2395093</v>
      </c>
      <c r="D170" s="1641">
        <f t="shared" si="7"/>
        <v>0</v>
      </c>
      <c r="E170" s="1641">
        <f t="shared" si="7"/>
        <v>0</v>
      </c>
      <c r="F170" s="1641">
        <f t="shared" si="7"/>
        <v>217920</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1475</v>
      </c>
      <c r="B172" s="225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0" t="s">
        <v>1646</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1645</v>
      </c>
      <c r="B176" s="226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1780</v>
      </c>
      <c r="B182" s="22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108395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40914</v>
      </c>
      <c r="D193" s="1575"/>
      <c r="E193" s="1640"/>
      <c r="F193" s="1575"/>
      <c r="G193" s="1664"/>
      <c r="H193" s="1575"/>
      <c r="I193" s="1575"/>
      <c r="J193" s="1575"/>
      <c r="K193" s="1575"/>
    </row>
    <row r="194" spans="1:11" ht="12.75" customHeight="1" x14ac:dyDescent="0.2">
      <c r="A194" s="427" t="s">
        <v>1434</v>
      </c>
      <c r="B194" s="429">
        <v>4225</v>
      </c>
      <c r="C194" s="1632">
        <v>21077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170386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105765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105765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v>6833</v>
      </c>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6833</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15769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2006</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40226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334152</v>
      </c>
      <c r="D266" s="1641">
        <f t="shared" si="10"/>
        <v>0</v>
      </c>
      <c r="E266" s="1641">
        <f t="shared" si="10"/>
        <v>6833</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334152</v>
      </c>
      <c r="D267" s="1641">
        <f>SUM(D175,D181,D266)</f>
        <v>0</v>
      </c>
      <c r="E267" s="1641">
        <f>SUM(E175,E266)</f>
        <v>6833</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3873858</v>
      </c>
      <c r="D268" s="1641">
        <f t="shared" si="12"/>
        <v>204886</v>
      </c>
      <c r="E268" s="1641">
        <f t="shared" si="12"/>
        <v>264845</v>
      </c>
      <c r="F268" s="1641">
        <f t="shared" si="12"/>
        <v>347190</v>
      </c>
      <c r="G268" s="1641">
        <f t="shared" si="12"/>
        <v>136997</v>
      </c>
      <c r="H268" s="1641">
        <f t="shared" si="12"/>
        <v>192297</v>
      </c>
      <c r="I268" s="1641">
        <f t="shared" si="12"/>
        <v>18620</v>
      </c>
      <c r="J268" s="1641">
        <f t="shared" si="12"/>
        <v>95225</v>
      </c>
      <c r="K268" s="1629">
        <f t="shared" si="12"/>
        <v>17495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T24" sqref="T24"/>
      <selection pane="bottomLeft" activeCell="L114" sqref="L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15026+689831+8200+8750+24414+16747+22775+467742+26835</f>
        <v>1280320</v>
      </c>
      <c r="D5" s="1573">
        <f>21+62762+3+1099+13836+4+195+1+362+26+4+2660+115402+40541+9042+203+1328+50071</f>
        <v>297560</v>
      </c>
      <c r="E5" s="1573">
        <f>-12+760+6000+165+760+6000</f>
        <v>13673</v>
      </c>
      <c r="F5" s="1573">
        <f>7245+541+65886+471+331+230-13786+41060-9838+10018</f>
        <v>102158</v>
      </c>
      <c r="G5" s="1573">
        <f>13786+9838</f>
        <v>23624</v>
      </c>
      <c r="H5" s="1573">
        <f>3913+1590</f>
        <v>5503</v>
      </c>
      <c r="I5" s="1574"/>
      <c r="J5" s="1574"/>
      <c r="K5" s="1672">
        <f>SUM(C5:J5)</f>
        <v>1722838</v>
      </c>
      <c r="L5" s="1573">
        <v>1720946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c r="D8" s="1573"/>
      <c r="E8" s="1573"/>
      <c r="F8" s="1573"/>
      <c r="G8" s="1573"/>
      <c r="H8" s="1573"/>
      <c r="I8" s="1574"/>
      <c r="J8" s="1574"/>
      <c r="K8" s="1672">
        <f t="shared" si="0"/>
        <v>0</v>
      </c>
      <c r="L8" s="1573">
        <v>0</v>
      </c>
    </row>
    <row r="9" spans="1:14" x14ac:dyDescent="0.2">
      <c r="A9" s="1274" t="s">
        <v>716</v>
      </c>
      <c r="B9" s="503" t="s">
        <v>962</v>
      </c>
      <c r="C9" s="2036"/>
      <c r="D9" s="2036"/>
      <c r="E9" s="1574"/>
      <c r="F9" s="2036"/>
      <c r="G9" s="1574"/>
      <c r="H9" s="1574"/>
      <c r="I9" s="1574"/>
      <c r="J9" s="1574"/>
      <c r="K9" s="1672">
        <f t="shared" si="0"/>
        <v>0</v>
      </c>
      <c r="L9" s="1573">
        <v>0</v>
      </c>
    </row>
    <row r="10" spans="1:14" x14ac:dyDescent="0.2">
      <c r="A10" s="1274" t="s">
        <v>717</v>
      </c>
      <c r="B10" s="503">
        <v>1250</v>
      </c>
      <c r="C10" s="1574">
        <v>36733</v>
      </c>
      <c r="D10" s="1574">
        <f>6870+733+7461+19</f>
        <v>15083</v>
      </c>
      <c r="E10" s="1573"/>
      <c r="F10" s="1574">
        <v>318</v>
      </c>
      <c r="G10" s="1573"/>
      <c r="H10" s="1573"/>
      <c r="I10" s="1574"/>
      <c r="J10" s="1574"/>
      <c r="K10" s="1672">
        <f>SUM(C10:J10)</f>
        <v>52134</v>
      </c>
      <c r="L10" s="1573">
        <v>52135</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c r="D14" s="1573"/>
      <c r="E14" s="1573">
        <v>14344</v>
      </c>
      <c r="F14" s="1573">
        <v>15823</v>
      </c>
      <c r="G14" s="1573"/>
      <c r="H14" s="1573">
        <v>1830</v>
      </c>
      <c r="I14" s="1574"/>
      <c r="J14" s="1574"/>
      <c r="K14" s="1672">
        <f t="shared" si="0"/>
        <v>31997</v>
      </c>
      <c r="L14" s="1573">
        <v>31996</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1317053</v>
      </c>
      <c r="D33" s="1674">
        <f t="shared" ref="D33:L33" si="1">SUM(D5:D32)</f>
        <v>312643</v>
      </c>
      <c r="E33" s="1674">
        <f t="shared" si="1"/>
        <v>28017</v>
      </c>
      <c r="F33" s="1674">
        <f t="shared" si="1"/>
        <v>118299</v>
      </c>
      <c r="G33" s="1674">
        <f t="shared" si="1"/>
        <v>23624</v>
      </c>
      <c r="H33" s="1674">
        <f t="shared" si="1"/>
        <v>7333</v>
      </c>
      <c r="I33" s="1674">
        <f t="shared" si="1"/>
        <v>0</v>
      </c>
      <c r="J33" s="1674">
        <f t="shared" si="1"/>
        <v>0</v>
      </c>
      <c r="K33" s="1674">
        <f t="shared" si="1"/>
        <v>1806969</v>
      </c>
      <c r="L33" s="1674">
        <f t="shared" si="1"/>
        <v>1805077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f>20608+73902</f>
        <v>94510</v>
      </c>
      <c r="D37" s="1573">
        <f>6545+1476+23+7461</f>
        <v>15505</v>
      </c>
      <c r="E37" s="1573"/>
      <c r="F37" s="1573"/>
      <c r="G37" s="1573"/>
      <c r="H37" s="1573"/>
      <c r="I37" s="1574"/>
      <c r="J37" s="1574"/>
      <c r="K37" s="1672">
        <f t="shared" si="2"/>
        <v>110015</v>
      </c>
      <c r="L37" s="1573">
        <v>110015</v>
      </c>
    </row>
    <row r="38" spans="1:14" x14ac:dyDescent="0.2">
      <c r="A38" s="1274" t="s">
        <v>196</v>
      </c>
      <c r="B38" s="503">
        <v>2130</v>
      </c>
      <c r="C38" s="1573">
        <f>20790+1028</f>
        <v>21818</v>
      </c>
      <c r="D38" s="2036">
        <f>22+1704</f>
        <v>1726</v>
      </c>
      <c r="E38" s="1573">
        <f>400+954</f>
        <v>1354</v>
      </c>
      <c r="F38" s="1573">
        <f>1365-935</f>
        <v>430</v>
      </c>
      <c r="G38" s="1573">
        <v>935</v>
      </c>
      <c r="H38" s="1573"/>
      <c r="I38" s="1574"/>
      <c r="J38" s="1574"/>
      <c r="K38" s="1672">
        <f t="shared" si="2"/>
        <v>26263</v>
      </c>
      <c r="L38" s="1573">
        <v>25863</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v>6458</v>
      </c>
      <c r="D41" s="1573">
        <v>34</v>
      </c>
      <c r="E41" s="1573"/>
      <c r="F41" s="1573"/>
      <c r="G41" s="1573"/>
      <c r="H41" s="1573"/>
      <c r="I41" s="1574"/>
      <c r="J41" s="1574"/>
      <c r="K41" s="1672">
        <f t="shared" si="2"/>
        <v>6492</v>
      </c>
      <c r="L41" s="1573">
        <v>6458</v>
      </c>
    </row>
    <row r="42" spans="1:14" ht="12.75" customHeight="1" thickBot="1" x14ac:dyDescent="0.25">
      <c r="A42" s="1380" t="s">
        <v>556</v>
      </c>
      <c r="B42" s="1381" t="s">
        <v>711</v>
      </c>
      <c r="C42" s="1674">
        <f>SUM(C36:C41)</f>
        <v>122786</v>
      </c>
      <c r="D42" s="1674">
        <f t="shared" ref="D42:L42" si="3">SUM(D36:D41)</f>
        <v>17265</v>
      </c>
      <c r="E42" s="1674">
        <f t="shared" si="3"/>
        <v>1354</v>
      </c>
      <c r="F42" s="1674">
        <f t="shared" si="3"/>
        <v>430</v>
      </c>
      <c r="G42" s="1674">
        <f t="shared" si="3"/>
        <v>935</v>
      </c>
      <c r="H42" s="1674">
        <f t="shared" si="3"/>
        <v>0</v>
      </c>
      <c r="I42" s="1674">
        <f t="shared" si="3"/>
        <v>0</v>
      </c>
      <c r="J42" s="1674">
        <f t="shared" si="3"/>
        <v>0</v>
      </c>
      <c r="K42" s="1674">
        <f t="shared" si="3"/>
        <v>142770</v>
      </c>
      <c r="L42" s="1674">
        <f t="shared" si="3"/>
        <v>142336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f>10902+1650</f>
        <v>12552</v>
      </c>
      <c r="F44" s="1586">
        <f>297+17260</f>
        <v>17557</v>
      </c>
      <c r="G44" s="1586">
        <v>19968</v>
      </c>
      <c r="H44" s="1586"/>
      <c r="I44" s="1574"/>
      <c r="J44" s="1574"/>
      <c r="K44" s="1678">
        <f>SUM(C44:J44)</f>
        <v>50077</v>
      </c>
      <c r="L44" s="1586">
        <v>50077</v>
      </c>
    </row>
    <row r="45" spans="1:14" x14ac:dyDescent="0.2">
      <c r="A45" s="1274" t="s">
        <v>810</v>
      </c>
      <c r="B45" s="503">
        <v>2220</v>
      </c>
      <c r="C45" s="1573">
        <v>52229</v>
      </c>
      <c r="D45" s="1573">
        <f>4605+1038+23+7711</f>
        <v>13377</v>
      </c>
      <c r="E45" s="1573"/>
      <c r="F45" s="1573">
        <f>14463+76+681+69</f>
        <v>15289</v>
      </c>
      <c r="G45" s="1573"/>
      <c r="H45" s="1573"/>
      <c r="I45" s="1574"/>
      <c r="J45" s="1574"/>
      <c r="K45" s="1678">
        <f>SUM(C45:J45)</f>
        <v>80895</v>
      </c>
      <c r="L45" s="1573">
        <v>80896</v>
      </c>
    </row>
    <row r="46" spans="1:14" x14ac:dyDescent="0.2">
      <c r="A46" s="1274" t="s">
        <v>811</v>
      </c>
      <c r="B46" s="503">
        <v>2230</v>
      </c>
      <c r="C46" s="1573"/>
      <c r="D46" s="1573"/>
      <c r="E46" s="1573">
        <v>2086</v>
      </c>
      <c r="F46" s="1573">
        <v>1088</v>
      </c>
      <c r="G46" s="1573"/>
      <c r="H46" s="1573"/>
      <c r="I46" s="1574"/>
      <c r="J46" s="1574"/>
      <c r="K46" s="1678">
        <f>SUM(C46:J46)</f>
        <v>3174</v>
      </c>
      <c r="L46" s="1573">
        <v>3174</v>
      </c>
    </row>
    <row r="47" spans="1:14" ht="12.75" customHeight="1" thickBot="1" x14ac:dyDescent="0.25">
      <c r="A47" s="1380" t="s">
        <v>557</v>
      </c>
      <c r="B47" s="1381" t="s">
        <v>32</v>
      </c>
      <c r="C47" s="1674">
        <f>SUM(C44:C46)</f>
        <v>52229</v>
      </c>
      <c r="D47" s="1674">
        <f t="shared" ref="D47:K47" si="4">SUM(D44:D46)</f>
        <v>13377</v>
      </c>
      <c r="E47" s="1674">
        <f t="shared" si="4"/>
        <v>14638</v>
      </c>
      <c r="F47" s="1674">
        <f t="shared" si="4"/>
        <v>33934</v>
      </c>
      <c r="G47" s="1674">
        <f t="shared" si="4"/>
        <v>19968</v>
      </c>
      <c r="H47" s="1674">
        <f t="shared" si="4"/>
        <v>0</v>
      </c>
      <c r="I47" s="1674">
        <f t="shared" si="4"/>
        <v>0</v>
      </c>
      <c r="J47" s="1674">
        <f t="shared" si="4"/>
        <v>0</v>
      </c>
      <c r="K47" s="1674">
        <f t="shared" si="4"/>
        <v>134146</v>
      </c>
      <c r="L47" s="1674">
        <f>SUM(L44:L46)</f>
        <v>134147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14075+5347</f>
        <v>19422</v>
      </c>
      <c r="F49" s="1586">
        <v>5525</v>
      </c>
      <c r="G49" s="1586"/>
      <c r="H49" s="1586">
        <v>3534</v>
      </c>
      <c r="I49" s="1574"/>
      <c r="J49" s="1574"/>
      <c r="K49" s="1678">
        <f>SUM(C49:J49)</f>
        <v>28481</v>
      </c>
      <c r="L49" s="1586">
        <v>28482</v>
      </c>
    </row>
    <row r="50" spans="1:14" x14ac:dyDescent="0.2">
      <c r="A50" s="1274" t="s">
        <v>813</v>
      </c>
      <c r="B50" s="503">
        <v>2320</v>
      </c>
      <c r="C50" s="1573">
        <v>176041</v>
      </c>
      <c r="D50" s="1573">
        <f>14965+114+3219+181+45+46233+139</f>
        <v>64896</v>
      </c>
      <c r="E50" s="1573">
        <f>7128+874</f>
        <v>8002</v>
      </c>
      <c r="F50" s="1573">
        <v>3877</v>
      </c>
      <c r="G50" s="1573"/>
      <c r="H50" s="1573">
        <v>6431</v>
      </c>
      <c r="I50" s="1574"/>
      <c r="J50" s="1574"/>
      <c r="K50" s="1678">
        <f>SUM(C50:J50)</f>
        <v>259247</v>
      </c>
      <c r="L50" s="1573">
        <v>259246</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176041</v>
      </c>
      <c r="D53" s="1674">
        <f t="shared" ref="D53:L53" si="5">SUM(D49:D52)</f>
        <v>64896</v>
      </c>
      <c r="E53" s="1674">
        <f t="shared" si="5"/>
        <v>27424</v>
      </c>
      <c r="F53" s="1674">
        <f t="shared" si="5"/>
        <v>9402</v>
      </c>
      <c r="G53" s="1674">
        <f t="shared" si="5"/>
        <v>0</v>
      </c>
      <c r="H53" s="1674">
        <f t="shared" si="5"/>
        <v>9965</v>
      </c>
      <c r="I53" s="1674">
        <f t="shared" si="5"/>
        <v>0</v>
      </c>
      <c r="J53" s="1674">
        <f t="shared" si="5"/>
        <v>0</v>
      </c>
      <c r="K53" s="1674">
        <f t="shared" si="5"/>
        <v>287728</v>
      </c>
      <c r="L53" s="1674">
        <f t="shared" si="5"/>
        <v>287728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117386</v>
      </c>
      <c r="D55" s="1586">
        <v>30944</v>
      </c>
      <c r="E55" s="2036">
        <v>752</v>
      </c>
      <c r="F55" s="1586">
        <v>3589</v>
      </c>
      <c r="G55" s="1586"/>
      <c r="H55" s="1586">
        <v>1106</v>
      </c>
      <c r="I55" s="1574"/>
      <c r="J55" s="1574"/>
      <c r="K55" s="1678">
        <f>SUM(C55:J55)</f>
        <v>153777</v>
      </c>
      <c r="L55" s="1586">
        <v>153397</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117386</v>
      </c>
      <c r="D57" s="1679">
        <f t="shared" ref="D57:K57" si="6">SUM(D55:D56)</f>
        <v>30944</v>
      </c>
      <c r="E57" s="1679">
        <f t="shared" si="6"/>
        <v>752</v>
      </c>
      <c r="F57" s="1679">
        <f>SUM(F55:F56)</f>
        <v>3589</v>
      </c>
      <c r="G57" s="1679">
        <f t="shared" si="6"/>
        <v>0</v>
      </c>
      <c r="H57" s="1679">
        <f t="shared" si="6"/>
        <v>1106</v>
      </c>
      <c r="I57" s="1679">
        <f t="shared" si="6"/>
        <v>0</v>
      </c>
      <c r="J57" s="1679">
        <f t="shared" si="6"/>
        <v>0</v>
      </c>
      <c r="K57" s="1679">
        <f t="shared" si="6"/>
        <v>153777</v>
      </c>
      <c r="L57" s="1674">
        <f>SUM(L55:L56)</f>
        <v>153397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42490</v>
      </c>
      <c r="D60" s="1573">
        <f>24+7711</f>
        <v>7735</v>
      </c>
      <c r="E60" s="1573"/>
      <c r="F60" s="1573">
        <v>3579</v>
      </c>
      <c r="G60" s="1573"/>
      <c r="H60" s="1573">
        <v>895</v>
      </c>
      <c r="I60" s="1574"/>
      <c r="J60" s="1574"/>
      <c r="K60" s="1678">
        <f t="shared" si="7"/>
        <v>54699</v>
      </c>
      <c r="L60" s="1573">
        <v>54730</v>
      </c>
      <c r="M60" s="501"/>
      <c r="N60" s="501"/>
    </row>
    <row r="61" spans="1:14" s="321" customFormat="1" x14ac:dyDescent="0.2">
      <c r="A61" s="1274" t="s">
        <v>195</v>
      </c>
      <c r="B61" s="503">
        <v>2540</v>
      </c>
      <c r="C61" s="1573">
        <v>179340</v>
      </c>
      <c r="D61" s="1573">
        <f>113+29053</f>
        <v>29166</v>
      </c>
      <c r="E61" s="1573">
        <f>11374+6572+11928</f>
        <v>29874</v>
      </c>
      <c r="F61" s="1573">
        <v>325</v>
      </c>
      <c r="G61" s="1573"/>
      <c r="H61" s="1573"/>
      <c r="I61" s="1574"/>
      <c r="J61" s="1574"/>
      <c r="K61" s="1678">
        <f t="shared" si="7"/>
        <v>238705</v>
      </c>
      <c r="L61" s="1573">
        <v>238705</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56819</v>
      </c>
      <c r="D63" s="1573">
        <f>72+14</f>
        <v>86</v>
      </c>
      <c r="E63" s="1573">
        <v>387</v>
      </c>
      <c r="F63" s="1573">
        <v>122778</v>
      </c>
      <c r="G63" s="1573"/>
      <c r="H63" s="1573">
        <v>268</v>
      </c>
      <c r="I63" s="1574"/>
      <c r="J63" s="1574"/>
      <c r="K63" s="1678">
        <f t="shared" si="7"/>
        <v>180338</v>
      </c>
      <c r="L63" s="1573">
        <v>180340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278649</v>
      </c>
      <c r="D65" s="1674">
        <f t="shared" ref="D65:L65" si="8">SUM(D59:D64)</f>
        <v>36987</v>
      </c>
      <c r="E65" s="1674">
        <f t="shared" si="8"/>
        <v>30261</v>
      </c>
      <c r="F65" s="1674">
        <f t="shared" si="8"/>
        <v>126682</v>
      </c>
      <c r="G65" s="1674">
        <f t="shared" si="8"/>
        <v>0</v>
      </c>
      <c r="H65" s="1674">
        <f t="shared" si="8"/>
        <v>1163</v>
      </c>
      <c r="I65" s="1674">
        <f t="shared" si="8"/>
        <v>0</v>
      </c>
      <c r="J65" s="1674">
        <f t="shared" si="8"/>
        <v>0</v>
      </c>
      <c r="K65" s="1674">
        <f t="shared" si="8"/>
        <v>473742</v>
      </c>
      <c r="L65" s="1674">
        <f t="shared" si="8"/>
        <v>473775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747091</v>
      </c>
      <c r="D74" s="1681">
        <f t="shared" ref="D74:K74" si="10">SUM(D42,D47,D53,D57,D65,D72,D73)</f>
        <v>163469</v>
      </c>
      <c r="E74" s="1681">
        <f t="shared" si="10"/>
        <v>74429</v>
      </c>
      <c r="F74" s="1681">
        <f t="shared" si="10"/>
        <v>174037</v>
      </c>
      <c r="G74" s="1681">
        <f t="shared" si="10"/>
        <v>20903</v>
      </c>
      <c r="H74" s="1681">
        <f t="shared" si="10"/>
        <v>12234</v>
      </c>
      <c r="I74" s="1681">
        <f t="shared" si="10"/>
        <v>0</v>
      </c>
      <c r="J74" s="1681">
        <f t="shared" si="10"/>
        <v>0</v>
      </c>
      <c r="K74" s="1681">
        <f t="shared" si="10"/>
        <v>1192163</v>
      </c>
      <c r="L74" s="1681">
        <f>SUM(L42,L47,L53,L57,L65,L72,L73)</f>
        <v>1191383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42340</v>
      </c>
      <c r="F79" s="1673"/>
      <c r="G79" s="1673"/>
      <c r="H79" s="1573">
        <v>474675</v>
      </c>
      <c r="I79" s="1582"/>
      <c r="J79" s="1582"/>
      <c r="K79" s="1672">
        <f t="shared" si="11"/>
        <v>517015</v>
      </c>
      <c r="L79" s="1573">
        <v>518015</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42340</v>
      </c>
      <c r="F84" s="1673"/>
      <c r="G84" s="1673"/>
      <c r="H84" s="1674">
        <f>SUM(H78:H83)</f>
        <v>474675</v>
      </c>
      <c r="I84" s="1582"/>
      <c r="J84" s="1582"/>
      <c r="K84" s="1674">
        <f>SUM(K78:K83)</f>
        <v>517015</v>
      </c>
      <c r="L84" s="1674">
        <f>SUM(L78:L83)</f>
        <v>518015</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42340</v>
      </c>
      <c r="F102" s="1673"/>
      <c r="G102" s="1673"/>
      <c r="H102" s="1681">
        <f>SUM(H84,H92,H100,H101)</f>
        <v>474675</v>
      </c>
      <c r="I102" s="1582"/>
      <c r="J102" s="1582"/>
      <c r="K102" s="1681">
        <f>SUM(K84,K92,K100,K101)</f>
        <v>517015</v>
      </c>
      <c r="L102" s="1681">
        <f>SUM(L84,L92,L100,L101)</f>
        <v>518015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2064144</v>
      </c>
      <c r="D114" s="1674">
        <f t="shared" ref="D114:K114" si="13">SUM(D33,D74,D75,D102,D112,D113)</f>
        <v>476112</v>
      </c>
      <c r="E114" s="1674">
        <f t="shared" si="13"/>
        <v>144786</v>
      </c>
      <c r="F114" s="1674">
        <f t="shared" si="13"/>
        <v>292336</v>
      </c>
      <c r="G114" s="1674">
        <f t="shared" si="13"/>
        <v>44527</v>
      </c>
      <c r="H114" s="1674">
        <f>SUM(H33,H74,H75,H102,H112,H113)</f>
        <v>494242</v>
      </c>
      <c r="I114" s="1674">
        <f t="shared" si="13"/>
        <v>0</v>
      </c>
      <c r="J114" s="1674">
        <f t="shared" si="13"/>
        <v>0</v>
      </c>
      <c r="K114" s="1674">
        <f t="shared" si="13"/>
        <v>3516147</v>
      </c>
      <c r="L114" s="1674">
        <f>SUM(L33,L74,L75,L102,L112,L113)</f>
        <v>3514475</v>
      </c>
    </row>
    <row r="115" spans="1:14" ht="13.5" thickTop="1" x14ac:dyDescent="0.2">
      <c r="A115" s="2291" t="s">
        <v>989</v>
      </c>
      <c r="B115" s="2292"/>
      <c r="C115" s="1675"/>
      <c r="D115" s="1675"/>
      <c r="E115" s="1675"/>
      <c r="F115" s="1675"/>
      <c r="G115" s="1675"/>
      <c r="H115" s="1675"/>
      <c r="I115" s="1675"/>
      <c r="J115" s="1675"/>
      <c r="K115" s="1689">
        <f>'Revenues 9-14'!C268-'Expenditures 15-22'!K114</f>
        <v>357711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2036"/>
      <c r="E124" s="1573">
        <f>4900+26048</f>
        <v>30948</v>
      </c>
      <c r="F124" s="1573">
        <f>98827-7820-1750-520-1700+89842+1</f>
        <v>176880</v>
      </c>
      <c r="G124" s="1573">
        <f>7820+1750+520+1700</f>
        <v>11790</v>
      </c>
      <c r="H124" s="1573">
        <v>55</v>
      </c>
      <c r="I124" s="1574"/>
      <c r="J124" s="1574"/>
      <c r="K124" s="1674">
        <f>SUM(C124:J124)</f>
        <v>219673</v>
      </c>
      <c r="L124" s="1573">
        <v>219673</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30948</v>
      </c>
      <c r="F127" s="1674">
        <f t="shared" si="14"/>
        <v>176880</v>
      </c>
      <c r="G127" s="1674">
        <f t="shared" si="14"/>
        <v>11790</v>
      </c>
      <c r="H127" s="1674">
        <f t="shared" si="14"/>
        <v>55</v>
      </c>
      <c r="I127" s="1674">
        <f t="shared" si="14"/>
        <v>0</v>
      </c>
      <c r="J127" s="1674">
        <f t="shared" si="14"/>
        <v>0</v>
      </c>
      <c r="K127" s="1674">
        <f t="shared" si="14"/>
        <v>219673</v>
      </c>
      <c r="L127" s="1674">
        <f t="shared" si="14"/>
        <v>219673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30948</v>
      </c>
      <c r="F129" s="1681">
        <f t="shared" si="15"/>
        <v>176880</v>
      </c>
      <c r="G129" s="1681">
        <f t="shared" si="15"/>
        <v>11790</v>
      </c>
      <c r="H129" s="1681">
        <f t="shared" si="15"/>
        <v>55</v>
      </c>
      <c r="I129" s="1681">
        <f t="shared" si="15"/>
        <v>0</v>
      </c>
      <c r="J129" s="1681">
        <f t="shared" si="15"/>
        <v>0</v>
      </c>
      <c r="K129" s="1681">
        <f t="shared" si="15"/>
        <v>219673</v>
      </c>
      <c r="L129" s="1681">
        <f t="shared" si="15"/>
        <v>219673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1" t="s">
        <v>616</v>
      </c>
      <c r="B151" s="2263"/>
      <c r="C151" s="1674">
        <f>SUM(C129,C130,C139,C149,C150)</f>
        <v>0</v>
      </c>
      <c r="D151" s="1674">
        <f t="shared" ref="D151:K151" si="16">SUM(D129,D130,D139,D149,D150)</f>
        <v>0</v>
      </c>
      <c r="E151" s="1674">
        <f t="shared" si="16"/>
        <v>30948</v>
      </c>
      <c r="F151" s="1674">
        <f t="shared" si="16"/>
        <v>176880</v>
      </c>
      <c r="G151" s="1674">
        <f t="shared" si="16"/>
        <v>11790</v>
      </c>
      <c r="H151" s="1674">
        <f t="shared" si="16"/>
        <v>55</v>
      </c>
      <c r="I151" s="1674">
        <f t="shared" si="16"/>
        <v>0</v>
      </c>
      <c r="J151" s="1674">
        <f t="shared" si="16"/>
        <v>0</v>
      </c>
      <c r="K151" s="1674">
        <f t="shared" si="16"/>
        <v>219673</v>
      </c>
      <c r="L151" s="1674">
        <f>SUM(L129,L130,L139,L149,L150)</f>
        <v>219673</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-14787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42701</v>
      </c>
      <c r="I169" s="1673"/>
      <c r="J169" s="1673"/>
      <c r="K169" s="1672">
        <f>SUM(C169:H169)</f>
        <v>42701</v>
      </c>
      <c r="L169" s="1695">
        <v>35867</v>
      </c>
    </row>
    <row r="170" spans="1:14" ht="33.75" customHeight="1" x14ac:dyDescent="0.2">
      <c r="A170" s="543" t="s">
        <v>1651</v>
      </c>
      <c r="B170" s="545" t="s">
        <v>31</v>
      </c>
      <c r="C170" s="1673"/>
      <c r="D170" s="1673"/>
      <c r="E170" s="1673"/>
      <c r="F170" s="1673"/>
      <c r="G170" s="1673"/>
      <c r="H170" s="1646">
        <v>275000</v>
      </c>
      <c r="I170" s="1673"/>
      <c r="J170" s="1673"/>
      <c r="K170" s="1672">
        <f>SUM(C170:J170)</f>
        <v>275000</v>
      </c>
      <c r="L170" s="1646">
        <v>275000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317701</v>
      </c>
      <c r="I172" s="1684"/>
      <c r="J172" s="1673"/>
      <c r="K172" s="1681">
        <f>SUM(K168,K169,K170,K171)</f>
        <v>317701</v>
      </c>
      <c r="L172" s="1681">
        <f>SUM(L168,L169,L170,L171)</f>
        <v>310867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317701</v>
      </c>
      <c r="I174" s="1684"/>
      <c r="J174" s="1673"/>
      <c r="K174" s="1681">
        <f>SUM(K160,K172,K173)</f>
        <v>317701</v>
      </c>
      <c r="L174" s="1681">
        <f>SUM(L160,L172,L173)</f>
        <v>310867</v>
      </c>
    </row>
    <row r="175" spans="1:14" ht="13.5" thickTop="1" x14ac:dyDescent="0.2">
      <c r="A175" s="2291" t="s">
        <v>989</v>
      </c>
      <c r="B175" s="2292"/>
      <c r="C175" s="1673"/>
      <c r="D175" s="1673"/>
      <c r="E175" s="1673"/>
      <c r="F175" s="1673"/>
      <c r="G175" s="1673"/>
      <c r="H175" s="1675"/>
      <c r="I175" s="1673"/>
      <c r="J175" s="1673"/>
      <c r="K175" s="1689">
        <f>'Revenues 9-14'!E268-'Expenditures 15-22'!K174</f>
        <v>-52856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113809</v>
      </c>
      <c r="D182" s="1573">
        <f>87+32892-151+4</f>
        <v>32832</v>
      </c>
      <c r="E182" s="1573">
        <f>7313+76676+7127+2089</f>
        <v>93205</v>
      </c>
      <c r="F182" s="1573">
        <v>28205</v>
      </c>
      <c r="G182" s="1573">
        <v>40210</v>
      </c>
      <c r="H182" s="1573"/>
      <c r="I182" s="1574"/>
      <c r="J182" s="1574"/>
      <c r="K182" s="1672">
        <f>SUM(C182:J182)</f>
        <v>308261</v>
      </c>
      <c r="L182" s="1573">
        <v>306321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113809</v>
      </c>
      <c r="D184" s="1681">
        <f t="shared" ref="D184:J184" si="17">SUM(D180,D182,D183)</f>
        <v>32832</v>
      </c>
      <c r="E184" s="1681">
        <f t="shared" si="17"/>
        <v>93205</v>
      </c>
      <c r="F184" s="1681">
        <f t="shared" si="17"/>
        <v>28205</v>
      </c>
      <c r="G184" s="1681">
        <f t="shared" si="17"/>
        <v>40210</v>
      </c>
      <c r="H184" s="1681">
        <f t="shared" si="17"/>
        <v>0</v>
      </c>
      <c r="I184" s="1681">
        <f t="shared" si="17"/>
        <v>0</v>
      </c>
      <c r="J184" s="1681">
        <f t="shared" si="17"/>
        <v>0</v>
      </c>
      <c r="K184" s="1681">
        <f>SUM(K180,K182,K183)</f>
        <v>308261</v>
      </c>
      <c r="L184" s="1681">
        <f>SUM(L180, L182:L183)</f>
        <v>306321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v>25595</v>
      </c>
      <c r="F189" s="1673"/>
      <c r="G189" s="1673"/>
      <c r="H189" s="1573"/>
      <c r="I189" s="1582"/>
      <c r="J189" s="1673"/>
      <c r="K189" s="1672">
        <f t="shared" si="18"/>
        <v>25595</v>
      </c>
      <c r="L189" s="1573">
        <v>25595</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25595</v>
      </c>
      <c r="F194" s="1673"/>
      <c r="G194" s="1673"/>
      <c r="H194" s="1674">
        <f>SUM(H188:H193)</f>
        <v>0</v>
      </c>
      <c r="I194" s="1582"/>
      <c r="J194" s="1673"/>
      <c r="K194" s="1674">
        <f>SUM(K188:K193)</f>
        <v>25595</v>
      </c>
      <c r="L194" s="1674">
        <f>SUM(L188:L193)</f>
        <v>25595</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25595</v>
      </c>
      <c r="F196" s="1673"/>
      <c r="G196" s="1673"/>
      <c r="H196" s="1681">
        <f>SUM(H194,H195)</f>
        <v>0</v>
      </c>
      <c r="I196" s="1582"/>
      <c r="J196" s="1673"/>
      <c r="K196" s="1681">
        <f>SUM(K194,K195)</f>
        <v>25595</v>
      </c>
      <c r="L196" s="1681">
        <f>SUM(L194,L195)</f>
        <v>25595</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113809</v>
      </c>
      <c r="D210" s="1674">
        <f>SUM(D184,D185)</f>
        <v>32832</v>
      </c>
      <c r="E210" s="1674">
        <f>SUM(E184,E185,E196)</f>
        <v>118800</v>
      </c>
      <c r="F210" s="1674">
        <f>SUM(F184,F185)</f>
        <v>28205</v>
      </c>
      <c r="G210" s="1674">
        <f>SUM(G184,G185)</f>
        <v>40210</v>
      </c>
      <c r="H210" s="1674">
        <f>SUM(H184,H185,H196,H208,H209)</f>
        <v>0</v>
      </c>
      <c r="I210" s="1674">
        <f>SUM(I184,I185)</f>
        <v>0</v>
      </c>
      <c r="J210" s="1674">
        <f>SUM(J184,J185)</f>
        <v>0</v>
      </c>
      <c r="K210" s="1672">
        <f>SUM(K184,K185,K196,K208,K209)</f>
        <v>333856</v>
      </c>
      <c r="L210" s="1674">
        <f>SUM(L184,L185,L196,L208,L209)</f>
        <v>331916</v>
      </c>
    </row>
    <row r="211" spans="1:14" ht="13.5" thickTop="1" x14ac:dyDescent="0.2">
      <c r="A211" s="2291" t="s">
        <v>989</v>
      </c>
      <c r="B211" s="2292"/>
      <c r="C211" s="1675"/>
      <c r="D211" s="1675"/>
      <c r="E211" s="1675"/>
      <c r="F211" s="1675"/>
      <c r="G211" s="1675"/>
      <c r="H211" s="1675"/>
      <c r="I211" s="1673"/>
      <c r="J211" s="1673"/>
      <c r="K211" s="1689">
        <f>'Revenues 9-14'!F268-'Expenditures 15-22'!K210</f>
        <v>13334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1672+1144+6+111+1737+2487+669+1287+6+1731+12+9122+119+63+351+6573+1</f>
        <v>27091</v>
      </c>
      <c r="E215" s="1673"/>
      <c r="F215" s="1673"/>
      <c r="G215" s="1673"/>
      <c r="H215" s="1673"/>
      <c r="I215" s="1673"/>
      <c r="J215" s="1673"/>
      <c r="K215" s="1672">
        <f>D215</f>
        <v>27091</v>
      </c>
      <c r="L215" s="1573">
        <v>27088</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c r="E217" s="1673"/>
      <c r="F217" s="1673"/>
      <c r="G217" s="1673"/>
      <c r="H217" s="1673"/>
      <c r="I217" s="1673"/>
      <c r="J217" s="1673"/>
      <c r="K217" s="1672">
        <f t="shared" si="19"/>
        <v>0</v>
      </c>
      <c r="L217" s="1573">
        <v>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469</v>
      </c>
      <c r="E219" s="1673"/>
      <c r="F219" s="1673"/>
      <c r="G219" s="1673"/>
      <c r="H219" s="1673"/>
      <c r="I219" s="1673"/>
      <c r="J219" s="1673"/>
      <c r="K219" s="1672">
        <f t="shared" si="19"/>
        <v>469</v>
      </c>
      <c r="L219" s="1573">
        <v>469</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c r="E223" s="1673"/>
      <c r="F223" s="1673"/>
      <c r="G223" s="1673"/>
      <c r="H223" s="1673"/>
      <c r="I223" s="1673"/>
      <c r="J223" s="1673"/>
      <c r="K223" s="1672">
        <f t="shared" si="19"/>
        <v>0</v>
      </c>
      <c r="L223" s="1573">
        <v>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27560</v>
      </c>
      <c r="E229" s="1673"/>
      <c r="F229" s="1673"/>
      <c r="G229" s="1673"/>
      <c r="H229" s="1673"/>
      <c r="I229" s="1673"/>
      <c r="J229" s="1673"/>
      <c r="K229" s="1674">
        <f>SUM(K215:K228)</f>
        <v>27560</v>
      </c>
      <c r="L229" s="1674">
        <f>SUM(L215:L228)</f>
        <v>27557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f>299+969</f>
        <v>1268</v>
      </c>
      <c r="E233" s="1673"/>
      <c r="F233" s="1673"/>
      <c r="G233" s="1673"/>
      <c r="H233" s="1673"/>
      <c r="I233" s="1673"/>
      <c r="J233" s="1673"/>
      <c r="K233" s="1672">
        <f t="shared" si="20"/>
        <v>1268</v>
      </c>
      <c r="L233" s="1573">
        <v>1268</v>
      </c>
    </row>
    <row r="234" spans="1:12" x14ac:dyDescent="0.2">
      <c r="A234" s="1274" t="s">
        <v>196</v>
      </c>
      <c r="B234" s="503">
        <v>2130</v>
      </c>
      <c r="C234" s="1673"/>
      <c r="D234" s="1573">
        <f>2318+1579+13</f>
        <v>3910</v>
      </c>
      <c r="E234" s="1673"/>
      <c r="F234" s="1673"/>
      <c r="G234" s="1673"/>
      <c r="H234" s="1673"/>
      <c r="I234" s="1673"/>
      <c r="J234" s="1673"/>
      <c r="K234" s="1672">
        <f t="shared" si="20"/>
        <v>3910</v>
      </c>
      <c r="L234" s="1573">
        <v>3911</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f>493+1</f>
        <v>494</v>
      </c>
      <c r="E237" s="1673"/>
      <c r="F237" s="1673"/>
      <c r="G237" s="1673"/>
      <c r="H237" s="1673"/>
      <c r="I237" s="1673"/>
      <c r="J237" s="1673"/>
      <c r="K237" s="1672">
        <f t="shared" si="20"/>
        <v>494</v>
      </c>
      <c r="L237" s="1573">
        <v>494</v>
      </c>
    </row>
    <row r="238" spans="1:12" ht="12.75" customHeight="1" thickBot="1" x14ac:dyDescent="0.25">
      <c r="A238" s="1380" t="s">
        <v>556</v>
      </c>
      <c r="B238" s="1383" t="s">
        <v>711</v>
      </c>
      <c r="C238" s="1673"/>
      <c r="D238" s="1674">
        <f>SUM(D232:D237)</f>
        <v>5672</v>
      </c>
      <c r="E238" s="1673"/>
      <c r="F238" s="1673"/>
      <c r="G238" s="1673"/>
      <c r="H238" s="1673"/>
      <c r="I238" s="1673"/>
      <c r="J238" s="1673"/>
      <c r="K238" s="1674">
        <f>SUM(K232:K237)</f>
        <v>5672</v>
      </c>
      <c r="L238" s="1674">
        <f>SUM(L232:L237)</f>
        <v>5673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689</v>
      </c>
      <c r="E241" s="1673"/>
      <c r="F241" s="1673"/>
      <c r="G241" s="1673"/>
      <c r="H241" s="1673"/>
      <c r="I241" s="1673"/>
      <c r="J241" s="1673"/>
      <c r="K241" s="1678">
        <f>D241</f>
        <v>689</v>
      </c>
      <c r="L241" s="1573">
        <v>689</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689</v>
      </c>
      <c r="E243" s="1673"/>
      <c r="F243" s="1673"/>
      <c r="G243" s="1673"/>
      <c r="H243" s="1673"/>
      <c r="I243" s="1673"/>
      <c r="J243" s="1673"/>
      <c r="K243" s="1674">
        <f>SUM(K240:K242)</f>
        <v>689</v>
      </c>
      <c r="L243" s="1674">
        <f>SUM(L240:L242)</f>
        <v>689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f>3639+1720+42+2069</f>
        <v>7470</v>
      </c>
      <c r="E246" s="1673"/>
      <c r="F246" s="1673"/>
      <c r="G246" s="1673"/>
      <c r="H246" s="1673"/>
      <c r="I246" s="1673"/>
      <c r="J246" s="1673"/>
      <c r="K246" s="1678">
        <f t="shared" ref="K246:K256" si="21">D246</f>
        <v>7470</v>
      </c>
      <c r="L246" s="1573">
        <v>7471</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7470</v>
      </c>
      <c r="E257" s="1673"/>
      <c r="F257" s="1673"/>
      <c r="G257" s="1673"/>
      <c r="H257" s="1673"/>
      <c r="I257" s="1673"/>
      <c r="J257" s="1673"/>
      <c r="K257" s="1674">
        <f>SUM(K245:K256)</f>
        <v>7470</v>
      </c>
      <c r="L257" s="1674">
        <f>SUM(L245:L256)</f>
        <v>7471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3371+2110+52+1068</f>
        <v>6601</v>
      </c>
      <c r="E259" s="1673"/>
      <c r="F259" s="1673"/>
      <c r="G259" s="1673"/>
      <c r="H259" s="1673"/>
      <c r="I259" s="1673"/>
      <c r="J259" s="1673"/>
      <c r="K259" s="1678">
        <f>D259</f>
        <v>6601</v>
      </c>
      <c r="L259" s="1586">
        <v>6601</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6601</v>
      </c>
      <c r="E261" s="1673"/>
      <c r="F261" s="1673"/>
      <c r="G261" s="1673"/>
      <c r="H261" s="1673"/>
      <c r="I261" s="1673"/>
      <c r="J261" s="1673"/>
      <c r="K261" s="1674">
        <f>SUM(K259:K260)</f>
        <v>6601</v>
      </c>
      <c r="L261" s="1674">
        <f>SUM(L259:L260)</f>
        <v>6601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f>4714+2824+69</f>
        <v>7607</v>
      </c>
      <c r="E264" s="1673"/>
      <c r="F264" s="1673"/>
      <c r="G264" s="1673"/>
      <c r="H264" s="1673"/>
      <c r="I264" s="1673"/>
      <c r="J264" s="1673"/>
      <c r="K264" s="1678">
        <f t="shared" ref="K264:K269" si="22">D264</f>
        <v>7607</v>
      </c>
      <c r="L264" s="1573">
        <v>7608</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f>19295+11946+309</f>
        <v>31550</v>
      </c>
      <c r="E266" s="1673"/>
      <c r="F266" s="1673"/>
      <c r="G266" s="1673"/>
      <c r="H266" s="1673"/>
      <c r="I266" s="1673"/>
      <c r="J266" s="1673"/>
      <c r="K266" s="1678">
        <f t="shared" si="22"/>
        <v>31550</v>
      </c>
      <c r="L266" s="1573">
        <v>31500</v>
      </c>
    </row>
    <row r="267" spans="1:14" x14ac:dyDescent="0.2">
      <c r="A267" s="1274" t="s">
        <v>947</v>
      </c>
      <c r="B267" s="503">
        <v>2550</v>
      </c>
      <c r="C267" s="1673"/>
      <c r="D267" s="1573">
        <f>6277+7022+98</f>
        <v>13397</v>
      </c>
      <c r="E267" s="1673"/>
      <c r="F267" s="1673"/>
      <c r="G267" s="1673"/>
      <c r="H267" s="1673"/>
      <c r="I267" s="1673"/>
      <c r="J267" s="1673"/>
      <c r="K267" s="1678">
        <f t="shared" si="22"/>
        <v>13397</v>
      </c>
      <c r="L267" s="1573">
        <v>13397</v>
      </c>
    </row>
    <row r="268" spans="1:14" x14ac:dyDescent="0.2">
      <c r="A268" s="1274" t="s">
        <v>100</v>
      </c>
      <c r="B268" s="503">
        <v>2560</v>
      </c>
      <c r="C268" s="1673"/>
      <c r="D268" s="1573">
        <f>5912+4302+13</f>
        <v>10227</v>
      </c>
      <c r="E268" s="1673"/>
      <c r="F268" s="1673"/>
      <c r="G268" s="1673"/>
      <c r="H268" s="1673"/>
      <c r="I268" s="1673"/>
      <c r="J268" s="1673"/>
      <c r="K268" s="1678">
        <f t="shared" si="22"/>
        <v>10227</v>
      </c>
      <c r="L268" s="1573">
        <v>10227</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62781</v>
      </c>
      <c r="E270" s="1673"/>
      <c r="F270" s="1673"/>
      <c r="G270" s="1673"/>
      <c r="H270" s="1673"/>
      <c r="I270" s="1673"/>
      <c r="J270" s="1673"/>
      <c r="K270" s="1674">
        <f>SUM(K263:K269)</f>
        <v>62781</v>
      </c>
      <c r="L270" s="1674">
        <f>SUM(L263:L269)</f>
        <v>62732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83213</v>
      </c>
      <c r="E279" s="1673"/>
      <c r="F279" s="1673"/>
      <c r="G279" s="1673"/>
      <c r="H279" s="1673"/>
      <c r="I279" s="1673"/>
      <c r="J279" s="1673"/>
      <c r="K279" s="1681">
        <f>SUM(K238,K243,K257,K261,K270,K277,K278)</f>
        <v>83213</v>
      </c>
      <c r="L279" s="1681">
        <f>SUM(L238,L243,L257,L261,L270,L277,L278)</f>
        <v>83166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2" t="s">
        <v>502</v>
      </c>
      <c r="B295" s="2283"/>
      <c r="C295" s="1673"/>
      <c r="D295" s="1674">
        <f>SUM(D229,D279,D280,D285)</f>
        <v>110773</v>
      </c>
      <c r="E295" s="1673"/>
      <c r="F295" s="1673"/>
      <c r="G295" s="1673"/>
      <c r="H295" s="1674">
        <f>H293</f>
        <v>0</v>
      </c>
      <c r="I295" s="1673"/>
      <c r="J295" s="1673"/>
      <c r="K295" s="1674">
        <f>SUM(K229,K279,K280,K285,K293,K294)</f>
        <v>110773</v>
      </c>
      <c r="L295" s="1674">
        <f>SUM(L229,L279,L280,L285,L293,L294)</f>
        <v>110723</v>
      </c>
    </row>
    <row r="296" spans="1:14" ht="13.5" thickTop="1" x14ac:dyDescent="0.2">
      <c r="A296" s="2291" t="s">
        <v>989</v>
      </c>
      <c r="B296" s="2292"/>
      <c r="C296" s="1673"/>
      <c r="D296" s="1675"/>
      <c r="E296" s="1673"/>
      <c r="F296" s="1673"/>
      <c r="G296" s="1673"/>
      <c r="H296" s="1707"/>
      <c r="I296" s="1673"/>
      <c r="J296" s="1673"/>
      <c r="K296" s="1689">
        <f>'Revenues 9-14'!G268-'Expenditures 15-22'!K295</f>
        <v>26224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192297</v>
      </c>
      <c r="H301" s="1573"/>
      <c r="I301" s="1574"/>
      <c r="J301" s="1574"/>
      <c r="K301" s="1672">
        <f>SUM(C301:J301)</f>
        <v>192297</v>
      </c>
      <c r="L301" s="1574">
        <v>192297</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192297</v>
      </c>
      <c r="H303" s="1681">
        <f t="shared" si="23"/>
        <v>0</v>
      </c>
      <c r="I303" s="1681">
        <f t="shared" si="23"/>
        <v>0</v>
      </c>
      <c r="J303" s="1681">
        <f t="shared" si="23"/>
        <v>0</v>
      </c>
      <c r="K303" s="1681">
        <f t="shared" si="23"/>
        <v>192297</v>
      </c>
      <c r="L303" s="1681">
        <f t="shared" si="23"/>
        <v>192297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192297</v>
      </c>
      <c r="H312" s="1674">
        <f>SUM(H303,H310)</f>
        <v>0</v>
      </c>
      <c r="I312" s="1674">
        <f>SUM(I303)</f>
        <v>0</v>
      </c>
      <c r="J312" s="1674">
        <f>SUM(J303)</f>
        <v>0</v>
      </c>
      <c r="K312" s="1674">
        <f>SUM(K303,K310,K311)</f>
        <v>192297</v>
      </c>
      <c r="L312" s="1674">
        <f>SUM(L303,L310,L311)</f>
        <v>192297</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29065</v>
      </c>
      <c r="F320" s="1574"/>
      <c r="G320" s="1574"/>
      <c r="H320" s="1574"/>
      <c r="I320" s="1574"/>
      <c r="J320" s="1574"/>
      <c r="K320" s="1672">
        <f t="shared" ref="K320:K327" si="24">SUM(C320:J320)</f>
        <v>29065</v>
      </c>
      <c r="L320" s="1574">
        <v>29065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38992</v>
      </c>
      <c r="F322" s="1574"/>
      <c r="G322" s="1574"/>
      <c r="H322" s="1574"/>
      <c r="I322" s="1574"/>
      <c r="J322" s="1574"/>
      <c r="K322" s="1672">
        <f t="shared" si="24"/>
        <v>38992</v>
      </c>
      <c r="L322" s="1574">
        <v>38992</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500</v>
      </c>
      <c r="F327" s="1574"/>
      <c r="G327" s="2035"/>
      <c r="H327" s="1574"/>
      <c r="I327" s="1574"/>
      <c r="J327" s="1574"/>
      <c r="K327" s="1672">
        <f t="shared" si="24"/>
        <v>500</v>
      </c>
      <c r="L327" s="1574">
        <v>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68557</v>
      </c>
      <c r="F330" s="1674">
        <f t="shared" si="25"/>
        <v>0</v>
      </c>
      <c r="G330" s="1674">
        <f t="shared" si="25"/>
        <v>0</v>
      </c>
      <c r="H330" s="1674">
        <f t="shared" si="25"/>
        <v>0</v>
      </c>
      <c r="I330" s="1674">
        <f t="shared" si="25"/>
        <v>0</v>
      </c>
      <c r="J330" s="1674">
        <f t="shared" si="25"/>
        <v>0</v>
      </c>
      <c r="K330" s="1674">
        <f>SUM(K319:K329)</f>
        <v>68557</v>
      </c>
      <c r="L330" s="1674">
        <f>SUM(L319:L329)</f>
        <v>68557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68557</v>
      </c>
      <c r="F342" s="1674">
        <f>SUM(F330)</f>
        <v>0</v>
      </c>
      <c r="G342" s="1674">
        <f>SUM(G330)</f>
        <v>0</v>
      </c>
      <c r="H342" s="1674">
        <f>SUM(H330,H334,H340)</f>
        <v>0</v>
      </c>
      <c r="I342" s="1674">
        <f>SUM(I330)</f>
        <v>0</v>
      </c>
      <c r="J342" s="1674">
        <f>SUM(J330)</f>
        <v>0</v>
      </c>
      <c r="K342" s="1674">
        <f>SUM(K330,K334,K340)</f>
        <v>68557</v>
      </c>
      <c r="L342" s="1681">
        <f>SUM(L330,L334,L340,L341)</f>
        <v>68557</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26668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1" t="s">
        <v>989</v>
      </c>
      <c r="B368" s="2292"/>
      <c r="C368" s="1694"/>
      <c r="D368" s="1694"/>
      <c r="E368" s="1677"/>
      <c r="F368" s="1677"/>
      <c r="G368" s="1677"/>
      <c r="H368" s="1677"/>
      <c r="I368" s="1677"/>
      <c r="J368" s="1676"/>
      <c r="K368" s="1672">
        <f>'Revenues 9-14'!K268-'Expenditures 15-22'!K367</f>
        <v>17495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schemas.microsoft.com/office/2006/documentManagement/types"/>
    <ds:schemaRef ds:uri="http://schemas.microsoft.com/sharepoint/v3"/>
    <ds:schemaRef ds:uri="http://purl.org/dc/terms/"/>
    <ds:schemaRef ds:uri="4d435f69-8686-490b-bd6d-b153bf22ab50"/>
    <ds:schemaRef ds:uri="http://schemas.microsoft.com/office/2006/metadata/properties"/>
    <ds:schemaRef ds:uri="http://schemas.microsoft.com/office/infopath/2007/PartnerControls"/>
    <ds:schemaRef ds:uri="http://purl.org/dc/elements/1.1/"/>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2020-11-16T15:16:02Z</cp:lastPrinted>
  <dcterms:created xsi:type="dcterms:W3CDTF">2003-10-29T19:06:34Z</dcterms:created>
  <dcterms:modified xsi:type="dcterms:W3CDTF">2020-11-24T18:30:43Z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