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0068AEFD-BC86-4B1E-9DF2-40B9057680A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2 (2)" sheetId="187"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75" i="29" l="1"/>
  <c r="C81" i="5"/>
  <c r="C10" i="187" l="1"/>
  <c r="L27" i="186" l="1"/>
  <c r="L26" i="186"/>
  <c r="L25" i="186"/>
  <c r="L24" i="186"/>
  <c r="L23" i="186"/>
  <c r="L22" i="186"/>
  <c r="L21" i="186"/>
  <c r="L20" i="186"/>
  <c r="L19" i="186"/>
  <c r="L18" i="186"/>
  <c r="L17" i="186"/>
  <c r="L16" i="186"/>
  <c r="L15" i="186"/>
  <c r="L14" i="186"/>
  <c r="L13" i="186"/>
  <c r="L12" i="186"/>
  <c r="L11" i="186"/>
  <c r="I9" i="186"/>
  <c r="G9" i="186"/>
  <c r="F9" i="186"/>
  <c r="E9" i="186"/>
  <c r="J8" i="186"/>
  <c r="H8" i="186"/>
  <c r="L27" i="185" l="1"/>
  <c r="L26" i="185"/>
  <c r="L25" i="185"/>
  <c r="L24" i="185"/>
  <c r="L23" i="185"/>
  <c r="L22" i="185"/>
  <c r="L21" i="185"/>
  <c r="L20" i="185"/>
  <c r="L19" i="185"/>
  <c r="L18" i="185"/>
  <c r="L17" i="185"/>
  <c r="L16" i="185"/>
  <c r="L15" i="185"/>
  <c r="L14" i="185"/>
  <c r="L13" i="185"/>
  <c r="L12" i="185"/>
  <c r="L11" i="185"/>
  <c r="I9" i="185"/>
  <c r="G9" i="185"/>
  <c r="F9" i="185"/>
  <c r="E9" i="185"/>
  <c r="J8" i="185"/>
  <c r="H8" i="185"/>
  <c r="I65" i="5" l="1"/>
  <c r="G65" i="5"/>
  <c r="F65" i="5"/>
  <c r="E65" i="5"/>
  <c r="D65" i="5"/>
  <c r="C65" i="5"/>
  <c r="G4" i="3"/>
  <c r="E301" i="29"/>
  <c r="D280" i="29"/>
  <c r="D268" i="29"/>
  <c r="D267" i="29"/>
  <c r="D266" i="29"/>
  <c r="D264" i="29"/>
  <c r="D259" i="29"/>
  <c r="D246" i="29"/>
  <c r="D245" i="29"/>
  <c r="D241" i="29"/>
  <c r="D240" i="29"/>
  <c r="D237" i="29"/>
  <c r="D234" i="29"/>
  <c r="D223" i="29"/>
  <c r="D222" i="29"/>
  <c r="D219" i="29"/>
  <c r="D215" i="29"/>
  <c r="E183" i="29"/>
  <c r="H170" i="29"/>
  <c r="H169" i="29"/>
  <c r="E63" i="29"/>
  <c r="H61" i="29"/>
  <c r="F61" i="29"/>
  <c r="E61" i="29"/>
  <c r="C61" i="29"/>
  <c r="E49" i="29"/>
  <c r="C49" i="29"/>
  <c r="E44" i="29"/>
  <c r="D44" i="29"/>
  <c r="C44" i="29"/>
  <c r="E41" i="29"/>
  <c r="C41" i="29"/>
  <c r="H14" i="29"/>
  <c r="F14" i="29"/>
  <c r="C14" i="29"/>
  <c r="E14" i="29"/>
  <c r="D14" i="29"/>
  <c r="G14" i="29"/>
  <c r="E13" i="29" l="1"/>
  <c r="D13" i="29"/>
  <c r="C13" i="29"/>
  <c r="H5" i="29"/>
  <c r="G5" i="29"/>
  <c r="F5" i="29"/>
  <c r="E5" i="29"/>
  <c r="D5" i="29"/>
  <c r="C5" i="29"/>
  <c r="G16" i="5"/>
  <c r="G14" i="5"/>
  <c r="G5" i="5"/>
  <c r="C200" i="5"/>
  <c r="C106" i="5"/>
  <c r="C79" i="5"/>
  <c r="C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B7705" i="106" l="1"/>
  <c r="D7705" i="106" s="1"/>
  <c r="E67" i="184"/>
  <c r="N67" i="184" s="1"/>
  <c r="B7162" i="106"/>
  <c r="D7162" i="106" s="1"/>
  <c r="E61" i="184"/>
  <c r="N61" i="184" s="1"/>
  <c r="B7126" i="106"/>
  <c r="D7126" i="106" s="1"/>
  <c r="E57" i="184"/>
  <c r="N57" i="184" s="1"/>
  <c r="H33" i="118"/>
  <c r="F36" i="34"/>
  <c r="B7828" i="106" s="1"/>
  <c r="D7828" i="106" s="1"/>
  <c r="H342" i="29"/>
  <c r="B7696" i="106"/>
  <c r="D7696" i="106" s="1"/>
  <c r="E66" i="184"/>
  <c r="N66" i="184" s="1"/>
  <c r="B7189" i="106"/>
  <c r="D7189" i="106" s="1"/>
  <c r="E64" i="184"/>
  <c r="N64" i="184" s="1"/>
  <c r="B7171" i="106"/>
  <c r="D7171" i="106" s="1"/>
  <c r="E62" i="184"/>
  <c r="N62" i="184" s="1"/>
  <c r="B7135" i="106"/>
  <c r="D7135" i="106" s="1"/>
  <c r="E58" i="184"/>
  <c r="N58" i="184" s="1"/>
  <c r="B2724" i="106"/>
  <c r="D2724" i="106" s="1"/>
  <c r="D31" i="108"/>
  <c r="E16" i="184"/>
  <c r="H16" i="184" s="1"/>
  <c r="B7180" i="106"/>
  <c r="D7180" i="106" s="1"/>
  <c r="E63" i="184"/>
  <c r="N63" i="184" s="1"/>
  <c r="G33" i="108"/>
  <c r="E17" i="184"/>
  <c r="H17" i="184" s="1"/>
  <c r="B7198" i="106"/>
  <c r="D7198" i="106" s="1"/>
  <c r="E65" i="184"/>
  <c r="N65" i="184" s="1"/>
  <c r="B7153" i="106"/>
  <c r="D7153" i="106" s="1"/>
  <c r="E60" i="184"/>
  <c r="G30" i="108"/>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L114" i="29"/>
  <c r="L16" i="11"/>
  <c r="B2061" i="106" s="1"/>
  <c r="D2061" i="106" s="1"/>
  <c r="B6216" i="106"/>
  <c r="D6216" i="106" s="1"/>
  <c r="E367" i="29"/>
  <c r="B3635" i="106"/>
  <c r="D3635" i="106" s="1"/>
  <c r="K342" i="29"/>
  <c r="F13" i="34" s="1"/>
  <c r="N60" i="184"/>
  <c r="N68" i="184" s="1"/>
  <c r="E68" i="184"/>
  <c r="B1381" i="106"/>
  <c r="D1381" i="106" s="1"/>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J20" i="4"/>
  <c r="B6230" i="106" s="1"/>
  <c r="D6230"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c r="B6263" i="106" l="1"/>
  <c r="D6263"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<sst xmlns="http://schemas.openxmlformats.org/spreadsheetml/2006/main" count="5367" uniqueCount="2143">
  <si>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</si>
  <si>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</si>
  <si>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</si>
  <si>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</si>
  <si>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</si>
  <si>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</si>
  <si>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</si>
  <si>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</si>
  <si>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</si>
  <si>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</si>
  <si>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</si>
  <si>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</si>
  <si>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</si>
  <si>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</si>
  <si>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</si>
  <si>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</si>
  <si>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</si>
  <si>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</si>
  <si>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</si>
  <si>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</si>
  <si>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</si>
  <si>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</si>
  <si>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</si>
  <si>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</si>
  <si>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</si>
  <si>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</si>
  <si>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</si>
  <si>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</si>
  <si>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</si>
  <si>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</si>
  <si>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</si>
  <si>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</si>
  <si>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</si>
  <si>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</si>
  <si>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</si>
  <si>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</si>
  <si>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</si>
  <si>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</si>
  <si>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</si>
  <si>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</si>
  <si>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</si>
  <si>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</si>
  <si>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</si>
  <si>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</si>
  <si>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</si>
  <si>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</si>
  <si>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</si>
  <si>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</si>
  <si>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</si>
  <si>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</si>
  <si>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</si>
  <si>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</si>
  <si>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</si>
  <si>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</si>
  <si>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</si>
  <si>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</si>
  <si>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</si>
  <si>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</si>
  <si>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</si>
  <si>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</si>
  <si>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</si>
  <si>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</si>
  <si>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</si>
  <si>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</si>
  <si>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</si>
  <si>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</si>
  <si>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</si>
  <si>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</si>
  <si>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</si>
  <si>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</si>
  <si>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</si>
  <si>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</si>
  <si>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</si>
  <si>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</si>
  <si>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</si>
  <si>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</si>
  <si>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</si>
  <si>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</si>
  <si>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</si>
  <si>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</si>
  <si>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</si>
  <si>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</si>
  <si>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</si>
  <si>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</si>
  <si>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</si>
  <si>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</si>
  <si>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</si>
  <si>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</si>
  <si>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</si>
  <si>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</si>
  <si>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</si>
  <si>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</si>
  <si>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</si>
  <si>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</si>
  <si>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</si>
  <si>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</si>
  <si>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</si>
  <si>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</si>
  <si>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</si>
  <si>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</si>
  <si>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</si>
  <si>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</si>
  <si>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</si>
  <si>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</si>
  <si>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</si>
  <si>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</si>
  <si>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</si>
  <si>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</si>
  <si>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</si>
  <si>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</si>
  <si>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</si>
  <si>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</si>
  <si>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</si>
  <si>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</si>
  <si>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</si>
  <si>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</si>
  <si>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</si>
  <si>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</si>
  <si>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</si>
  <si>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</si>
  <si>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</si>
  <si>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</si>
  <si>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</si>
  <si>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</si>
  <si>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</si>
  <si>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</si>
  <si>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</si>
  <si>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</si>
  <si>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</si>
  <si>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</si>
  <si>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</si>
  <si>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</si>
  <si>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</si>
  <si>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</si>
  <si>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</si>
  <si>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</si>
  <si>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</si>
  <si>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</si>
  <si>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</si>
  <si>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</si>
  <si>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</si>
  <si>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</si>
  <si>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</si>
  <si>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</si>
  <si>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</si>
  <si>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</si>
  <si>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</si>
  <si>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</si>
  <si>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</si>
  <si>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</si>
  <si>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</si>
  <si>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</si>
  <si>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</si>
  <si>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</si>
  <si>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</si>
  <si>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</si>
  <si>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</si>
  <si>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</si>
  <si>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</si>
  <si>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</si>
  <si>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</si>
  <si>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</si>
  <si>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</si>
  <si>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</si>
  <si>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</si>
  <si>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</si>
  <si>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</si>
  <si>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</si>
  <si>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</si>
  <si>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</si>
  <si>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</si>
  <si>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</si>
  <si>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</si>
  <si>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</si>
  <si>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</si>
  <si>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</si>
  <si>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</si>
  <si>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</si>
  <si>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</si>
  <si>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</si>
  <si>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</si>
  <si>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</si>
  <si>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</si>
  <si>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</si>
  <si>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</si>
  <si>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</si>
  <si>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</si>
  <si>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</si>
  <si>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</si>
  <si>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</si>
  <si>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</si>
  <si>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</si>
  <si>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</si>
  <si>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</si>
  <si>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</si>
  <si>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</si>
  <si>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</si>
  <si>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</si>
  <si>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</si>
  <si>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</si>
  <si>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</si>
  <si>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</si>
  <si>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</si>
  <si>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</si>
  <si>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</si>
  <si>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</si>
  <si>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</si>
  <si>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</si>
  <si>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</si>
  <si>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</si>
  <si>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</si>
  <si>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</si>
  <si>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</si>
  <si>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</si>
  <si>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</si>
  <si>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</si>
  <si>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</si>
  <si>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</si>
  <si>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</si>
  <si>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</si>
  <si>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</si>
  <si>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</si>
  <si>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</si>
  <si>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</si>
  <si>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</si>
  <si>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</si>
  <si>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</si>
  <si>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</si>
  <si>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</si>
  <si>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</si>
  <si>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</si>
  <si>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</si>
  <si>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</si>
  <si>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</si>
  <si>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</si>
  <si>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</si>
  <si>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</si>
  <si>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</si>
  <si>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</si>
  <si>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</si>
  <si>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</si>
  <si>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</si>
  <si>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</si>
  <si>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</si>
  <si>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</si>
  <si>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</si>
  <si>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</si>
  <si>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</si>
  <si>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</si>
  <si>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</si>
  <si>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</si>
  <si>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</si>
  <si>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</si>
  <si>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</si>
  <si>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</si>
  <si>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</si>
  <si>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</si>
  <si>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</si>
  <si>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</si>
  <si>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</si>
  <si>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</si>
  <si>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</si>
  <si>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</si>
  <si>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</si>
  <si>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</si>
  <si>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</si>
  <si>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</si>
  <si>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</si>
  <si>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</si>
  <si>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</si>
  <si>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</si>
  <si>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</si>
  <si>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</si>
  <si>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</si>
  <si>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</si>
  <si>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</si>
  <si>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</si>
  <si>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</si>
  <si>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</si>
  <si>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</si>
  <si>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</si>
  <si>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</si>
  <si>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</si>
  <si>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</si>
  <si>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</si>
  <si>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</si>
  <si>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</si>
  <si>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</si>
  <si>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</si>
  <si>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</si>
  <si>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</si>
  <si>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</si>
  <si>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</si>
  <si>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</si>
  <si>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</si>
  <si>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</si>
  <si>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</si>
  <si>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</si>
  <si>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</si>
  <si>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</si>
  <si>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</si>
  <si>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</si>
  <si>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</si>
  <si>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</si>
  <si>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</si>
  <si>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</si>
  <si>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</si>
  <si>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</si>
  <si>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</si>
  <si>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</si>
  <si>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</si>
  <si>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</si>
  <si>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</si>
  <si>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</si>
  <si>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</si>
  <si>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</si>
  <si>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</si>
  <si>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</si>
  <si>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</si>
  <si>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</si>
  <si>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</si>
  <si>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</si>
  <si>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</si>
  <si>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</si>
  <si>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</si>
  <si>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</si>
  <si>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</si>
  <si>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</si>
  <si>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</si>
  <si>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</si>
  <si>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</si>
  <si>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</si>
  <si>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</si>
  <si>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</si>
  <si>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</si>
  <si>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</si>
  <si>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</si>
  <si>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</si>
  <si>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</si>
  <si>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</si>
  <si>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</si>
  <si>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</si>
  <si>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</si>
  <si>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</si>
  <si>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</si>
  <si>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</si>
  <si>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</si>
  <si>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</si>
  <si>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</si>
  <si>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</si>
  <si>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</si>
  <si>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</si>
  <si>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</si>
  <si>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</si>
  <si>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</si>
  <si>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</si>
  <si>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</si>
  <si>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</si>
  <si>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</si>
  <si>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</si>
  <si>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</si>
  <si>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</si>
  <si>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</si>
  <si>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</si>
  <si>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</si>
  <si>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</si>
  <si>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</si>
  <si>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</si>
  <si>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</si>
  <si>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</si>
  <si>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</si>
  <si>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</si>
  <si>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</si>
  <si>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</si>
  <si>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</si>
  <si>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</si>
  <si>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</si>
  <si>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</si>
  <si>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</si>
  <si>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</si>
  <si>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</si>
  <si>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</si>
  <si>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</si>
  <si>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</si>
  <si>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</si>
  <si>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</si>
  <si>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</si>
  <si>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</si>
  <si>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</si>
  <si>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</si>
  <si>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</si>
  <si>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</si>
  <si>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</si>
  <si>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</si>
  <si>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</si>
  <si>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</si>
  <si>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</si>
  <si>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</si>
  <si>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</si>
  <si>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</si>
  <si>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</si>
  <si>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</si>
  <si>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</si>
  <si>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</si>
  <si>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</si>
  <si>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</si>
  <si>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</si>
  <si>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</si>
  <si>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</si>
  <si>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</si>
  <si>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</si>
  <si>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</si>
  <si>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</si>
  <si>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</si>
  <si>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</si>
  <si>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</si>
  <si>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</si>
  <si>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</si>
  <si>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</si>
  <si>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</si>
  <si>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</si>
  <si>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</si>
  <si>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</si>
  <si>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</si>
  <si>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</si>
  <si>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</si>
  <si>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</si>
  <si>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</si>
  <si>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</si>
  <si>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</si>
  <si>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</si>
  <si>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</si>
  <si>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</si>
  <si>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</si>
  <si>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</si>
  <si>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</si>
  <si>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</si>
  <si>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</si>
  <si>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</si>
  <si>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</si>
  <si>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</si>
  <si>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</si>
  <si>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</si>
  <si>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</si>
  <si>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</si>
  <si>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</si>
  <si>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</si>
  <si>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</si>
  <si>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</si>
  <si>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</si>
  <si>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</si>
  <si>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</si>
  <si>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</si>
  <si>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</si>
  <si>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</si>
  <si>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</si>
  <si>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</si>
  <si>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</si>
  <si>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</si>
  <si>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</si>
  <si>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</si>
  <si>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</si>
  <si>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</si>
  <si>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</si>
  <si>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</si>
  <si>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</si>
  <si>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</si>
  <si>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</si>
  <si>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</si>
  <si>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</si>
  <si>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</si>
  <si>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</si>
  <si>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</si>
  <si>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</si>
  <si>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</si>
  <si>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</si>
  <si>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</si>
  <si>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</si>
  <si>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</si>
  <si>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</si>
  <si>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</si>
  <si>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</si>
  <si>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</si>
  <si>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</si>
  <si>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</si>
  <si>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</si>
  <si>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</si>
  <si>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</si>
  <si>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</si>
  <si>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</si>
  <si>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</si>
  <si>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</si>
  <si>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</si>
  <si>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</si>
  <si>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</si>
  <si>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</si>
  <si>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</si>
  <si>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</si>
  <si>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</si>
  <si>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</si>
  <si>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</si>
  <si>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</si>
  <si>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</si>
  <si>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</si>
  <si>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</si>
  <si>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</si>
  <si>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</si>
  <si>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</si>
  <si>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</si>
  <si>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</si>
  <si>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</si>
  <si>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</si>
  <si>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</si>
  <si>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</si>
  <si>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</si>
  <si>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</si>
  <si>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</si>
  <si>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</si>
  <si>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</si>
  <si>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</si>
  <si>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</si>
  <si>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</si>
  <si>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</si>
  <si>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</si>
  <si>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</si>
  <si>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</si>
  <si>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</si>
  <si>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</si>
  <si>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</si>
  <si>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</si>
  <si>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</si>
  <si>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</si>
  <si>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</si>
  <si>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</si>
  <si>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</si>
  <si>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</si>
  <si>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</si>
  <si>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</si>
  <si>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</si>
  <si>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</si>
  <si>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</si>
  <si>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</si>
  <si>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</si>
  <si>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</si>
  <si>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</si>
  <si>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</si>
  <si>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</si>
  <si>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</si>
  <si>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</si>
  <si>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</si>
  <si>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</si>
  <si>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</si>
  <si>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</si>
  <si>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</si>
  <si>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</si>
  <si>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</si>
  <si>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</si>
  <si>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</si>
  <si>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</si>
  <si>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</si>
  <si>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</si>
  <si>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</si>
  <si>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</si>
  <si>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</si>
  <si>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</si>
  <si>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</si>
  <si>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</si>
  <si>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</si>
  <si>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</si>
  <si>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</si>
  <si>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</si>
  <si>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</si>
  <si>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</si>
  <si>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</si>
  <si>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</si>
  <si>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</si>
  <si>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</si>
  <si>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</si>
  <si>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</si>
  <si>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</si>
  <si>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</si>
  <si>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</si>
  <si>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</si>
  <si>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</si>
  <si>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</si>
  <si>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</si>
  <si>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</si>
  <si>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</si>
  <si>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</si>
  <si>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</si>
  <si>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</si>
  <si>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</si>
  <si>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</si>
  <si>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</si>
  <si>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</si>
  <si>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</si>
  <si>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</si>
  <si>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</si>
  <si>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</si>
  <si>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</si>
  <si>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</si>
  <si>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</si>
  <si>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</si>
  <si>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</si>
  <si>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</si>
  <si>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</si>
  <si>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</si>
  <si>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</si>
  <si>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</si>
  <si>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</si>
  <si>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</si>
  <si>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</si>
  <si>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</si>
  <si>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</si>
  <si>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</si>
  <si>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</si>
  <si>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</si>
  <si>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</si>
  <si>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</si>
  <si>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</si>
  <si>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</si>
  <si>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</si>
  <si>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</si>
  <si>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</si>
  <si>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</si>
  <si>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</si>
  <si>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</si>
  <si>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</si>
  <si>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</si>
  <si>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</si>
  <si>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</si>
  <si>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</si>
  <si>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</si>
  <si>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</si>
  <si>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</si>
  <si>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</si>
  <si>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</si>
  <si>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</si>
  <si>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</si>
  <si>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</si>
  <si>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</si>
  <si>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</si>
  <si>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</si>
  <si>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</si>
  <si>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</si>
  <si>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</si>
  <si>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</si>
  <si>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</si>
  <si>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</si>
  <si>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</si>
  <si>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</si>
  <si>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</si>
  <si>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</si>
  <si>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</si>
  <si>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</si>
  <si>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</si>
  <si>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</si>
  <si>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</si>
  <si>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</si>
  <si>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</si>
  <si>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</si>
  <si>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</si>
  <si>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</si>
  <si>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</si>
  <si>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</si>
  <si>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</si>
  <si>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</si>
  <si>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</si>
  <si>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</si>
  <si>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</si>
  <si>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</si>
  <si>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</si>
  <si>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</si>
  <si>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</si>
  <si>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</si>
  <si>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</si>
  <si>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</si>
  <si>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</si>
  <si>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</si>
  <si>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</si>
  <si>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</si>
  <si>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</si>
  <si>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</si>
  <si>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</si>
  <si>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</si>
  <si>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</si>
  <si>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</si>
  <si>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</si>
  <si>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</si>
  <si>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</si>
  <si>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</si>
  <si>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</si>
  <si>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</si>
  <si>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</si>
  <si>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</si>
  <si>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</si>
  <si>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</si>
  <si>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</si>
  <si>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</si>
  <si>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</si>
  <si>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</si>
  <si>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</si>
  <si>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</si>
  <si>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</si>
  <si>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</si>
  <si>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</si>
  <si>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</si>
  <si>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</si>
  <si>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</si>
  <si>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</si>
  <si>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</si>
  <si>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</si>
  <si>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</si>
  <si>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</si>
  <si>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</si>
  <si>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</si>
  <si>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</si>
  <si>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</si>
  <si>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</si>
  <si>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</si>
  <si>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</si>
  <si>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</si>
  <si>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</si>
  <si>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</si>
  <si>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</si>
  <si>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</si>
  <si>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</si>
  <si>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</si>
  <si>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</si>
  <si>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</si>
  <si>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</si>
  <si>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</si>
  <si>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</si>
  <si>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</si>
  <si>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</si>
  <si>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</si>
  <si>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</si>
  <si>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</si>
  <si>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</si>
  <si>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</si>
  <si>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</si>
  <si>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</si>
  <si>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</si>
  <si>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</si>
  <si>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</si>
  <si>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</si>
  <si>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</si>
  <si>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</si>
  <si>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</si>
  <si>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</si>
  <si>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</si>
  <si>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</si>
  <si>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</si>
  <si>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</si>
  <si>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</si>
  <si>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</si>
  <si>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</si>
  <si>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</si>
  <si>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</si>
  <si>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</si>
  <si>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</si>
  <si>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</si>
  <si>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</si>
  <si>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</si>
  <si>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</si>
  <si>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</si>
  <si>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</si>
  <si>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</si>
  <si>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</si>
  <si>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</si>
  <si>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</si>
  <si>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</si>
  <si>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</si>
  <si>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</si>
  <si>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</si>
  <si>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</si>
  <si>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</si>
  <si>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</si>
  <si>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</si>
  <si>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</si>
  <si>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</si>
  <si>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</si>
  <si>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</si>
  <si>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</si>
  <si>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</si>
  <si>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</si>
  <si>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</si>
  <si>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</si>
  <si>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</si>
  <si>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</si>
  <si>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</si>
  <si>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</si>
  <si>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</si>
  <si>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</si>
  <si>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</si>
  <si>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</si>
  <si>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</si>
  <si>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</si>
  <si>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</si>
  <si>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</si>
  <si>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</si>
  <si>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</si>
  <si>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</si>
  <si>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</si>
  <si>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</si>
  <si>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</si>
  <si>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</si>
  <si>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</si>
  <si>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</si>
  <si>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</si>
  <si>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</si>
  <si>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</si>
  <si>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</si>
  <si>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</si>
  <si>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</si>
  <si>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</si>
  <si>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</si>
  <si>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</si>
  <si>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</si>
  <si>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</si>
  <si>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</si>
  <si>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</si>
  <si>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</si>
  <si>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</si>
  <si>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</si>
  <si>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</si>
  <si>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</si>
  <si>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</si>
  <si>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</si>
  <si>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</si>
  <si>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</si>
  <si>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</si>
  <si>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</si>
  <si>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</si>
  <si>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</si>
  <si>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</si>
  <si>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</si>
  <si>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</si>
  <si>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</si>
  <si>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</si>
  <si>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</si>
  <si>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</si>
  <si>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</si>
  <si>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</si>
  <si>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</si>
  <si>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</si>
  <si>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</si>
  <si>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</si>
  <si>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</si>
  <si>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</si>
  <si>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</si>
  <si>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</si>
  <si>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</si>
  <si>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</si>
  <si>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</si>
  <si>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</si>
  <si>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</si>
  <si>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</si>
  <si>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</si>
  <si>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</si>
  <si>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</si>
  <si>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</si>
  <si>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</si>
  <si>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</si>
  <si>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</si>
  <si>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</si>
  <si>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</si>
  <si>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</si>
  <si>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</si>
  <si>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</si>
  <si>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</si>
  <si>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</si>
  <si>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</si>
  <si>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</si>
  <si>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</si>
  <si>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</si>
  <si>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</si>
  <si>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</si>
  <si>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</si>
  <si>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</si>
  <si>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</si>
  <si>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</si>
  <si>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</si>
  <si>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</si>
  <si>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</si>
  <si>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</si>
  <si>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</si>
  <si>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</si>
  <si>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</si>
  <si>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</si>
  <si>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</si>
  <si>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</si>
  <si>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</si>
  <si>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</si>
  <si>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</si>
  <si>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</si>
  <si>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</si>
  <si>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</si>
  <si>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</si>
  <si>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</si>
  <si>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</si>
  <si>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</si>
  <si>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</si>
  <si>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</si>
  <si>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</si>
  <si>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</si>
  <si>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</si>
  <si>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</si>
  <si>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</si>
  <si>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</si>
  <si>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</si>
  <si>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</si>
  <si>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</si>
  <si>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</si>
  <si>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</si>
  <si>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</si>
  <si>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</si>
  <si>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</si>
  <si>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</si>
  <si>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</si>
  <si>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</si>
  <si>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</si>
  <si>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</si>
  <si>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</si>
  <si>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</si>
  <si>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</si>
  <si>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</si>
  <si>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</si>
  <si>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</si>
  <si>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</si>
  <si>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</si>
  <si>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</si>
  <si>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</si>
  <si>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</si>
  <si>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</si>
  <si>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</si>
  <si>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</si>
  <si>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</si>
  <si>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</si>
  <si>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</si>
  <si>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</si>
  <si>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</si>
  <si>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</si>
  <si>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</si>
  <si>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</si>
  <si>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</si>
  <si>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</si>
  <si>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</si>
  <si>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</si>
  <si>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</si>
  <si>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</si>
  <si>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</si>
  <si>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</si>
  <si>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</si>
  <si>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</si>
  <si>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</si>
  <si>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</si>
  <si>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</si>
  <si>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</si>
  <si>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</si>
  <si>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</si>
  <si>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</si>
  <si>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</si>
  <si>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</si>
  <si>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</si>
  <si>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</si>
  <si>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</si>
  <si>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</si>
  <si>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</si>
  <si>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</si>
  <si>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</si>
  <si>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</si>
  <si>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</si>
  <si>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</si>
  <si>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</si>
  <si>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</si>
  <si>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</si>
  <si>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</si>
  <si>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</si>
  <si>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</si>
  <si>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</si>
  <si>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</si>
  <si>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</si>
  <si>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</si>
  <si>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</si>
  <si>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</si>
  <si>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</si>
  <si>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</si>
  <si>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</si>
  <si>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</si>
  <si>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</si>
  <si>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</si>
  <si>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</si>
  <si>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</si>
  <si>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</si>
  <si>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</si>
  <si>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</si>
  <si>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</si>
  <si>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</si>
  <si>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</si>
  <si>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</si>
  <si>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</si>
  <si>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</si>
  <si>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</si>
  <si>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</si>
  <si>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</si>
  <si>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</si>
  <si>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</si>
  <si>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</si>
  <si>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</si>
  <si>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</si>
  <si>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</si>
  <si>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</si>
  <si>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</si>
  <si>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</si>
  <si>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</si>
  <si>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</si>
  <si>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</si>
  <si>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</si>
  <si>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</si>
  <si>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</si>
  <si>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</si>
  <si>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</si>
  <si>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</si>
  <si>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</si>
  <si>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</si>
  <si>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</si>
  <si>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</si>
  <si>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</si>
  <si>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</si>
  <si>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</si>
  <si>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</si>
  <si>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</si>
  <si>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</si>
  <si>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</si>
  <si>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</si>
  <si>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</si>
  <si>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</si>
  <si>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</si>
  <si>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</si>
  <si>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</si>
  <si>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</si>
  <si>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</si>
  <si>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</si>
  <si>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</si>
  <si>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</si>
  <si>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</si>
  <si>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</si>
  <si>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</si>
  <si>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</si>
  <si>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</si>
  <si>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</si>
  <si>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</si>
  <si>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</si>
  <si>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</si>
  <si>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</si>
  <si>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</si>
  <si>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</si>
  <si>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</si>
  <si>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</si>
  <si>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</si>
  <si>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</si>
  <si>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</si>
  <si>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</si>
  <si>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</si>
  <si>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</si>
  <si>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</si>
  <si>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</si>
  <si>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</si>
  <si>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</si>
  <si>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</si>
  <si>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</si>
  <si>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</si>
  <si>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</si>
  <si>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</si>
  <si>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</si>
  <si>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</si>
  <si>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</si>
  <si>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</si>
  <si>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</si>
  <si>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</si>
  <si>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</si>
  <si>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</si>
  <si>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</si>
  <si>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</si>
  <si>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</si>
  <si>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</si>
  <si>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</si>
  <si>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</si>
  <si>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</si>
  <si>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</si>
  <si>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</si>
  <si>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</si>
  <si>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</si>
  <si>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</si>
  <si>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</si>
  <si>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</si>
  <si>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</si>
  <si>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</si>
  <si>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</si>
  <si>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</si>
  <si>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</si>
  <si>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</si>
  <si>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</si>
  <si>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</si>
  <si>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</si>
  <si>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</si>
  <si>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</si>
  <si>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</si>
  <si>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</si>
  <si>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</si>
  <si>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</si>
  <si>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</si>
  <si>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</si>
  <si>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</si>
  <si>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</si>
  <si>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</si>
  <si>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</si>
  <si>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</si>
  <si>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</si>
  <si>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</si>
  <si>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</si>
  <si>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</si>
  <si>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</si>
  <si>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</si>
  <si>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</si>
  <si>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</si>
  <si>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</si>
  <si>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</si>
  <si>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</si>
  <si>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</si>
  <si>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</si>
  <si>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</si>
  <si>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</si>
  <si>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</si>
  <si>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</si>
  <si>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</si>
  <si>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</si>
  <si>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</si>
  <si>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</si>
  <si>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</si>
  <si>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</si>
  <si>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</si>
  <si>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</si>
  <si>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</si>
  <si>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</si>
  <si>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</si>
  <si>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</si>
  <si>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</si>
  <si>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</si>
  <si>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</si>
  <si>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</si>
  <si>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</si>
  <si>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</si>
  <si>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</si>
  <si>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</si>
  <si>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</si>
  <si>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</si>
  <si>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</si>
  <si>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</si>
  <si>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</si>
  <si>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</si>
  <si>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</si>
  <si>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</si>
  <si>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</si>
  <si>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</si>
  <si>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</si>
  <si>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</si>
  <si>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</si>
  <si>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</si>
  <si>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</si>
  <si>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</si>
  <si>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</si>
  <si>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</si>
  <si>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</si>
  <si>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</si>
  <si>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</si>
  <si>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</si>
  <si>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</si>
  <si>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</si>
  <si>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</si>
  <si>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</si>
  <si>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</si>
  <si>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</si>
  <si>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</si>
  <si>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</si>
  <si>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</si>
  <si>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</si>
  <si>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</si>
  <si>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</si>
  <si>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</si>
  <si>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</si>
  <si>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</si>
  <si>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</si>
  <si>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</si>
  <si>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</si>
  <si>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</si>
  <si>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</si>
  <si>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</si>
  <si>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</si>
  <si>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</si>
  <si>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</si>
  <si>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</si>
  <si>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</si>
  <si>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</si>
  <si>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</si>
  <si>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</si>
  <si>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</si>
  <si>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</si>
  <si>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</si>
  <si>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</si>
  <si>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</si>
  <si>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</si>
  <si>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</si>
  <si>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</si>
  <si>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</si>
  <si>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</si>
  <si>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</si>
  <si>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</si>
  <si>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</si>
  <si>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</si>
  <si>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</si>
  <si>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</si>
  <si>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</si>
  <si>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</si>
  <si>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</si>
  <si>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</si>
  <si>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</si>
  <si>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</si>
  <si>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</si>
  <si>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</si>
  <si>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</si>
  <si>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</si>
  <si>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</si>
  <si>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</si>
  <si>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</si>
  <si>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</si>
  <si>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</si>
  <si>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</si>
  <si>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</si>
  <si>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</si>
  <si>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</si>
  <si>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</si>
  <si>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</si>
  <si>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</si>
  <si>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</si>
  <si>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</si>
  <si>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</si>
  <si>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</si>
  <si>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</si>
  <si>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</si>
  <si>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</si>
  <si>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</si>
  <si>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</si>
  <si>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</si>
  <si>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</si>
  <si>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</si>
  <si>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</si>
  <si>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</si>
  <si>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</si>
  <si>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</si>
  <si>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</si>
  <si>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</si>
  <si>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</si>
  <si>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</si>
  <si>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</si>
  <si>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</si>
  <si>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</si>
  <si>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</si>
  <si>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</si>
  <si>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</si>
  <si>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</si>
  <si>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</si>
  <si>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</si>
  <si>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</si>
  <si>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</si>
  <si>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</si>
  <si>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</si>
  <si>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</si>
  <si>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</si>
  <si>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</si>
  <si>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</si>
  <si>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</si>
  <si>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</si>
  <si>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</si>
  <si>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</si>
  <si>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</si>
  <si>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</si>
  <si>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</si>
  <si>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</si>
  <si>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</si>
  <si>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</si>
  <si>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</si>
  <si>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</si>
  <si>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</si>
  <si>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</si>
  <si>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</si>
  <si>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</si>
  <si>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</si>
  <si>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</si>
  <si>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</si>
  <si>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</si>
  <si>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</si>
  <si>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</si>
  <si>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</si>
  <si>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</si>
  <si>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</si>
  <si>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</si>
  <si>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</si>
  <si>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</si>
  <si>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</si>
  <si>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</si>
  <si>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</si>
  <si>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</si>
  <si>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</si>
  <si>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</si>
  <si>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</si>
  <si>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</si>
  <si>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</si>
  <si>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</si>
  <si>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</si>
  <si>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</si>
  <si>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</si>
  <si>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</si>
  <si>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</si>
  <si>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</si>
  <si>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</si>
  <si>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</si>
  <si>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</si>
  <si>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</si>
  <si>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</si>
  <si>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</si>
  <si>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</si>
  <si>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</si>
  <si>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</si>
  <si>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</si>
  <si>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</si>
  <si>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</si>
  <si>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</si>
  <si>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</si>
  <si>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</si>
  <si>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</si>
  <si>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</si>
  <si>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</si>
  <si>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</si>
  <si>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</si>
  <si>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</si>
  <si>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</si>
  <si>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</si>
  <si>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</si>
  <si>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</si>
  <si>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</si>
  <si>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</si>
  <si>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</si>
  <si>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</si>
  <si>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</si>
  <si>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</si>
  <si>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</si>
  <si>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</si>
  <si>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</si>
  <si>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</si>
  <si>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</si>
  <si>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</si>
  <si>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</si>
  <si>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</si>
  <si>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</si>
  <si>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</si>
  <si>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</si>
  <si>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</si>
  <si>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</si>
  <si>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</si>
  <si>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</si>
  <si>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</si>
  <si>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</si>
  <si>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</si>
  <si>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</si>
  <si>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</si>
  <si>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</si>
  <si>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</si>
  <si>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</si>
  <si>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</si>
  <si>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</si>
  <si>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</si>
  <si>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</si>
  <si>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</si>
  <si>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</si>
  <si>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</si>
  <si>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</si>
  <si>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</si>
  <si>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</si>
  <si>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</si>
  <si>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</si>
  <si>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</si>
  <si>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</si>
  <si>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</si>
  <si>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</si>
  <si>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</si>
  <si>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</si>
  <si>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</si>
  <si>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</si>
  <si>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</si>
  <si>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</si>
  <si>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</si>
  <si>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</si>
  <si>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</si>
  <si>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</si>
  <si>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</si>
  <si>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</si>
  <si>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</si>
  <si>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</si>
  <si>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</si>
  <si>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</si>
  <si>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</si>
  <si>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</si>
  <si>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</si>
  <si>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</si>
  <si>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</si>
  <si>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</si>
  <si>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</si>
  <si>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</si>
  <si>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</si>
  <si>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</si>
  <si>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</si>
  <si>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</si>
  <si>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</si>
  <si>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</si>
  <si>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</si>
  <si>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</si>
  <si>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</si>
  <si>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</si>
  <si>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</si>
  <si>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</si>
  <si>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</si>
  <si>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</si>
  <si>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</si>
  <si>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</si>
  <si>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</si>
  <si>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</si>
  <si>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</si>
  <si>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</si>
  <si>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</si>
  <si>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</si>
  <si>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</si>
  <si>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</si>
  <si>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</si>
  <si>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</si>
  <si>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</si>
  <si>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</si>
  <si>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</si>
  <si>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</si>
  <si>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</si>
  <si>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</si>
  <si>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</si>
  <si>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</si>
  <si>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</si>
  <si>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</si>
  <si>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</si>
  <si>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</si>
  <si>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</si>
  <si>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</si>
  <si>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</si>
  <si>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</si>
  <si>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</si>
  <si>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</si>
  <si>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</si>
  <si>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</si>
  <si>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</si>
  <si>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</si>
  <si>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</si>
  <si>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</si>
  <si>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</si>
  <si>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</si>
  <si>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</si>
  <si>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</si>
  <si>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</si>
  <si>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</si>
  <si>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</si>
  <si>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</si>
  <si>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</si>
  <si>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</si>
  <si>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</si>
  <si>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</si>
  <si>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</si>
  <si>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</si>
  <si>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</si>
  <si>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</si>
  <si>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</si>
  <si>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</si>
  <si>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</si>
  <si>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</si>
  <si>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</si>
  <si>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</si>
  <si>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</si>
  <si>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</si>
  <si>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</si>
  <si>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</si>
  <si>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</si>
  <si>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</si>
  <si>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</si>
  <si>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</si>
  <si>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</si>
  <si>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</si>
  <si>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</si>
  <si>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</si>
  <si>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</si>
  <si>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</si>
  <si>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</si>
  <si>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</si>
  <si>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</si>
  <si>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</si>
  <si>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</si>
  <si>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</si>
  <si>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</si>
  <si>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</si>
  <si>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</si>
  <si>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</si>
  <si>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</si>
  <si>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</si>
  <si>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</si>
  <si>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</si>
  <si>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</si>
  <si>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</si>
  <si>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</si>
  <si>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</si>
  <si>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</si>
  <si>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</si>
  <si>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</si>
  <si>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</si>
  <si>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</si>
  <si>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</si>
  <si>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</si>
  <si>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</si>
  <si>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</si>
  <si>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</si>
  <si>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</si>
  <si>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</si>
  <si>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</si>
  <si>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</si>
  <si>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</si>
  <si>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</si>
  <si>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</si>
  <si>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</si>
  <si>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</si>
  <si>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</si>
  <si>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</si>
  <si>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</si>
  <si>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</si>
  <si>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</si>
  <si>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</si>
  <si>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</si>
  <si>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</si>
  <si>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</si>
  <si>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</si>
  <si>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</si>
  <si>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</si>
  <si>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</si>
  <si>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</si>
  <si>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</si>
  <si>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</si>
  <si>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</si>
  <si>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</si>
  <si>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</si>
  <si>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</si>
  <si>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</si>
  <si>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</si>
  <si>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</si>
  <si>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</si>
  <si>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</si>
  <si>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</si>
  <si>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</si>
  <si>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</si>
  <si>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</si>
  <si>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</si>
  <si>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</si>
  <si>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</si>
  <si>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</si>
  <si>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</si>
  <si>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</si>
  <si>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</si>
  <si>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</si>
  <si>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</si>
  <si>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</si>
  <si>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</si>
  <si>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</si>
  <si>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</si>
  <si>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</si>
  <si>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</si>
  <si>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</si>
  <si>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</si>
  <si>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</si>
  <si>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</si>
  <si>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</si>
  <si>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</si>
  <si>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</si>
  <si>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</si>
  <si>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</si>
  <si>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</si>
  <si>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</si>
  <si>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</si>
  <si>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</si>
  <si>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</si>
  <si>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</si>
  <si>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</si>
  <si>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</si>
  <si>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</si>
  <si>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</si>
  <si>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</si>
  <si>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</si>
  <si>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</si>
  <si>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</si>
  <si>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</si>
  <si>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</si>
  <si>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</si>
  <si>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</si>
  <si>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</si>
  <si>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</si>
  <si>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</si>
  <si>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</si>
  <si>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</si>
  <si>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</si>
  <si>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</si>
  <si>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</si>
  <si>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</si>
  <si>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</si>
  <si>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</si>
  <si>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</si>
  <si>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</si>
  <si>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</si>
  <si>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</si>
  <si>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</si>
  <si>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</si>
  <si>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</si>
  <si>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</si>
  <si>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</si>
  <si>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</si>
  <si>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</si>
  <si>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</si>
  <si>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</si>
  <si>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</si>
  <si>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</si>
  <si>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</si>
  <si>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</si>
  <si>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</si>
  <si>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</si>
  <si>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</si>
  <si>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</si>
  <si>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</si>
  <si>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</si>
  <si>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</si>
  <si>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</si>
  <si>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</si>
  <si>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</si>
  <si>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</si>
  <si>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</si>
  <si>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</si>
  <si>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</si>
  <si>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</si>
  <si>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</si>
  <si>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</si>
  <si>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</si>
  <si>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</si>
  <si>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</si>
  <si>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</si>
  <si>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</si>
  <si>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</si>
  <si>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</si>
  <si>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</si>
  <si>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</si>
  <si>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</si>
  <si>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</si>
  <si>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</si>
  <si>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</si>
  <si>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</si>
  <si>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</si>
  <si>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</si>
  <si>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</si>
  <si>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</si>
  <si>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</si>
  <si>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</si>
  <si>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</si>
  <si>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</si>
  <si>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</si>
  <si>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</si>
  <si>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</si>
  <si>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</si>
  <si>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</si>
  <si>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</si>
  <si>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</si>
  <si>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</si>
  <si>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</si>
  <si>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</si>
  <si>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</si>
  <si>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</si>
  <si>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</si>
  <si>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</si>
  <si>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</si>
  <si>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</si>
  <si>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</si>
  <si>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</si>
  <si>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</si>
  <si>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</si>
  <si>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</si>
  <si>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</si>
  <si>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</si>
  <si>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</si>
  <si>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</si>
  <si>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</si>
  <si>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</si>
  <si>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</si>
  <si>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</si>
  <si>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</si>
  <si>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</si>
  <si>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</si>
  <si>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</si>
  <si>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</si>
  <si>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</si>
  <si>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</si>
  <si>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</si>
  <si>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</si>
  <si>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</si>
  <si>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</si>
  <si>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</si>
  <si>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</si>
  <si>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</si>
  <si>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</si>
  <si>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</si>
  <si>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</si>
  <si>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</si>
  <si>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</si>
  <si>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</si>
  <si>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</si>
  <si>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</si>
  <si>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</si>
  <si>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</si>
  <si>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</si>
  <si>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</si>
  <si>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</si>
  <si>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</si>
  <si>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</si>
  <si>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</si>
  <si>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</si>
  <si>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</si>
  <si>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</si>
  <si>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</si>
  <si>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</si>
  <si>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</si>
  <si>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</si>
  <si>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</si>
  <si>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</si>
  <si>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</si>
  <si>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</si>
  <si>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</si>
  <si>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</si>
  <si>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</si>
  <si>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</si>
  <si>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</si>
  <si>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</si>
  <si>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</si>
  <si>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</si>
  <si>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</si>
  <si>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</si>
  <si>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</si>
  <si>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</si>
  <si>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</si>
  <si>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</si>
  <si>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</si>
  <si>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</si>
  <si>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</si>
  <si>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</si>
  <si>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</si>
  <si>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</si>
  <si>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</si>
  <si>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</si>
  <si>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</si>
  <si>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</si>
  <si>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</si>
  <si>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</si>
  <si>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</si>
  <si>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</si>
  <si>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</si>
  <si>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</si>
  <si>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</si>
  <si>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</si>
  <si>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</si>
  <si>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</si>
  <si>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</si>
  <si>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</si>
  <si>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</si>
  <si>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</si>
  <si>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</si>
  <si>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</si>
  <si>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</si>
  <si>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</si>
  <si>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</si>
  <si>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</si>
  <si>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</si>
  <si>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</si>
  <si>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</si>
  <si>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</si>
  <si>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</si>
  <si>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</si>
  <si>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</si>
  <si>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</si>
  <si>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</si>
  <si>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</si>
  <si>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</si>
  <si>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</si>
  <si>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</si>
  <si>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</si>
  <si>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</si>
  <si>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</si>
  <si>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</si>
  <si>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</si>
  <si>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</si>
  <si>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</si>
  <si>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</si>
  <si>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</si>
  <si>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</si>
  <si>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</si>
  <si>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</si>
  <si>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</si>
  <si>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</si>
  <si>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</si>
  <si>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</si>
  <si>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</si>
  <si>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</si>
  <si>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</si>
  <si>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</si>
  <si>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</si>
  <si>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</si>
  <si>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</si>
  <si>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</si>
  <si>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</si>
  <si>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</si>
  <si>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</si>
  <si>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</si>
  <si>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</si>
  <si>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</si>
  <si>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</si>
  <si>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</si>
  <si>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</si>
  <si>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</si>
  <si>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</si>
  <si>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</si>
  <si>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</si>
  <si>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</si>
  <si>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</si>
  <si>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</si>
  <si>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</si>
  <si>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</si>
  <si>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</si>
  <si>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</si>
  <si>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</si>
  <si>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</si>
  <si>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</si>
  <si>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</si>
  <si>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</si>
  <si>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</si>
  <si>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</si>
  <si>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</si>
  <si>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</si>
  <si>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</si>
  <si>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</si>
  <si>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</si>
  <si>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</si>
  <si>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</si>
  <si>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</si>
  <si>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</si>
  <si>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</si>
  <si>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</si>
  <si>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</si>
  <si>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</si>
  <si>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</si>
  <si>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</si>
  <si>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</si>
  <si>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</si>
  <si>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</si>
  <si>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</si>
  <si>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</si>
  <si>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</si>
  <si>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</si>
  <si>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</si>
  <si>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</si>
  <si>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</si>
  <si>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</si>
  <si>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</si>
  <si>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</si>
  <si>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</si>
  <si>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</si>
  <si>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</si>
  <si>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</si>
  <si>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</si>
  <si>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</si>
  <si>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</si>
  <si>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</si>
  <si>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</si>
  <si>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</si>
  <si>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</si>
  <si>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</si>
  <si>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</si>
  <si>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</si>
  <si>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</si>
  <si>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</si>
  <si>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</si>
  <si>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</si>
  <si>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</si>
  <si>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</si>
  <si>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</si>
  <si>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</si>
  <si>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</si>
  <si>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</si>
  <si>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</si>
  <si>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</si>
  <si>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</si>
  <si>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</si>
  <si>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</si>
  <si>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</si>
  <si>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</si>
  <si>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</si>
  <si>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</si>
  <si>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</si>
  <si>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</si>
  <si>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</si>
  <si>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</si>
  <si>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</si>
  <si>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</si>
  <si>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</si>
  <si>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</si>
  <si>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</si>
  <si>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</si>
  <si>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</si>
  <si>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</si>
  <si>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</si>
  <si>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</si>
  <si>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</si>
  <si>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</si>
  <si>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</si>
  <si>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</si>
  <si>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</si>
  <si>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</si>
  <si>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</si>
  <si>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</si>
  <si>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</si>
  <si>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</si>
  <si>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</si>
  <si>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</si>
  <si>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</si>
  <si>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</si>
  <si>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</si>
  <si>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</si>
  <si>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</si>
  <si>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</si>
  <si>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</si>
  <si>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</si>
  <si>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</si>
  <si>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</si>
  <si>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</si>
  <si>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</si>
  <si>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</si>
  <si>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</si>
  <si>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</si>
  <si>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</si>
  <si>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</si>
  <si>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</si>
  <si>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</si>
  <si>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</si>
  <si>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</si>
  <si>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</si>
  <si>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</si>
  <si>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</si>
  <si>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</si>
  <si>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</si>
  <si>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</si>
  <si>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</si>
  <si>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</si>
  <si>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</si>
  <si>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</si>
  <si>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</si>
  <si>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</si>
  <si>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</si>
  <si>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</si>
  <si>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</si>
  <si>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</si>
  <si>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</si>
  <si>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</si>
  <si>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</si>
  <si>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</si>
  <si>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</si>
  <si>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</si>
  <si>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</si>
  <si>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</si>
  <si>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</si>
  <si>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</si>
  <si>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</si>
  <si>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</si>
  <si>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</si>
  <si>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</si>
  <si>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</si>
  <si>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</si>
  <si>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</si>
  <si>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</si>
  <si>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</si>
  <si>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</si>
  <si>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</si>
  <si>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</si>
  <si>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</si>
  <si>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</si>
  <si>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</si>
  <si>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</si>
  <si>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</si>
  <si>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</si>
  <si>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</si>
  <si>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</si>
  <si>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</si>
  <si>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</si>
  <si>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</si>
  <si>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</si>
  <si>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</si>
  <si>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</si>
  <si>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</si>
  <si>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</si>
  <si>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</si>
  <si>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</si>
  <si>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</si>
  <si>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</si>
  <si>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</si>
  <si>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</si>
  <si>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</si>
  <si>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</si>
  <si>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</si>
  <si>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</si>
  <si>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</si>
  <si>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</si>
  <si>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</si>
  <si>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</si>
  <si>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</si>
  <si>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</si>
  <si>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</si>
  <si>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</si>
  <si>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</si>
  <si>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</si>
  <si>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</si>
  <si>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</si>
  <si>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</si>
  <si>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</si>
  <si>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</si>
  <si>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</si>
  <si>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</si>
  <si>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</si>
  <si>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</si>
  <si>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</si>
  <si>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Williamson</t>
  </si>
  <si>
    <t>200 East 12th Street</t>
  </si>
  <si>
    <t>Johnston City</t>
  </si>
  <si>
    <t>Mrs. Kathy Clark</t>
  </si>
  <si>
    <t>618-983-8021</t>
  </si>
  <si>
    <t>618-983-6034</t>
  </si>
  <si>
    <t>Cindy A. Bobell, CPA</t>
  </si>
  <si>
    <t>10653 Khoury League Road</t>
  </si>
  <si>
    <t>Marion</t>
  </si>
  <si>
    <t>IL</t>
  </si>
  <si>
    <t>618-997-9711</t>
  </si>
  <si>
    <t>618-997-8014</t>
  </si>
  <si>
    <t>065-022629</t>
  </si>
  <si>
    <t>cabcpa@frontier.com</t>
  </si>
  <si>
    <t>The report is qualified due to a lack of supporting documentation for the capital assets.</t>
  </si>
  <si>
    <t>General Obligation Capital Appreciation Bonds, Series 2010</t>
  </si>
  <si>
    <t>General Obligation Limited School Bonds, Series 2012</t>
  </si>
  <si>
    <t>Limited School Bonds</t>
  </si>
  <si>
    <t>General Obligation Capital Appreciation</t>
  </si>
  <si>
    <t>U.S. Department of Agriculture Passed through ISBE:</t>
  </si>
  <si>
    <t>Food Service</t>
  </si>
  <si>
    <t>Compass Group USA Inc</t>
  </si>
  <si>
    <t>2019-4210</t>
  </si>
  <si>
    <t>2020-4210</t>
  </si>
  <si>
    <t>2019-4220</t>
  </si>
  <si>
    <t>2020-4220</t>
  </si>
  <si>
    <t xml:space="preserve">   Subtotal CFDA# 10.553</t>
  </si>
  <si>
    <t xml:space="preserve">   Subtotal CFDA# 10.555</t>
  </si>
  <si>
    <t>Subtotal Child Nutrition Program - Food Distribution Cluster</t>
  </si>
  <si>
    <t>NSLP Equipment Assistance Grant</t>
  </si>
  <si>
    <t xml:space="preserve">   Subtotal U.S. Department of Agriculture</t>
  </si>
  <si>
    <t>U.S. Department of Education Passed Through ISBE:</t>
  </si>
  <si>
    <t>2020-4260</t>
  </si>
  <si>
    <t>2020-4225</t>
  </si>
  <si>
    <t>84.010A</t>
  </si>
  <si>
    <t>National Lunch Program FY19 (M)</t>
  </si>
  <si>
    <t>National Lunch Program FY20 (M)</t>
  </si>
  <si>
    <t>National Lunch Commodities Assistance (non-cash) (M)</t>
  </si>
  <si>
    <t>National Lunch Commodities Assistance (DOD Fresh non-cash) (M)</t>
  </si>
  <si>
    <t>National Breakfast Program FY19 (M)</t>
  </si>
  <si>
    <t>Summer Food Service (M)</t>
  </si>
  <si>
    <t>Title I: Low Income FY19</t>
  </si>
  <si>
    <t>2020-4300</t>
  </si>
  <si>
    <t>Title I: Low Income FY20</t>
  </si>
  <si>
    <t>Title I: School Improvement and Accountability</t>
  </si>
  <si>
    <t>2020-4331</t>
  </si>
  <si>
    <t xml:space="preserve">   Subtotal CDFA# 84.010A</t>
  </si>
  <si>
    <t>84.367A</t>
  </si>
  <si>
    <t xml:space="preserve">   Subtotal CDFA# 84.367A</t>
  </si>
  <si>
    <t>84.424A</t>
  </si>
  <si>
    <t>2019-4300</t>
  </si>
  <si>
    <t xml:space="preserve">      Subtotal U.S. Dept of Education Passed Through  ISBE</t>
  </si>
  <si>
    <t>U.S. Dept of Health and Human Services Passed Through Il Dept of Healthcare and Family Services</t>
  </si>
  <si>
    <t>Medical Assistance Program</t>
  </si>
  <si>
    <t xml:space="preserve">   Subtotal U.S. Dept of Health and Human Services (Medicaid Cluster)</t>
  </si>
  <si>
    <t>Federal Emergency Management Agency Passed Through the Illinois Emergency Management Agency</t>
  </si>
  <si>
    <t>Public Assistance Grant</t>
  </si>
  <si>
    <t xml:space="preserve">   Subtotal Federal Emergency Management Agency Passed Through the Illinois Emergency Management Agency</t>
  </si>
  <si>
    <t>Total Federal Awards</t>
  </si>
  <si>
    <t>2019-4331</t>
  </si>
  <si>
    <t>The accompanying Schedule of Expenditures of Federal Awards includes the federal grant activity of Johnston City Community Unit School District and is presented on the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</si>
  <si>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</si>
  <si>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Qualified and Adverse</t>
  </si>
  <si>
    <t>Unmodified</t>
  </si>
  <si>
    <t>10.555, 10.553, 10.559</t>
  </si>
  <si>
    <t>Child Nutrition Cluster</t>
  </si>
  <si>
    <t>In order to properly safeguard and account for fixed assets, a detailed list of all fixed assets held should be maintained, including a description of the item, the date it was acquired and the cost.  The list should be regularly updated and verified periodically.</t>
  </si>
  <si>
    <t>Fixed assets are not properly safeguarded or accounted for in accordance with generally accepted accounting principles and good internal controls.</t>
  </si>
  <si>
    <t>The cost of maintaining a current list of fixed assets exceeds the benefit.</t>
  </si>
  <si>
    <t>A current list of fixed assets should be prepared and maintained to better safeguard and account for fixed assets.</t>
  </si>
  <si>
    <t>The cost benefit of establishing and maintaining these controls cannot be justified.  When the value of this information exceeds the cost of obtaining it, the District will comply.</t>
  </si>
  <si>
    <t>Actual expenditures should not exceed budgeted expenditures.</t>
  </si>
  <si>
    <t>The District did not comply with budget requirements.</t>
  </si>
  <si>
    <t>Controls were not adequate to ensure budget compliance.</t>
  </si>
  <si>
    <t>Budget to actual comparisons should be made periodically during the year and transfers and amendments should be made as necessary.  All anticipated expenditures should be included in the budget.</t>
  </si>
  <si>
    <t>The District will review the budget to actual comparisons and make adjustments as necessary.  The District will also review the internal controls related to the budget process and amend as needed.</t>
  </si>
  <si>
    <t>2019-001</t>
  </si>
  <si>
    <t>See Finding 2020-001</t>
  </si>
  <si>
    <t>Fixed assets are not properly accounted for</t>
  </si>
  <si>
    <t>and safeguraded.</t>
  </si>
  <si>
    <t>Page 10 Line 72 - Sales to ECHO Pupils</t>
  </si>
  <si>
    <t>Page 11 Line 106 - Latchkey Fees</t>
  </si>
  <si>
    <t>Page 11 Line 107 - Athletic entry fees and other miscellaneous</t>
  </si>
  <si>
    <t>Page 10 Line 81 - Student Activity Revenue - See Note 7</t>
  </si>
  <si>
    <t>Page 13 Line 197 - Kitchen Equipment Grant</t>
  </si>
  <si>
    <t>page 15 Line 41 - Crossing Guard and Lunch Duty Salaries</t>
  </si>
  <si>
    <t>The District expenditures exceeded budgeted expenditures in one fund.</t>
  </si>
  <si>
    <t>A current list of fixed assets was not available for testing.</t>
  </si>
  <si>
    <t>Page 12 Line 168 - Fund 10-After School Grant Program</t>
  </si>
  <si>
    <t>Williamson County Education Services</t>
  </si>
  <si>
    <t xml:space="preserve">   Subtotal CDFA# 84.424A</t>
  </si>
  <si>
    <t>Johnston City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</si>
</sst>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514350</xdr:colOff>
          <xdr:row>1</xdr:row>
          <xdr:rowOff>95250</xdr:rowOff>
        </xdr:from>
        <xdr:to>
          <xdr:col>1</xdr:col>
          <xdr:colOff>1428750</xdr:colOff>
          <xdr:row>6</xdr:row>
          <xdr:rowOff>57150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7"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2002</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2050</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2050</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21100001026</v>
      </c>
      <c r="B13" s="2088"/>
      <c r="C13" s="2088"/>
      <c r="D13" s="2088"/>
      <c r="E13" s="2088"/>
      <c r="F13" s="2088"/>
      <c r="G13" s="2088"/>
      <c r="H13" s="2089"/>
      <c r="I13" s="31"/>
      <c r="J13" s="30"/>
      <c r="K13" s="28"/>
      <c r="L13" s="30"/>
      <c r="M13" s="30"/>
      <c r="N13" s="30"/>
      <c r="O13" s="30"/>
      <c r="P13" s="30"/>
      <c r="Q13" s="30"/>
      <c r="R13" s="30"/>
      <c r="S13" s="30"/>
      <c r="T13" s="2092" t="s">
        <v>2057</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2051</v>
      </c>
      <c r="B15" s="2090"/>
      <c r="C15" s="2090"/>
      <c r="D15" s="2090"/>
      <c r="E15" s="2090"/>
      <c r="F15" s="2090"/>
      <c r="G15" s="2090"/>
      <c r="H15" s="2091"/>
      <c r="T15" s="2053" t="s">
        <v>2057</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2142</v>
      </c>
      <c r="B17" s="2115"/>
      <c r="C17" s="2115"/>
      <c r="D17" s="2115"/>
      <c r="E17" s="2115"/>
      <c r="F17" s="2115"/>
      <c r="G17" s="2115"/>
      <c r="H17" s="2116"/>
      <c r="T17" s="2102" t="s">
        <v>2058</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2052</v>
      </c>
      <c r="B19" s="2086"/>
      <c r="C19" s="2086"/>
      <c r="D19" s="2086"/>
      <c r="E19" s="2086"/>
      <c r="F19" s="2086"/>
      <c r="G19" s="2086"/>
      <c r="H19" s="2084"/>
      <c r="I19" s="30"/>
      <c r="J19" s="96"/>
      <c r="K19" s="40"/>
      <c r="L19" s="38"/>
      <c r="M19" s="109" t="s">
        <v>312</v>
      </c>
      <c r="P19" s="27"/>
      <c r="Q19" s="27"/>
      <c r="R19" s="27"/>
      <c r="S19" s="31"/>
      <c r="T19" s="2085" t="s">
        <v>2059</v>
      </c>
      <c r="U19" s="2083"/>
      <c r="V19" s="2083"/>
      <c r="W19" s="2084"/>
      <c r="X19" s="2100" t="s">
        <v>2060</v>
      </c>
      <c r="Y19" s="2101"/>
      <c r="Z19" s="2098">
        <v>62959</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2053</v>
      </c>
      <c r="B21" s="2083"/>
      <c r="C21" s="2083"/>
      <c r="D21" s="2083"/>
      <c r="E21" s="2083"/>
      <c r="F21" s="2083"/>
      <c r="G21" s="2083"/>
      <c r="H21" s="2084"/>
      <c r="I21" s="2108" t="s">
        <v>673</v>
      </c>
      <c r="J21" s="2071"/>
      <c r="K21" s="2071"/>
      <c r="L21" s="2071"/>
      <c r="M21" s="2071"/>
      <c r="N21" s="2071"/>
      <c r="O21" s="2071"/>
      <c r="P21" s="2071"/>
      <c r="Q21" s="2071"/>
      <c r="R21" s="2071"/>
      <c r="S21" s="2072"/>
      <c r="T21" s="2050" t="s">
        <v>2061</v>
      </c>
      <c r="U21" s="2051"/>
      <c r="V21" s="2051"/>
      <c r="W21" s="2051"/>
      <c r="X21" s="2064" t="s">
        <v>2062</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t="s">
        <v>2063</v>
      </c>
      <c r="U23" s="2046"/>
      <c r="V23" s="2046"/>
      <c r="W23" s="2046"/>
      <c r="X23" s="2061">
        <v>44469</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62951</v>
      </c>
      <c r="B25" s="2083"/>
      <c r="C25" s="2083"/>
      <c r="D25" s="2083"/>
      <c r="E25" s="2083"/>
      <c r="F25" s="2083"/>
      <c r="G25" s="2083"/>
      <c r="H25" s="2084"/>
      <c r="I25" s="110"/>
      <c r="J25" s="2149"/>
      <c r="K25" s="2149"/>
      <c r="L25" s="2149"/>
      <c r="M25" s="2149"/>
      <c r="N25" s="2149"/>
      <c r="O25" s="2149"/>
      <c r="P25" s="2149"/>
      <c r="Q25" s="2149"/>
      <c r="R25" s="2149"/>
      <c r="S25" s="2150"/>
      <c r="T25" s="2042" t="s">
        <v>2064</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2050</v>
      </c>
      <c r="C29" s="121" t="s">
        <v>815</v>
      </c>
      <c r="D29" s="111"/>
      <c r="E29" s="133"/>
      <c r="F29" s="137" t="s">
        <v>1305</v>
      </c>
      <c r="G29" s="111"/>
      <c r="I29" s="51"/>
      <c r="J29" s="144" t="s">
        <v>2050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144" t="s">
        <v>2050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2054</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2055</v>
      </c>
      <c r="B42" s="2132"/>
      <c r="C42" s="2133"/>
      <c r="D42" s="2146" t="s">
        <v>2056</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&amp;F&amp;R
B - 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2" sqref="A42:C4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1902580</v>
      </c>
      <c r="C4" s="1722"/>
      <c r="D4" s="1723">
        <f>B4-C4</f>
        <v>1902580</v>
      </c>
      <c r="E4" s="1722"/>
      <c r="F4" s="1723">
        <f>E4-C4</f>
        <v>0</v>
      </c>
    </row>
    <row r="5" spans="1:8" ht="13.7" customHeight="1" x14ac:dyDescent="0.2">
      <c r="A5" s="579" t="s">
        <v>865</v>
      </c>
      <c r="B5" s="1724">
        <f>'Revenues 9-14'!D5</f>
        <v>371088</v>
      </c>
      <c r="C5" s="1664"/>
      <c r="D5" s="1725">
        <f t="shared" ref="D5:D18" si="0">B5-C5</f>
        <v>371088</v>
      </c>
      <c r="E5" s="1664"/>
      <c r="F5" s="1725">
        <f>E5-C5</f>
        <v>0</v>
      </c>
    </row>
    <row r="6" spans="1:8" ht="13.7" customHeight="1" x14ac:dyDescent="0.2">
      <c r="A6" s="579" t="s">
        <v>408</v>
      </c>
      <c r="B6" s="1724">
        <f>'Revenues 9-14'!E5</f>
        <v>687730</v>
      </c>
      <c r="C6" s="1664"/>
      <c r="D6" s="1725">
        <f t="shared" si="0"/>
        <v>687730</v>
      </c>
      <c r="E6" s="1664"/>
      <c r="F6" s="1725">
        <f t="shared" ref="F6:F18" si="1">E6-C6</f>
        <v>0</v>
      </c>
    </row>
    <row r="7" spans="1:8" ht="13.7" customHeight="1" x14ac:dyDescent="0.2">
      <c r="A7" s="579" t="s">
        <v>154</v>
      </c>
      <c r="B7" s="1724">
        <f>'Revenues 9-14'!F5</f>
        <v>216533</v>
      </c>
      <c r="C7" s="1664"/>
      <c r="D7" s="1725">
        <f t="shared" si="0"/>
        <v>216533</v>
      </c>
      <c r="E7" s="1664"/>
      <c r="F7" s="1725">
        <f t="shared" si="1"/>
        <v>0</v>
      </c>
    </row>
    <row r="8" spans="1:8" ht="13.7" customHeight="1" x14ac:dyDescent="0.2">
      <c r="A8" s="579" t="s">
        <v>1169</v>
      </c>
      <c r="B8" s="1724">
        <f>'Revenues 9-14'!G5</f>
        <v>98443</v>
      </c>
      <c r="C8" s="1664"/>
      <c r="D8" s="1725">
        <f t="shared" si="0"/>
        <v>98443</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31126</v>
      </c>
      <c r="C10" s="1664"/>
      <c r="D10" s="1725">
        <f t="shared" si="0"/>
        <v>31126</v>
      </c>
      <c r="E10" s="1664"/>
      <c r="F10" s="1725">
        <f t="shared" si="1"/>
        <v>0</v>
      </c>
    </row>
    <row r="11" spans="1:8" x14ac:dyDescent="0.2">
      <c r="A11" s="579" t="s">
        <v>406</v>
      </c>
      <c r="B11" s="1724">
        <f>'Revenues 9-14'!J5</f>
        <v>155664</v>
      </c>
      <c r="C11" s="1664"/>
      <c r="D11" s="1725">
        <f t="shared" si="0"/>
        <v>155664</v>
      </c>
      <c r="E11" s="1664"/>
      <c r="F11" s="1725">
        <f t="shared" si="1"/>
        <v>0</v>
      </c>
    </row>
    <row r="12" spans="1:8" ht="13.7" customHeight="1" x14ac:dyDescent="0.2">
      <c r="A12" s="579" t="s">
        <v>156</v>
      </c>
      <c r="B12" s="1724">
        <f>'Revenues 9-14'!K5</f>
        <v>31126</v>
      </c>
      <c r="C12" s="1664"/>
      <c r="D12" s="1725">
        <f t="shared" si="0"/>
        <v>31126</v>
      </c>
      <c r="E12" s="1664"/>
      <c r="F12" s="1725">
        <f t="shared" si="1"/>
        <v>0</v>
      </c>
    </row>
    <row r="13" spans="1:8" ht="13.7" customHeight="1" x14ac:dyDescent="0.2">
      <c r="A13" s="579" t="s">
        <v>930</v>
      </c>
      <c r="B13" s="1724">
        <f>SUM('Revenues 9-14'!C6:D6)</f>
        <v>7736</v>
      </c>
      <c r="C13" s="1664"/>
      <c r="D13" s="1725">
        <f t="shared" si="0"/>
        <v>7736</v>
      </c>
      <c r="E13" s="1664"/>
      <c r="F13" s="1725">
        <f t="shared" si="1"/>
        <v>0</v>
      </c>
    </row>
    <row r="14" spans="1:8" ht="13.7" customHeight="1" x14ac:dyDescent="0.2">
      <c r="A14" s="579" t="s">
        <v>407</v>
      </c>
      <c r="B14" s="1724">
        <f>SUM('Revenues 9-14'!C7:D7,'Revenues 9-14'!F7:H7)</f>
        <v>31126</v>
      </c>
      <c r="C14" s="1664"/>
      <c r="D14" s="1725">
        <f t="shared" si="0"/>
        <v>31126</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98443</v>
      </c>
      <c r="C16" s="1664"/>
      <c r="D16" s="1725">
        <f t="shared" si="0"/>
        <v>98443</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3631595</v>
      </c>
      <c r="C19" s="1726">
        <f>SUM(C4:C18)</f>
        <v>0</v>
      </c>
      <c r="D19" s="1726">
        <f>SUM(D4:D18)</f>
        <v>3631595</v>
      </c>
      <c r="E19" s="1726">
        <f>SUM(E4:E18)</f>
        <v>0</v>
      </c>
      <c r="F19" s="1726">
        <f>SUM(F4:F18)</f>
        <v>0</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23" colorId="8" zoomScale="110" zoomScaleNormal="110" workbookViewId="0">
      <selection activeCell="A42" sqref="A42:C4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1778</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2005</v>
      </c>
      <c r="B24" s="2292"/>
      <c r="C24" s="2300"/>
      <c r="D24" s="2301"/>
      <c r="E24" s="2301"/>
      <c r="F24" s="2302"/>
    </row>
    <row r="25" spans="1:11" ht="13.5" thickBot="1" x14ac:dyDescent="0.25">
      <c r="A25" s="2306" t="s">
        <v>2006</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40197</v>
      </c>
      <c r="C31" s="1734">
        <v>5696960</v>
      </c>
      <c r="D31" s="1735">
        <v>8</v>
      </c>
      <c r="E31" s="1734">
        <v>3258340</v>
      </c>
      <c r="F31" s="1734"/>
      <c r="G31" s="1734"/>
      <c r="H31" s="1734">
        <v>392185</v>
      </c>
      <c r="I31" s="1736">
        <f>((E31+F31)-H31)+G31</f>
        <v>2866155</v>
      </c>
      <c r="J31" s="1734">
        <v>2694901</v>
      </c>
      <c r="K31" s="596"/>
    </row>
    <row r="32" spans="1:11" ht="12" customHeight="1" x14ac:dyDescent="0.2">
      <c r="A32" s="594" t="s">
        <v>2067</v>
      </c>
      <c r="B32" s="595">
        <v>41244</v>
      </c>
      <c r="C32" s="1734">
        <v>5500000</v>
      </c>
      <c r="D32" s="1735">
        <v>7</v>
      </c>
      <c r="E32" s="1734">
        <v>2625000</v>
      </c>
      <c r="F32" s="1734"/>
      <c r="G32" s="1734"/>
      <c r="H32" s="1734">
        <v>625000</v>
      </c>
      <c r="I32" s="1736">
        <f>((E32+F32)-H32)+G32</f>
        <v>2000000</v>
      </c>
      <c r="J32" s="1734">
        <v>2000000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11196960</v>
      </c>
      <c r="D49" s="1742"/>
      <c r="E49" s="1736">
        <f t="shared" ref="E49:J49" si="2">SUM(E31:E48)</f>
        <v>5883340</v>
      </c>
      <c r="F49" s="1736">
        <f t="shared" si="2"/>
        <v>0</v>
      </c>
      <c r="G49" s="1736">
        <f t="shared" si="2"/>
        <v>0</v>
      </c>
      <c r="H49" s="1736">
        <f t="shared" si="2"/>
        <v>1017185</v>
      </c>
      <c r="I49" s="1736">
        <f t="shared" si="2"/>
        <v>4866155</v>
      </c>
      <c r="J49" s="1736">
        <f t="shared" si="2"/>
        <v>4694901</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2068</v>
      </c>
      <c r="G52" s="2313"/>
      <c r="H52" s="596"/>
      <c r="I52" s="596"/>
      <c r="J52" s="600"/>
    </row>
    <row r="53" spans="1:11" ht="11.25" customHeight="1" x14ac:dyDescent="0.2">
      <c r="A53" s="604" t="s">
        <v>907</v>
      </c>
      <c r="B53" s="605" t="s">
        <v>945</v>
      </c>
      <c r="C53" s="600"/>
      <c r="D53" s="597"/>
      <c r="E53" s="603" t="s">
        <v>494</v>
      </c>
      <c r="F53" s="2314" t="s">
        <v>2069</v>
      </c>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 colorId="8" zoomScale="110" zoomScaleNormal="110" workbookViewId="0">
      <selection activeCell="A42" sqref="A42:C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1788</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31126</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11187</v>
      </c>
    </row>
    <row r="8" spans="1:11" x14ac:dyDescent="0.2">
      <c r="A8" s="629" t="s">
        <v>342</v>
      </c>
      <c r="B8" s="630"/>
      <c r="C8" s="630"/>
      <c r="D8" s="630"/>
      <c r="E8" s="631"/>
      <c r="F8" s="622" t="s">
        <v>846</v>
      </c>
      <c r="G8" s="1753"/>
      <c r="H8" s="1753"/>
      <c r="I8" s="1753"/>
      <c r="J8" s="1745">
        <v>758389</v>
      </c>
      <c r="K8" s="1748"/>
    </row>
    <row r="9" spans="1:11" x14ac:dyDescent="0.2">
      <c r="A9" s="629" t="s">
        <v>137</v>
      </c>
      <c r="B9" s="630"/>
      <c r="C9" s="630"/>
      <c r="D9" s="630"/>
      <c r="E9" s="631"/>
      <c r="F9" s="628" t="s">
        <v>848</v>
      </c>
      <c r="G9" s="1753"/>
      <c r="H9" s="1749"/>
      <c r="I9" s="1749"/>
      <c r="J9" s="1752"/>
      <c r="K9" s="1745"/>
    </row>
    <row r="10" spans="1:11" x14ac:dyDescent="0.2">
      <c r="A10" s="2349" t="s">
        <v>1789</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31126</v>
      </c>
      <c r="I12" s="1755">
        <f>SUM(I5:I11)</f>
        <v>0</v>
      </c>
      <c r="J12" s="1755">
        <f>SUM(J5:J11)</f>
        <v>758389</v>
      </c>
      <c r="K12" s="1755">
        <f>SUM(K5:K11)</f>
        <v>11187</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31126</v>
      </c>
      <c r="I14" s="1749"/>
      <c r="J14" s="1751"/>
      <c r="K14" s="1745">
        <v>11187</v>
      </c>
    </row>
    <row r="15" spans="1:11" x14ac:dyDescent="0.2">
      <c r="A15" s="2320" t="s">
        <v>4</v>
      </c>
      <c r="B15" s="2320"/>
      <c r="C15" s="2320"/>
      <c r="D15" s="2320"/>
      <c r="E15" s="2350"/>
      <c r="F15" s="635" t="s">
        <v>850</v>
      </c>
      <c r="G15" s="1749"/>
      <c r="H15" s="1744"/>
      <c r="I15" s="1744"/>
      <c r="J15" s="1745">
        <v>706356</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1785</v>
      </c>
      <c r="B19" s="2357"/>
      <c r="C19" s="2357"/>
      <c r="D19" s="2357"/>
      <c r="E19" s="2358"/>
      <c r="F19" s="635" t="s">
        <v>927</v>
      </c>
      <c r="G19" s="1753"/>
      <c r="H19" s="1753"/>
      <c r="I19" s="1753"/>
      <c r="J19" s="1745">
        <v>52033</v>
      </c>
      <c r="K19" s="1763"/>
    </row>
    <row r="20" spans="1:15" x14ac:dyDescent="0.2">
      <c r="A20" s="2334" t="s">
        <v>1790</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52033</v>
      </c>
      <c r="K21" s="1761"/>
    </row>
    <row r="22" spans="1:15" ht="13.5" thickTop="1" x14ac:dyDescent="0.2">
      <c r="A22" s="2320" t="s">
        <v>1791</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31126</v>
      </c>
      <c r="I23" s="1755">
        <f>SUM(I14:I16,I21,I22)</f>
        <v>0</v>
      </c>
      <c r="J23" s="1755">
        <f>SUM(J14:J16,J21,J22)</f>
        <v>758389</v>
      </c>
      <c r="K23" s="1755">
        <f>SUM(K14:K16,K21,K22)</f>
        <v>11187</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2" sqref="A42:C4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1874</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81746</v>
      </c>
      <c r="D5" s="1770"/>
      <c r="E5" s="1770"/>
      <c r="F5" s="1765">
        <f>(C5+D5)-E5</f>
        <v>81746</v>
      </c>
      <c r="G5" s="676"/>
      <c r="H5" s="680"/>
      <c r="I5" s="680"/>
      <c r="J5" s="680"/>
      <c r="K5" s="637"/>
      <c r="L5" s="1442">
        <f>F5-K5</f>
        <v>81746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12684081</v>
      </c>
      <c r="D8" s="1771"/>
      <c r="E8" s="1771"/>
      <c r="F8" s="1765">
        <f>(C8+D8)-E8</f>
        <v>12684081</v>
      </c>
      <c r="G8" s="681">
        <v>50</v>
      </c>
      <c r="H8" s="619">
        <v>6728967</v>
      </c>
      <c r="I8" s="619">
        <v>269277</v>
      </c>
      <c r="J8" s="619"/>
      <c r="K8" s="1442">
        <f>(H8+I8)-J8</f>
        <v>6998244</v>
      </c>
      <c r="L8" s="1442">
        <f>F8-K8</f>
        <v>5685837</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11801346</v>
      </c>
      <c r="D10" s="1772">
        <v>749231</v>
      </c>
      <c r="E10" s="1772"/>
      <c r="F10" s="1773">
        <f>(C10+D10)-E10</f>
        <v>12550577</v>
      </c>
      <c r="G10" s="681">
        <v>20</v>
      </c>
      <c r="H10" s="683">
        <v>3882795</v>
      </c>
      <c r="I10" s="683">
        <v>592418</v>
      </c>
      <c r="J10" s="683"/>
      <c r="K10" s="1442">
        <f>(H10+I10)-J10</f>
        <v>4475213</v>
      </c>
      <c r="L10" s="1442">
        <f>F10-K10</f>
        <v>8075364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2662496</v>
      </c>
      <c r="D12" s="1771">
        <v>45291</v>
      </c>
      <c r="E12" s="1771"/>
      <c r="F12" s="1765">
        <f>(C12+D12)-E12</f>
        <v>2707787</v>
      </c>
      <c r="G12" s="681">
        <v>10</v>
      </c>
      <c r="H12" s="619">
        <v>2404429</v>
      </c>
      <c r="I12" s="619">
        <v>69838</v>
      </c>
      <c r="J12" s="619"/>
      <c r="K12" s="1442">
        <f>(H12+I12)-J12</f>
        <v>2474267</v>
      </c>
      <c r="L12" s="1442">
        <f>F12-K12</f>
        <v>233520</v>
      </c>
    </row>
    <row r="13" spans="1:14" ht="14.25" thickTop="1" thickBot="1" x14ac:dyDescent="0.25">
      <c r="A13" s="684" t="s">
        <v>1112</v>
      </c>
      <c r="B13" s="679">
        <v>252</v>
      </c>
      <c r="C13" s="1771">
        <v>89626</v>
      </c>
      <c r="D13" s="1771"/>
      <c r="E13" s="1771"/>
      <c r="F13" s="1765">
        <f>(C13+D13)-E13</f>
        <v>89626</v>
      </c>
      <c r="G13" s="681">
        <v>5</v>
      </c>
      <c r="H13" s="619">
        <v>89626</v>
      </c>
      <c r="I13" s="619"/>
      <c r="J13" s="619"/>
      <c r="K13" s="1442">
        <f>(H13+I13)-J13</f>
        <v>89626</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48951</v>
      </c>
      <c r="D15" s="1771"/>
      <c r="E15" s="1771">
        <v>48951</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27368246</v>
      </c>
      <c r="D16" s="1765">
        <f>SUM(D3,D5:D6,D8:D10,D12:D15)</f>
        <v>794522</v>
      </c>
      <c r="E16" s="1765">
        <f>SUM(E3,E5:E6,E8:E10,E12:E15)</f>
        <v>48951</v>
      </c>
      <c r="F16" s="1765">
        <f>SUM(F3,F5:F6,F8:F10,F12:F15)</f>
        <v>28113817</v>
      </c>
      <c r="G16" s="681"/>
      <c r="H16" s="1435">
        <f>SUM(H3,H6,H8:H10,H12:H14,)</f>
        <v>13105817</v>
      </c>
      <c r="I16" s="1435">
        <f>SUM(I3,I6,I8:I10,I12:I14,)</f>
        <v>931533</v>
      </c>
      <c r="J16" s="1435">
        <f>SUM(J3,J6,J8:J10,J12:J14,)</f>
        <v>0</v>
      </c>
      <c r="K16" s="1435">
        <f>(H16+I16)-J16</f>
        <v>14037350</v>
      </c>
      <c r="L16" s="1435">
        <f>F16-K16</f>
        <v>14076467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931533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B167" colorId="8" zoomScale="110" zoomScaleNormal="110" workbookViewId="0">
      <selection activeCell="A42" sqref="A42:C4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9553541</v>
      </c>
      <c r="G8" s="701"/>
    </row>
    <row r="9" spans="1:9" x14ac:dyDescent="0.2">
      <c r="A9" s="705" t="s">
        <v>457</v>
      </c>
      <c r="B9" s="706" t="s">
        <v>1847</v>
      </c>
      <c r="C9" s="707"/>
      <c r="D9" s="705" t="s">
        <v>498</v>
      </c>
      <c r="E9" s="704"/>
      <c r="F9" s="1775">
        <f>'Expenditures 15-22'!K151</f>
        <v>595607</v>
      </c>
      <c r="G9" s="708"/>
    </row>
    <row r="10" spans="1:9" x14ac:dyDescent="0.2">
      <c r="A10" s="705" t="s">
        <v>496</v>
      </c>
      <c r="B10" s="706" t="s">
        <v>1848</v>
      </c>
      <c r="C10" s="707"/>
      <c r="D10" s="705" t="s">
        <v>498</v>
      </c>
      <c r="E10" s="704"/>
      <c r="F10" s="1775">
        <f>'Expenditures 15-22'!K174</f>
        <v>1280090</v>
      </c>
      <c r="G10" s="708"/>
    </row>
    <row r="11" spans="1:9" x14ac:dyDescent="0.2">
      <c r="A11" s="705" t="s">
        <v>458</v>
      </c>
      <c r="B11" s="706" t="s">
        <v>1849</v>
      </c>
      <c r="C11" s="707"/>
      <c r="D11" s="705" t="s">
        <v>498</v>
      </c>
      <c r="E11" s="704"/>
      <c r="F11" s="1775">
        <f>'Expenditures 15-22'!K210</f>
        <v>444744</v>
      </c>
      <c r="G11" s="708"/>
    </row>
    <row r="12" spans="1:9" x14ac:dyDescent="0.2">
      <c r="A12" s="705" t="s">
        <v>459</v>
      </c>
      <c r="B12" s="706" t="s">
        <v>1850</v>
      </c>
      <c r="C12" s="707"/>
      <c r="D12" s="705" t="s">
        <v>498</v>
      </c>
      <c r="E12" s="704"/>
      <c r="F12" s="1775">
        <f>'Expenditures 15-22'!K295</f>
        <v>237630</v>
      </c>
      <c r="G12" s="708"/>
    </row>
    <row r="13" spans="1:9" x14ac:dyDescent="0.2">
      <c r="A13" s="705" t="s">
        <v>106</v>
      </c>
      <c r="B13" s="706" t="s">
        <v>1851</v>
      </c>
      <c r="C13" s="707"/>
      <c r="D13" s="705" t="s">
        <v>498</v>
      </c>
      <c r="E13" s="704"/>
      <c r="F13" s="1775">
        <f>'Expenditures 15-22'!K342</f>
        <v>179455</v>
      </c>
      <c r="G13" s="709"/>
    </row>
    <row r="14" spans="1:9" ht="12" customHeight="1" thickBot="1" x14ac:dyDescent="0.25">
      <c r="A14" s="1443"/>
      <c r="B14" s="1444"/>
      <c r="C14" s="1445"/>
      <c r="D14" s="1446" t="s">
        <v>498</v>
      </c>
      <c r="E14" s="1447" t="s">
        <v>952</v>
      </c>
      <c r="F14" s="1776">
        <f>SUM(F8:F13)</f>
        <v>12291067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285207</v>
      </c>
      <c r="G52" s="701"/>
    </row>
    <row r="53" spans="1:7" x14ac:dyDescent="0.2">
      <c r="A53" s="705" t="s">
        <v>456</v>
      </c>
      <c r="B53" s="705" t="s">
        <v>1458</v>
      </c>
      <c r="C53" s="724">
        <f>'Expenditures 15-22'!B102</f>
        <v>4000</v>
      </c>
      <c r="D53" s="723" t="str">
        <f>'Expenditures 15-22'!A102</f>
        <v>Total Payments to Other Govt Units</v>
      </c>
      <c r="E53" s="704"/>
      <c r="F53" s="1782">
        <f>'Expenditures 15-22'!K102</f>
        <v>1339335</v>
      </c>
      <c r="G53" s="701"/>
    </row>
    <row r="54" spans="1:7" x14ac:dyDescent="0.2">
      <c r="A54" s="705" t="s">
        <v>456</v>
      </c>
      <c r="B54" s="705" t="s">
        <v>1459</v>
      </c>
      <c r="C54" s="724" t="s">
        <v>975</v>
      </c>
      <c r="D54" s="720" t="s">
        <v>1086</v>
      </c>
      <c r="E54" s="704"/>
      <c r="F54" s="1782">
        <f>'Expenditures 15-22'!G114</f>
        <v>41291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14005</v>
      </c>
      <c r="G57" s="701"/>
    </row>
    <row r="58" spans="1:7" x14ac:dyDescent="0.2">
      <c r="A58" s="705" t="s">
        <v>457</v>
      </c>
      <c r="B58" s="705" t="s">
        <v>1853</v>
      </c>
      <c r="C58" s="721" t="s">
        <v>975</v>
      </c>
      <c r="D58" s="720" t="s">
        <v>1086</v>
      </c>
      <c r="E58" s="704"/>
      <c r="F58" s="1784">
        <f>'Expenditures 15-22'!G151</f>
        <v>28300</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1017185</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69258</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4804</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2799385</v>
      </c>
      <c r="G77" s="701"/>
    </row>
    <row r="78" spans="1:9" s="728" customFormat="1" ht="12" customHeight="1" thickTop="1" thickBot="1" x14ac:dyDescent="0.25">
      <c r="A78" s="1450"/>
      <c r="B78" s="1448"/>
      <c r="C78" s="1445"/>
      <c r="D78" s="1449" t="s">
        <v>2011</v>
      </c>
      <c r="E78" s="1447"/>
      <c r="F78" s="1788">
        <f>(F14-F77)</f>
        <v>9491682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1004.4</v>
      </c>
      <c r="G79" s="733"/>
      <c r="H79" s="705"/>
      <c r="I79" s="705"/>
    </row>
    <row r="80" spans="1:9" s="728" customFormat="1" ht="12" customHeight="1" thickBot="1" x14ac:dyDescent="0.25">
      <c r="A80" s="1452"/>
      <c r="B80" s="1448"/>
      <c r="C80" s="1445"/>
      <c r="D80" s="1449" t="s">
        <v>2012</v>
      </c>
      <c r="E80" s="1447" t="s">
        <v>952</v>
      </c>
      <c r="F80" s="1790">
        <f>IF(F79&gt;0,F78/F79," Complete Line 79")</f>
        <v>9450.1015531660687</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4591</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147132</v>
      </c>
      <c r="G95" s="745"/>
    </row>
    <row r="96" spans="1:7" x14ac:dyDescent="0.2">
      <c r="A96" s="741" t="s">
        <v>139</v>
      </c>
      <c r="B96" s="741" t="s">
        <v>174</v>
      </c>
      <c r="C96" s="743">
        <v>1700</v>
      </c>
      <c r="D96" s="751" t="str">
        <f>'Revenues 9-14'!A82</f>
        <v>Total District/School Activity Income</v>
      </c>
      <c r="E96" s="739"/>
      <c r="F96" s="1793">
        <f>SUM('Revenues 9-14'!C82,'Revenues 9-14'!D82)</f>
        <v>307456</v>
      </c>
      <c r="G96" s="745"/>
    </row>
    <row r="97" spans="1:7" x14ac:dyDescent="0.2">
      <c r="A97" s="741" t="s">
        <v>456</v>
      </c>
      <c r="B97" s="741" t="s">
        <v>175</v>
      </c>
      <c r="C97" s="743">
        <f>'Revenues 9-14'!B84</f>
        <v>1811</v>
      </c>
      <c r="D97" s="744" t="str">
        <f>'Revenues 9-14'!A84</f>
        <v>Rentals - Regular Textbooks</v>
      </c>
      <c r="E97" s="739"/>
      <c r="F97" s="1793">
        <f>'Revenues 9-14'!C84</f>
        <v>22164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14727</v>
      </c>
      <c r="G105" s="745"/>
    </row>
    <row r="106" spans="1:7" x14ac:dyDescent="0.2">
      <c r="A106" s="741" t="s">
        <v>500</v>
      </c>
      <c r="B106" s="741" t="s">
        <v>1909</v>
      </c>
      <c r="C106" s="746">
        <v>3100</v>
      </c>
      <c r="D106" s="752" t="str">
        <f>'Revenues 9-14'!A132</f>
        <v>Total Special Education</v>
      </c>
      <c r="E106" s="739"/>
      <c r="F106" s="1793">
        <f>SUM('Revenues 9-14'!C132:D132,'Revenues 9-14'!F132)</f>
        <v>33891</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31597</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4338</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11187</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235292</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1925</v>
      </c>
      <c r="C122" s="761">
        <f>'Revenues 9-14'!B168</f>
        <v>3999</v>
      </c>
      <c r="D122" s="762" t="s">
        <v>540</v>
      </c>
      <c r="E122" s="764"/>
      <c r="F122" s="1793">
        <f>SUM('Revenues 9-14'!C168:G168,'Revenues 9-14'!J168)</f>
        <v>5343</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0</v>
      </c>
      <c r="G125" s="763"/>
    </row>
    <row r="126" spans="1:7" x14ac:dyDescent="0.2">
      <c r="A126" s="760" t="s">
        <v>659</v>
      </c>
      <c r="B126" s="760" t="s">
        <v>1929</v>
      </c>
      <c r="C126" s="765">
        <v>4200</v>
      </c>
      <c r="D126" s="762" t="str">
        <f>'Revenues 9-14'!A198</f>
        <v>Total Food Service</v>
      </c>
      <c r="E126" s="739"/>
      <c r="F126" s="1793">
        <f>SUM('Revenues 9-14'!C198,'Revenues 9-14'!G198)</f>
        <v>539093</v>
      </c>
      <c r="G126" s="763"/>
    </row>
    <row r="127" spans="1:7" x14ac:dyDescent="0.2">
      <c r="A127" s="760" t="s">
        <v>663</v>
      </c>
      <c r="B127" s="760" t="s">
        <v>1930</v>
      </c>
      <c r="C127" s="765">
        <v>4300</v>
      </c>
      <c r="D127" s="766" t="str">
        <f>'Revenues 9-14'!A204</f>
        <v>Total Title I</v>
      </c>
      <c r="E127" s="739"/>
      <c r="F127" s="1793">
        <f>SUM('Revenues 9-14'!C204,'Revenues 9-14'!D204,'Revenues 9-14'!F204,'Revenues 9-14'!G204)</f>
        <v>459121</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0</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13284</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6573</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237348</v>
      </c>
      <c r="G172" s="760"/>
    </row>
    <row r="173" spans="1:7" x14ac:dyDescent="0.2">
      <c r="A173" s="1529" t="s">
        <v>659</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2123137</v>
      </c>
    </row>
    <row r="176" spans="1:7" ht="12" customHeight="1" x14ac:dyDescent="0.2">
      <c r="A176" s="1443"/>
      <c r="B176" s="1453"/>
      <c r="C176" s="1454"/>
      <c r="D176" s="1455" t="s">
        <v>2013</v>
      </c>
      <c r="E176" s="1456"/>
      <c r="F176" s="1793">
        <f>'PCTC-OEPP 27-28'!F78-F175</f>
        <v>7368545</v>
      </c>
    </row>
    <row r="177" spans="1:9" ht="12" customHeight="1" x14ac:dyDescent="0.2">
      <c r="A177" s="1443"/>
      <c r="B177" s="1453"/>
      <c r="C177" s="1454"/>
      <c r="D177" s="1455" t="s">
        <v>1793</v>
      </c>
      <c r="E177" s="1456"/>
      <c r="F177" s="1793">
        <f>'Cap Outlay Deprec 26'!I18</f>
        <v>931533</v>
      </c>
    </row>
    <row r="178" spans="1:9" ht="12" customHeight="1" x14ac:dyDescent="0.2">
      <c r="A178" s="1443"/>
      <c r="B178" s="1453"/>
      <c r="C178" s="1454"/>
      <c r="D178" s="1455" t="s">
        <v>2014</v>
      </c>
      <c r="E178" s="1456"/>
      <c r="F178" s="1793">
        <f>F176+F177</f>
        <v>8300078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1004.4</v>
      </c>
      <c r="G179" s="763"/>
      <c r="I179" s="701"/>
    </row>
    <row r="180" spans="1:9" ht="12" customHeight="1" thickBot="1" x14ac:dyDescent="0.25">
      <c r="A180" s="1443"/>
      <c r="B180" s="1457"/>
      <c r="C180" s="1454"/>
      <c r="D180" s="1455" t="s">
        <v>2016</v>
      </c>
      <c r="E180" s="1456" t="s">
        <v>1528</v>
      </c>
      <c r="F180" s="1798">
        <f>F178/F179</f>
        <v>8263.7176423735564</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41" sqref="A37:XFD141"/>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8" t="s">
        <v>1794</v>
      </c>
      <c r="B4" s="2379"/>
      <c r="C4" s="2379"/>
      <c r="D4" s="2379"/>
      <c r="E4" s="2379"/>
      <c r="F4" s="2380"/>
    </row>
    <row r="5" spans="1:6" x14ac:dyDescent="0.25">
      <c r="A5" s="2381"/>
      <c r="B5" s="2382"/>
      <c r="C5" s="2382"/>
      <c r="D5" s="2382"/>
      <c r="E5" s="2382"/>
      <c r="F5" s="2383"/>
    </row>
    <row r="6" spans="1:6" ht="18.75" x14ac:dyDescent="0.25">
      <c r="A6" s="1867" t="s">
        <v>1795</v>
      </c>
      <c r="B6" s="1868"/>
      <c r="C6" s="1869"/>
      <c r="D6" s="1869"/>
      <c r="E6" s="1869"/>
      <c r="F6" s="1870"/>
    </row>
    <row r="7" spans="1:6" ht="47.25" customHeight="1" x14ac:dyDescent="0.25">
      <c r="A7" s="2384" t="s">
        <v>1984</v>
      </c>
      <c r="B7" s="2385"/>
      <c r="C7" s="2385"/>
      <c r="D7" s="2385"/>
      <c r="E7" s="2385"/>
      <c r="F7" s="2386"/>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7" t="s">
        <v>1980</v>
      </c>
      <c r="B10" s="2388"/>
      <c r="C10" s="2388"/>
      <c r="D10" s="2388"/>
      <c r="E10" s="2388"/>
      <c r="F10" s="2389"/>
    </row>
    <row r="11" spans="1:6" ht="33" customHeight="1" x14ac:dyDescent="0.25">
      <c r="A11" s="2384" t="s">
        <v>1985</v>
      </c>
      <c r="B11" s="2385"/>
      <c r="C11" s="2385"/>
      <c r="D11" s="2385"/>
      <c r="E11" s="2385"/>
      <c r="F11" s="2386"/>
    </row>
    <row r="12" spans="1:6" ht="15" customHeight="1" x14ac:dyDescent="0.25">
      <c r="A12" s="1873" t="s">
        <v>1981</v>
      </c>
      <c r="B12" s="1874"/>
      <c r="C12" s="1875"/>
      <c r="D12" s="1875"/>
      <c r="E12" s="1875"/>
      <c r="F12" s="1876"/>
    </row>
    <row r="13" spans="1:6" ht="17.25" customHeight="1" x14ac:dyDescent="0.25">
      <c r="A13" s="2384" t="s">
        <v>1982</v>
      </c>
      <c r="B13" s="2385"/>
      <c r="C13" s="2385"/>
      <c r="D13" s="2385"/>
      <c r="E13" s="2385"/>
      <c r="F13" s="2386"/>
    </row>
    <row r="14" spans="1:6" ht="15" customHeight="1" x14ac:dyDescent="0.25">
      <c r="A14" s="1873" t="s">
        <v>1799</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6" t="s">
        <v>2071</v>
      </c>
      <c r="B18" s="1908">
        <v>101000400</v>
      </c>
      <c r="C18" s="2037" t="s">
        <v>2072</v>
      </c>
      <c r="D18" s="1886">
        <v>950</v>
      </c>
      <c r="E18" s="1906">
        <f t="shared" ref="E18:E81" si="0">IF(D18&lt;25000,D18,"25,000")</f>
        <v>950</v>
      </c>
      <c r="F18" s="1906" t="str">
        <f t="shared" ref="F18:F81" si="1">IF(D18&gt;=25000,(D18-E18),"0")</f>
        <v>0</v>
      </c>
      <c r="G18" s="1887"/>
    </row>
    <row r="19" spans="1:7" x14ac:dyDescent="0.25">
      <c r="A19" s="2036" t="s">
        <v>2071</v>
      </c>
      <c r="B19" s="1908">
        <v>102560300</v>
      </c>
      <c r="C19" s="2037" t="s">
        <v>2072</v>
      </c>
      <c r="D19" s="1886">
        <v>493693</v>
      </c>
      <c r="E19" s="1906" t="str">
        <f t="shared" si="0"/>
        <v>25,000</v>
      </c>
      <c r="F19" s="1906">
        <f t="shared" si="1"/>
        <v>468693</v>
      </c>
    </row>
    <row r="20" spans="1:7" x14ac:dyDescent="0.25">
      <c r="A20" s="2036" t="s">
        <v>2071</v>
      </c>
      <c r="B20" s="1908">
        <v>103000400</v>
      </c>
      <c r="C20" s="2037" t="s">
        <v>2072</v>
      </c>
      <c r="D20" s="1886">
        <v>1696</v>
      </c>
      <c r="E20" s="1906">
        <f t="shared" si="0"/>
        <v>1696</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496339</v>
      </c>
      <c r="E142" s="1893">
        <f>SUM(E18:E141)</f>
        <v>2646</v>
      </c>
      <c r="F142" s="1894">
        <f>SUM(F18:F141)</f>
        <v>468693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4" colorId="8" zoomScale="110" zoomScaleNormal="110" workbookViewId="0">
      <selection activeCell="A42" sqref="A42:C4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494480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40927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5246048</v>
      </c>
      <c r="F19" s="1802"/>
      <c r="G19" s="1804">
        <f>'Expenditures 15-22'!K33-SUM('Expenditures 15-22'!G33,'Expenditures 15-22'!I33)+'Expenditures 15-22'!D229</f>
        <v>5246048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330523</v>
      </c>
      <c r="F21" s="1805"/>
      <c r="G21" s="1808">
        <f>'Expenditures 15-22'!K42-SUM('Expenditures 15-22'!G42,'Expenditures 15-22'!I42)+'Expenditures 15-22'!K120-SUM('Expenditures 15-22'!G120,'Expenditures 15-22'!I120)+'Expenditures 15-22'!K180-SUM('Expenditures 15-22'!G180,'Expenditures 15-22'!I180)+'Expenditures 15-22'!D238</f>
        <v>330523</v>
      </c>
      <c r="H21" s="817"/>
      <c r="I21" s="157"/>
    </row>
    <row r="22" spans="1:9" s="542" customFormat="1" ht="12" customHeight="1" x14ac:dyDescent="0.2">
      <c r="A22" s="824" t="s">
        <v>560</v>
      </c>
      <c r="B22" s="825"/>
      <c r="C22" s="823">
        <v>2200</v>
      </c>
      <c r="D22" s="1805"/>
      <c r="E22" s="1807">
        <f>'Expenditures 15-22'!K47-SUM('Expenditures 15-22'!G47,'Expenditures 15-22'!I47)+'Expenditures 15-22'!D243</f>
        <v>222711</v>
      </c>
      <c r="F22" s="1805"/>
      <c r="G22" s="1808">
        <f>'Expenditures 15-22'!K47-SUM('Expenditures 15-22'!G47,'Expenditures 15-22'!I47)+'Expenditures 15-22'!D243</f>
        <v>222711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379127</v>
      </c>
      <c r="F23" s="1805"/>
      <c r="G23" s="1807">
        <f>'Expenditures 15-22'!K53-SUM('Expenditures 15-22'!G53,'Expenditures 15-22'!I53)+'Expenditures 15-22'!D257+'Expenditures 15-22'!K330-SUM('Expenditures 15-22'!G330,'Expenditures 15-22'!I330)</f>
        <v>379127</v>
      </c>
      <c r="H23" s="817"/>
      <c r="I23" s="157"/>
    </row>
    <row r="24" spans="1:9" s="542" customFormat="1" ht="12" customHeight="1" x14ac:dyDescent="0.2">
      <c r="A24" s="824" t="s">
        <v>562</v>
      </c>
      <c r="B24" s="825"/>
      <c r="C24" s="823">
        <v>2400</v>
      </c>
      <c r="D24" s="1805"/>
      <c r="E24" s="1807">
        <f>'Expenditures 15-22'!K57-SUM('Expenditures 15-22'!G57,'Expenditures 15-22'!I57)+'Expenditures 15-22'!D261</f>
        <v>724022</v>
      </c>
      <c r="F24" s="1805"/>
      <c r="G24" s="1808">
        <f>'Expenditures 15-22'!K57-SUM('Expenditures 15-22'!G57,'Expenditures 15-22'!I57)+'Expenditures 15-22'!D261</f>
        <v>724022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160414</v>
      </c>
      <c r="E27" s="1807">
        <f>E8</f>
        <v>0</v>
      </c>
      <c r="F27" s="1807">
        <f>'Expenditures 15-22'!K60-SUM('Expenditures 15-22'!G60,'Expenditures 15-22'!I60)+'Expenditures 15-22'!D264-E8</f>
        <v>160414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1235902</v>
      </c>
      <c r="F28" s="1809">
        <f>'Expenditures 15-22'!K61-SUM('Expenditures 15-22'!G61,'Expenditures 15-22'!I61)+'Expenditures 15-22'!K124-SUM('Expenditures 15-22'!G124,'Expenditures 15-22'!I124)+'Expenditures 15-22'!D266-E9</f>
        <v>1235902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378227</v>
      </c>
      <c r="F29" s="1805"/>
      <c r="G29" s="1808">
        <f>'Expenditures 15-22'!K62-SUM('Expenditures 15-22'!G62,'Expenditures 15-22'!I62)+'Expenditures 15-22'!K125-SUM('Expenditures 15-22'!G125,'Expenditures 15-22'!I125)+'Expenditures 15-22'!K182-SUM('Expenditures 15-22'!G182,'Expenditures 15-22'!I182)+'Expenditures 15-22'!D267</f>
        <v>378227</v>
      </c>
      <c r="H29" s="815"/>
    </row>
    <row r="30" spans="1:9" ht="12" customHeight="1" x14ac:dyDescent="0.2">
      <c r="A30" s="824" t="s">
        <v>100</v>
      </c>
      <c r="B30" s="827"/>
      <c r="C30" s="823">
        <v>2560</v>
      </c>
      <c r="D30" s="1805"/>
      <c r="E30" s="1807">
        <f>'Expenditures 15-22'!K63-SUM('Expenditures 15-22'!G63,'Expenditures 15-22'!I63)+'Expenditures 15-22'!D268-E10</f>
        <v>36381</v>
      </c>
      <c r="F30" s="1805"/>
      <c r="G30" s="1807">
        <f>'Expenditures 15-22'!K63-SUM('Expenditures 15-22'!G63,'Expenditures 15-22'!I63)+'Expenditures 15-22'!D268-E10</f>
        <v>36381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3105</v>
      </c>
      <c r="E37" s="1807">
        <f>E14</f>
        <v>0</v>
      </c>
      <c r="F37" s="1807">
        <f>'Expenditures 15-22'!K71-SUM('Expenditures 15-22'!G71,'Expenditures 15-22'!I71)+'Expenditures 15-22'!D276-E14</f>
        <v>3105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17837</v>
      </c>
      <c r="F38" s="1805"/>
      <c r="G38" s="1807">
        <f>'Expenditures 15-22'!K73-SUM('Expenditures 15-22'!G73,'Expenditures 15-22'!I73)+'Expenditures 15-22'!K128-SUM('Expenditures 15-22'!G128,'Expenditures 15-22'!I128)+'Expenditures 15-22'!K183-SUM('Expenditures 15-22'!G183,'Expenditures 15-22'!I183)+'Expenditures 15-22'!D278</f>
        <v>17837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290011</v>
      </c>
      <c r="F39" s="1805"/>
      <c r="G39" s="1807">
        <f>'Expenditures 15-22'!K75-SUM('Expenditures 15-22'!G75,'Expenditures 15-22'!I75)+'Expenditures 15-22'!K130-SUM('Expenditures 15-22'!G130,'Expenditures 15-22'!I130)+'Expenditures 15-22'!K185-SUM('Expenditures 15-22'!G185,'Expenditures 15-22'!I185)+'Expenditures 15-22'!D280</f>
        <v>290011</v>
      </c>
    </row>
    <row r="40" spans="1:7" ht="12" customHeight="1" x14ac:dyDescent="0.2">
      <c r="A40" s="820" t="s">
        <v>1797</v>
      </c>
      <c r="B40" s="821"/>
      <c r="C40" s="823"/>
      <c r="D40" s="1805"/>
      <c r="E40" s="1809">
        <f>-'Contracts Paid in CY 29'!F142</f>
        <v>-468693</v>
      </c>
      <c r="F40" s="1805"/>
      <c r="G40" s="1809">
        <f>-'Contracts Paid in CY 29'!F142</f>
        <v>-468693</v>
      </c>
    </row>
    <row r="41" spans="1:7" ht="12" customHeight="1" x14ac:dyDescent="0.2">
      <c r="A41" s="828" t="s">
        <v>155</v>
      </c>
      <c r="B41" s="829"/>
      <c r="C41" s="830"/>
      <c r="D41" s="1809">
        <f>SUM(D19:D39)</f>
        <v>163519</v>
      </c>
      <c r="E41" s="1809">
        <f>SUM(E19:E40)</f>
        <v>8392096</v>
      </c>
      <c r="F41" s="1809">
        <f>SUM(F19:F39)</f>
        <v>1399421</v>
      </c>
      <c r="G41" s="1809">
        <f>SUM(G19:G40)</f>
        <v>7156194</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163519</v>
      </c>
      <c r="F43" s="1458" t="s">
        <v>470</v>
      </c>
      <c r="G43" s="1810">
        <f>F41</f>
        <v>1399421</v>
      </c>
    </row>
    <row r="44" spans="1:7" ht="12" customHeight="1" x14ac:dyDescent="0.2">
      <c r="A44" s="817"/>
      <c r="B44" s="157"/>
      <c r="C44" s="831"/>
      <c r="D44" s="1458" t="s">
        <v>471</v>
      </c>
      <c r="E44" s="1810">
        <f>E41</f>
        <v>8392096</v>
      </c>
      <c r="F44" s="1458" t="s">
        <v>471</v>
      </c>
      <c r="G44" s="1810">
        <f>G41</f>
        <v>7156194</v>
      </c>
    </row>
    <row r="45" spans="1:7" ht="12" customHeight="1" x14ac:dyDescent="0.2">
      <c r="A45" s="817"/>
      <c r="B45" s="157"/>
      <c r="C45" s="157"/>
      <c r="D45" s="1459" t="s">
        <v>999</v>
      </c>
      <c r="E45" s="1811">
        <f>(E43/E44)</f>
        <v>1.9484881965125281E-2</v>
      </c>
      <c r="F45" s="1459" t="s">
        <v>999</v>
      </c>
      <c r="G45" s="1811">
        <f>(G43/G44)</f>
        <v>0.19555380974858982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Johnston City CUSD 1</v>
      </c>
      <c r="D6" s="2405"/>
      <c r="E6" s="2405"/>
      <c r="F6" s="1482"/>
      <c r="G6" s="1507"/>
      <c r="L6" s="1507"/>
      <c r="M6" s="1855"/>
      <c r="N6" s="1855"/>
      <c r="O6" s="1855"/>
    </row>
    <row r="7" spans="1:15" ht="11.25" customHeight="1" thickBot="1" x14ac:dyDescent="0.3">
      <c r="A7" s="1480"/>
      <c r="B7" s="1481"/>
      <c r="C7" s="2406">
        <f>COVER!A13</f>
        <v>21100001026</v>
      </c>
      <c r="D7" s="2406"/>
      <c r="E7" s="2406"/>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2140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2050</v>
      </c>
      <c r="D31" s="1495" t="s">
        <v>2050</v>
      </c>
      <c r="E31" s="1498"/>
      <c r="F31" s="1497" t="s">
        <v>2140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5" zoomScaleNormal="100" workbookViewId="0">
      <selection activeCell="M66" sqref="M66"/>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Johnston City CUSD 1</v>
      </c>
      <c r="K6" s="2421"/>
      <c r="L6" s="2422"/>
      <c r="M6" s="838"/>
      <c r="N6" s="1998"/>
    </row>
    <row r="7" spans="1:14" x14ac:dyDescent="0.2">
      <c r="A7" s="2423" t="s">
        <v>864</v>
      </c>
      <c r="B7" s="2424"/>
      <c r="C7" s="2424"/>
      <c r="D7" s="2424"/>
      <c r="E7" s="2425"/>
      <c r="F7" s="839"/>
      <c r="G7" s="838"/>
      <c r="H7" s="838"/>
      <c r="I7" s="1924" t="s">
        <v>369</v>
      </c>
      <c r="J7" s="2426">
        <f>COVER!A13</f>
        <v>21100001026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813</v>
      </c>
      <c r="C12" s="842"/>
      <c r="D12" s="1941">
        <v>2320</v>
      </c>
      <c r="E12" s="1944">
        <f>'Expenditures 15-22'!K50</f>
        <v>144701</v>
      </c>
      <c r="F12" s="1942"/>
      <c r="G12" s="1968">
        <f>G68</f>
        <v>0</v>
      </c>
      <c r="H12" s="1944">
        <f t="shared" ref="H12:H18" si="0">SUM(E12:G12)</f>
        <v>144701</v>
      </c>
      <c r="I12" s="1943">
        <v>150169</v>
      </c>
      <c r="J12" s="1942"/>
      <c r="K12" s="1943"/>
      <c r="L12" s="1944">
        <f t="shared" ref="L12:L18" si="1">SUM(I12:K12)</f>
        <v>150169</v>
      </c>
      <c r="M12" s="838"/>
      <c r="N12" s="1998"/>
    </row>
    <row r="13" spans="1:14" x14ac:dyDescent="0.2">
      <c r="A13" s="2003">
        <v>2</v>
      </c>
      <c r="B13" s="1940" t="s">
        <v>42</v>
      </c>
      <c r="C13" s="842"/>
      <c r="D13" s="1941">
        <v>2330</v>
      </c>
      <c r="E13" s="1944">
        <f>'Expenditures 15-22'!K51</f>
        <v>1000</v>
      </c>
      <c r="F13" s="1942"/>
      <c r="G13" s="1968">
        <f>H68</f>
        <v>0</v>
      </c>
      <c r="H13" s="1944">
        <f t="shared" si="0"/>
        <v>1000</v>
      </c>
      <c r="I13" s="1943">
        <v>1000</v>
      </c>
      <c r="J13" s="1942"/>
      <c r="K13" s="1943"/>
      <c r="L13" s="1944">
        <f t="shared" si="1"/>
        <v>1000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145701</v>
      </c>
      <c r="F19" s="1950">
        <f t="shared" si="2"/>
        <v>0</v>
      </c>
      <c r="G19" s="1950">
        <f t="shared" ref="G19" si="3">SUM(G12:G17)-G18</f>
        <v>0</v>
      </c>
      <c r="H19" s="1950">
        <f t="shared" si="2"/>
        <v>145701</v>
      </c>
      <c r="I19" s="1950">
        <f t="shared" si="2"/>
        <v>151169</v>
      </c>
      <c r="J19" s="1950">
        <f t="shared" si="2"/>
        <v>0</v>
      </c>
      <c r="K19" s="1950">
        <f t="shared" si="2"/>
        <v>0</v>
      </c>
      <c r="L19" s="1950">
        <f t="shared" si="2"/>
        <v>151169</v>
      </c>
      <c r="M19" s="838"/>
      <c r="N19" s="1998"/>
    </row>
    <row r="20" spans="1:14" ht="13.5" thickTop="1" x14ac:dyDescent="0.2">
      <c r="A20" s="2003">
        <v>9</v>
      </c>
      <c r="B20" s="2433" t="s">
        <v>2020</v>
      </c>
      <c r="C20" s="2433"/>
      <c r="D20" s="2434"/>
      <c r="E20" s="1951"/>
      <c r="F20" s="1951"/>
      <c r="G20" s="1951"/>
      <c r="H20" s="1951"/>
      <c r="I20" s="1951"/>
      <c r="J20" s="1951"/>
      <c r="K20" s="1951"/>
      <c r="L20" s="1952">
        <f>IF(AND(H19&gt;0,L19&gt;0),(((L19-H19)/H19)),"Enter Budget Data")</f>
        <v>3.752891194981503E-2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2023</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2024</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2025</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2026</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48" t="s">
        <v>2028</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Johnston City CUSD 1</v>
      </c>
      <c r="M52" s="2421"/>
      <c r="N52" s="2451"/>
    </row>
    <row r="53" spans="1:14" x14ac:dyDescent="0.2">
      <c r="A53" s="1982"/>
      <c r="B53" s="1983"/>
      <c r="C53" s="1983"/>
      <c r="D53" s="1983"/>
      <c r="E53" s="1983"/>
      <c r="F53" s="1983"/>
      <c r="G53" s="1983"/>
      <c r="H53" s="1983"/>
      <c r="I53" s="1983"/>
      <c r="J53" s="1983"/>
      <c r="K53" s="1924" t="s">
        <v>369</v>
      </c>
      <c r="L53" s="2426">
        <f>J7</f>
        <v>21100001026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2029</v>
      </c>
      <c r="H55" s="2455"/>
      <c r="I55" s="2455"/>
      <c r="J55" s="2455"/>
      <c r="K55" s="2455"/>
      <c r="L55" s="2455"/>
      <c r="M55" s="2455"/>
      <c r="N55" s="2456"/>
    </row>
    <row r="56" spans="1:14" ht="63.75" x14ac:dyDescent="0.2">
      <c r="A56" s="2457" t="s">
        <v>2030</v>
      </c>
      <c r="B56" s="2458"/>
      <c r="C56" s="2459"/>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2040</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130542</v>
      </c>
      <c r="F60" s="1972"/>
      <c r="G60" s="2031"/>
      <c r="H60" s="2032"/>
      <c r="I60" s="2032"/>
      <c r="J60" s="2032"/>
      <c r="K60" s="2032"/>
      <c r="L60" s="2032"/>
      <c r="M60" s="2032">
        <v>130542</v>
      </c>
      <c r="N60" s="1975">
        <f t="shared" ref="N60:N67" si="4">IF((SUM(G60:M60))=E60,SUM(G60:M60),"Column N does not agree with Column E")</f>
        <v>130542</v>
      </c>
    </row>
    <row r="61" spans="1:14" ht="24.75" customHeight="1" x14ac:dyDescent="0.2">
      <c r="A61" s="2462" t="s">
        <v>697</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48913</v>
      </c>
      <c r="F65" s="1972"/>
      <c r="G65" s="2031"/>
      <c r="H65" s="2032"/>
      <c r="I65" s="2032"/>
      <c r="J65" s="2032"/>
      <c r="K65" s="2032"/>
      <c r="L65" s="2032"/>
      <c r="M65" s="2032">
        <v>48913</v>
      </c>
      <c r="N65" s="1975">
        <f t="shared" si="4"/>
        <v>48913</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2041</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179455</v>
      </c>
      <c r="F68" s="1973"/>
      <c r="G68" s="1974">
        <f t="shared" ref="G68:N68" si="5">SUM(G57:G67)</f>
        <v>0</v>
      </c>
      <c r="H68" s="1974">
        <f t="shared" si="5"/>
        <v>0</v>
      </c>
      <c r="I68" s="1974">
        <f t="shared" si="5"/>
        <v>0</v>
      </c>
      <c r="J68" s="1974">
        <f t="shared" si="5"/>
        <v>0</v>
      </c>
      <c r="K68" s="1974">
        <f t="shared" si="5"/>
        <v>0</v>
      </c>
      <c r="L68" s="1974">
        <f t="shared" si="5"/>
        <v>0</v>
      </c>
      <c r="M68" s="1974">
        <f t="shared" si="5"/>
        <v>179455</v>
      </c>
      <c r="N68" s="1988">
        <f t="shared" si="5"/>
        <v>179455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2131</v>
      </c>
    </row>
    <row r="6" spans="1:2" x14ac:dyDescent="0.2">
      <c r="A6" s="847">
        <v>2</v>
      </c>
      <c r="B6" s="307" t="s">
        <v>2134</v>
      </c>
    </row>
    <row r="7" spans="1:2" x14ac:dyDescent="0.2">
      <c r="A7" s="847">
        <v>3</v>
      </c>
      <c r="B7" s="307" t="s">
        <v>2132</v>
      </c>
    </row>
    <row r="8" spans="1:2" x14ac:dyDescent="0.2">
      <c r="A8" s="847">
        <v>4</v>
      </c>
      <c r="B8" s="307" t="s">
        <v>2133</v>
      </c>
    </row>
    <row r="9" spans="1:2" x14ac:dyDescent="0.2">
      <c r="A9" s="848">
        <v>5</v>
      </c>
      <c r="B9" s="307" t="s">
        <v>2139</v>
      </c>
    </row>
    <row r="10" spans="1:2" x14ac:dyDescent="0.2">
      <c r="A10" s="848">
        <v>6</v>
      </c>
      <c r="B10" s="307" t="s">
        <v>2135</v>
      </c>
    </row>
    <row r="11" spans="1:2" x14ac:dyDescent="0.2">
      <c r="A11" s="848">
        <v>7</v>
      </c>
      <c r="B11" s="307" t="s">
        <v>2136</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Johnston City CUSD 1</v>
      </c>
    </row>
    <row r="65" spans="2:2" x14ac:dyDescent="0.2">
      <c r="B65" s="849">
        <f>COVER!A13</f>
        <v>21100001026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2" zoomScale="110" zoomScaleNormal="110" workbookViewId="0">
      <selection activeCell="A42" sqref="A42:C4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
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C1" colorId="8" zoomScale="110" zoomScaleNormal="110" workbookViewId="0">
      <selection activeCell="A42" sqref="A42:C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514350</xdr:colOff>
                <xdr:row>1</xdr:row>
                <xdr:rowOff>95250</xdr:rowOff>
              </from>
              <to>
                <xdr:col>1</xdr:col>
                <xdr:colOff>1428750</xdr:colOff>
                <xdr:row>6</xdr:row>
                <xdr:rowOff>57150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2" sqref="A42:C4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1971</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9779668</v>
      </c>
      <c r="C8" s="1813">
        <f>'Acct Summary 7-8'!D8</f>
        <v>886397</v>
      </c>
      <c r="D8" s="1813">
        <f>'Acct Summary 7-8'!F8</f>
        <v>606189</v>
      </c>
      <c r="E8" s="1813">
        <f>'Acct Summary 7-8'!I8</f>
        <v>43327</v>
      </c>
      <c r="F8" s="1813">
        <f>SUM(B8:E8)</f>
        <v>11315581</v>
      </c>
    </row>
    <row r="9" spans="1:8" s="858" customFormat="1" ht="14.25" customHeight="1" thickBot="1" x14ac:dyDescent="0.25">
      <c r="A9" s="857" t="s">
        <v>1353</v>
      </c>
      <c r="B9" s="1814">
        <f>'Acct Summary 7-8'!C17</f>
        <v>9553541</v>
      </c>
      <c r="C9" s="1814">
        <f>'Acct Summary 7-8'!D17</f>
        <v>595607</v>
      </c>
      <c r="D9" s="1814">
        <f>'Acct Summary 7-8'!F17</f>
        <v>444744</v>
      </c>
      <c r="E9" s="1813"/>
      <c r="F9" s="1813">
        <f>SUM(B9:E9)</f>
        <v>10593892</v>
      </c>
    </row>
    <row r="10" spans="1:8" s="858" customFormat="1" ht="14.25" thickTop="1" thickBot="1" x14ac:dyDescent="0.25">
      <c r="A10" s="859" t="s">
        <v>1354</v>
      </c>
      <c r="B10" s="1815">
        <f>(B8-B9)</f>
        <v>226127</v>
      </c>
      <c r="C10" s="1815">
        <f>(C8-C9)</f>
        <v>290790</v>
      </c>
      <c r="D10" s="1815">
        <f>(D8-D9)</f>
        <v>161445</v>
      </c>
      <c r="E10" s="1814">
        <f>(E8-E9)</f>
        <v>43327</v>
      </c>
      <c r="F10" s="1816">
        <f>SUM(F8-F9)</f>
        <v>721689</v>
      </c>
    </row>
    <row r="11" spans="1:8" s="858" customFormat="1" ht="14.25" thickTop="1" thickBot="1" x14ac:dyDescent="0.25">
      <c r="A11" s="860" t="s">
        <v>1902</v>
      </c>
      <c r="B11" s="1817">
        <f>'Acct Summary 7-8'!C81</f>
        <v>2030164</v>
      </c>
      <c r="C11" s="1817">
        <f>'Acct Summary 7-8'!D81</f>
        <v>610801</v>
      </c>
      <c r="D11" s="1817">
        <f>'Acct Summary 7-8'!F81</f>
        <v>404886</v>
      </c>
      <c r="E11" s="1817">
        <f>'Acct Summary 7-8'!I81</f>
        <v>1137923</v>
      </c>
      <c r="F11" s="1818">
        <f>SUM(B11:E11)</f>
        <v>4183774</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A42" sqref="A42:C4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900" t="s">
        <v>1977</v>
      </c>
    </row>
    <row r="2" spans="1:7" ht="15.75" x14ac:dyDescent="0.25">
      <c r="A2" t="s">
        <v>260</v>
      </c>
      <c r="B2" s="135">
        <f>COVER!A13</f>
        <v>21100001026</v>
      </c>
      <c r="E2" s="1542">
        <v>2020</v>
      </c>
      <c r="F2" s="1542">
        <v>1</v>
      </c>
      <c r="G2" s="1899">
        <v>101000300</v>
      </c>
    </row>
    <row r="3" spans="1:7" ht="15" x14ac:dyDescent="0.25">
      <c r="A3" t="s">
        <v>950</v>
      </c>
      <c r="B3" s="135" t="str">
        <f>COVER!A15</f>
        <v>Williamson</v>
      </c>
      <c r="E3" s="1830" t="s">
        <v>1970</v>
      </c>
      <c r="F3" s="1830" t="s">
        <v>1969</v>
      </c>
      <c r="G3" s="1899">
        <v>101000400</v>
      </c>
    </row>
    <row r="4" spans="1:7" ht="15" x14ac:dyDescent="0.25">
      <c r="A4" t="s">
        <v>1000</v>
      </c>
      <c r="B4" s="135" t="str">
        <f>COVER!A17</f>
        <v>Johnston City CUSD 1</v>
      </c>
      <c r="E4" s="1828">
        <v>44119</v>
      </c>
      <c r="F4" s="1829">
        <v>44151</v>
      </c>
      <c r="G4" s="1899">
        <v>101000600</v>
      </c>
    </row>
    <row r="5" spans="1:7" ht="15" x14ac:dyDescent="0.25">
      <c r="A5" t="s">
        <v>699</v>
      </c>
      <c r="B5" s="135" t="str">
        <f>COVER!A38</f>
        <v>Mrs. Kathy Clark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Yes</v>
      </c>
      <c r="G14" s="1899">
        <v>402100300</v>
      </c>
    </row>
    <row r="15" spans="1:7" ht="15" x14ac:dyDescent="0.25">
      <c r="A15" t="s">
        <v>573</v>
      </c>
      <c r="B15" s="135" t="str">
        <f>COVER!T23</f>
        <v>065-022629</v>
      </c>
      <c r="G15" s="1899">
        <v>402100400</v>
      </c>
    </row>
    <row r="16" spans="1:7" ht="15" x14ac:dyDescent="0.25">
      <c r="A16" t="s">
        <v>419</v>
      </c>
      <c r="B16" s="135" t="str">
        <f>COVER!T13</f>
        <v>Cindy A. Bobell, CPA</v>
      </c>
      <c r="G16" s="1899">
        <v>402100600</v>
      </c>
    </row>
    <row r="17" spans="1:7" ht="15" x14ac:dyDescent="0.25">
      <c r="A17" t="s">
        <v>878</v>
      </c>
      <c r="B17" s="135" t="str">
        <f>COVER!T15</f>
        <v>Cindy A. Bobell, CPA</v>
      </c>
      <c r="G17" s="1899">
        <v>402100800</v>
      </c>
    </row>
    <row r="18" spans="1:7" ht="15" x14ac:dyDescent="0.25">
      <c r="A18" t="s">
        <v>1140</v>
      </c>
      <c r="B18" s="135" t="str">
        <f>COVER!T17</f>
        <v>10653 Khoury League Road</v>
      </c>
      <c r="G18" s="1899">
        <v>102200300</v>
      </c>
    </row>
    <row r="19" spans="1:7" ht="15" x14ac:dyDescent="0.25">
      <c r="A19" t="s">
        <v>880</v>
      </c>
      <c r="B19" s="135" t="str">
        <f>COVER!T25</f>
        <v>cabcpa@frontier.com</v>
      </c>
      <c r="G19" s="1899">
        <v>102200400</v>
      </c>
    </row>
    <row r="20" spans="1:7" ht="15" x14ac:dyDescent="0.25">
      <c r="A20" t="s">
        <v>881</v>
      </c>
      <c r="B20" s="135" t="str">
        <f>COVER!T19</f>
        <v>Marion</v>
      </c>
      <c r="G20" s="1899">
        <v>102200600</v>
      </c>
    </row>
    <row r="21" spans="1:7" ht="15" x14ac:dyDescent="0.25">
      <c r="A21" t="s">
        <v>476</v>
      </c>
      <c r="B21" s="135" t="str">
        <f>COVER!X19</f>
        <v>IL</v>
      </c>
      <c r="G21" s="1899">
        <v>102200800</v>
      </c>
    </row>
    <row r="22" spans="1:7" ht="15" x14ac:dyDescent="0.25">
      <c r="A22" t="s">
        <v>882</v>
      </c>
      <c r="B22" s="135">
        <f>COVER!Z19</f>
        <v>62959</v>
      </c>
      <c r="G22" s="1899">
        <v>102300300</v>
      </c>
    </row>
    <row r="23" spans="1:7" ht="15" x14ac:dyDescent="0.25">
      <c r="A23" t="s">
        <v>1142</v>
      </c>
      <c r="B23" s="135" t="str">
        <f>COVER!T21</f>
        <v>618-997-9711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2036164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6000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6000</v>
      </c>
      <c r="C91" s="2" t="s">
        <v>569</v>
      </c>
      <c r="D91" s="2" t="str">
        <f t="shared" si="0"/>
        <v>Error?</v>
      </c>
      <c r="G91" s="1899">
        <v>102640400</v>
      </c>
    </row>
    <row r="92" spans="1:7" ht="15" x14ac:dyDescent="0.25">
      <c r="A92" s="5">
        <v>31</v>
      </c>
      <c r="B92" s="1832">
        <f>'Assets-Liab 5-6'!C39</f>
        <v>2030164</v>
      </c>
      <c r="D92" s="2" t="str">
        <f t="shared" si="0"/>
        <v>Error?</v>
      </c>
      <c r="G92" s="1899">
        <v>102640600</v>
      </c>
    </row>
    <row r="93" spans="1:7" ht="15" x14ac:dyDescent="0.25">
      <c r="A93" s="5">
        <v>32</v>
      </c>
      <c r="B93" s="1832">
        <f>'Assets-Liab 5-6'!C41</f>
        <v>2036164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610801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560801</v>
      </c>
      <c r="D123" s="2" t="str">
        <f t="shared" si="0"/>
        <v>Error?</v>
      </c>
      <c r="G123" s="1899">
        <v>203000400</v>
      </c>
    </row>
    <row r="124" spans="1:7" ht="15" x14ac:dyDescent="0.25">
      <c r="A124" s="5">
        <v>63</v>
      </c>
      <c r="B124" s="1832">
        <f>'Assets-Liab 5-6'!D41</f>
        <v>610801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171254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171254</v>
      </c>
      <c r="D140" s="2" t="str">
        <f t="shared" si="1"/>
        <v>Error?</v>
      </c>
    </row>
    <row r="141" spans="1:7" x14ac:dyDescent="0.2">
      <c r="A141" s="5">
        <v>80</v>
      </c>
      <c r="B141" s="1832">
        <f>'Assets-Liab 5-6'!E41</f>
        <v>171254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404886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404886</v>
      </c>
      <c r="D170" s="2" t="str">
        <f t="shared" si="1"/>
        <v>Error?</v>
      </c>
    </row>
    <row r="171" spans="1:4" x14ac:dyDescent="0.2">
      <c r="A171" s="5">
        <v>110</v>
      </c>
      <c r="B171" s="1832">
        <f>'Assets-Liab 5-6'!F41</f>
        <v>404886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442678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442678</v>
      </c>
      <c r="D189" s="2" t="str">
        <f t="shared" si="1"/>
        <v>Error?</v>
      </c>
    </row>
    <row r="190" spans="1:4" x14ac:dyDescent="0.2">
      <c r="A190" s="5">
        <v>129</v>
      </c>
      <c r="B190" s="1832">
        <f>'Assets-Liab 5-6'!G41</f>
        <v>442678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774972</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1991427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1991427</v>
      </c>
      <c r="D212" s="2" t="str">
        <f t="shared" si="2"/>
        <v>Error?</v>
      </c>
    </row>
    <row r="213" spans="1:4" x14ac:dyDescent="0.2">
      <c r="A213" s="12">
        <v>152</v>
      </c>
      <c r="B213" s="1832">
        <f>'Assets-Liab 5-6'!H41</f>
        <v>1991427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81746</v>
      </c>
      <c r="D273" s="2" t="str">
        <f t="shared" si="3"/>
        <v>Error?</v>
      </c>
    </row>
    <row r="274" spans="1:4" x14ac:dyDescent="0.2">
      <c r="A274" s="5">
        <v>213</v>
      </c>
      <c r="B274" s="1832">
        <f>'Assets-Liab 5-6'!M17</f>
        <v>12684081</v>
      </c>
      <c r="D274" s="2" t="str">
        <f t="shared" si="3"/>
        <v>Error?</v>
      </c>
    </row>
    <row r="275" spans="1:4" x14ac:dyDescent="0.2">
      <c r="A275" s="5">
        <v>214</v>
      </c>
      <c r="B275" s="1832">
        <f>'Assets-Liab 5-6'!M18</f>
        <v>12550577</v>
      </c>
      <c r="D275" s="2" t="str">
        <f t="shared" si="3"/>
        <v>Error?</v>
      </c>
    </row>
    <row r="276" spans="1:4" x14ac:dyDescent="0.2">
      <c r="A276" s="5">
        <v>215</v>
      </c>
      <c r="B276" s="1832">
        <f>'Assets-Liab 5-6'!M19</f>
        <v>2707787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28113817</v>
      </c>
      <c r="C279" s="2" t="s">
        <v>569</v>
      </c>
      <c r="D279" s="2" t="str">
        <f t="shared" si="3"/>
        <v>Error?</v>
      </c>
    </row>
    <row r="280" spans="1:4" x14ac:dyDescent="0.2">
      <c r="A280" s="5">
        <v>219</v>
      </c>
      <c r="B280" s="1832">
        <f>'Assets-Liab 5-6'!M40</f>
        <v>28113817</v>
      </c>
      <c r="D280" s="2" t="str">
        <f t="shared" si="3"/>
        <v>Error?</v>
      </c>
    </row>
    <row r="281" spans="1:4" x14ac:dyDescent="0.2">
      <c r="A281" s="5">
        <v>220</v>
      </c>
      <c r="B281" s="1832">
        <f>'Assets-Liab 5-6'!M41</f>
        <v>28113817</v>
      </c>
      <c r="C281" s="2" t="s">
        <v>569</v>
      </c>
      <c r="D281" s="2" t="str">
        <f t="shared" si="3"/>
        <v>Error?</v>
      </c>
    </row>
    <row r="282" spans="1:4" x14ac:dyDescent="0.2">
      <c r="A282" s="5">
        <v>221</v>
      </c>
      <c r="B282" s="1832">
        <f>'Assets-Liab 5-6'!N21</f>
        <v>171254</v>
      </c>
      <c r="D282" s="2" t="str">
        <f t="shared" si="3"/>
        <v>Error?</v>
      </c>
    </row>
    <row r="283" spans="1:4" x14ac:dyDescent="0.2">
      <c r="A283" s="5">
        <v>222</v>
      </c>
      <c r="B283" s="1832">
        <f>'Assets-Liab 5-6'!N22</f>
        <v>4694901</v>
      </c>
      <c r="D283" s="2" t="str">
        <f t="shared" si="3"/>
        <v>Error?</v>
      </c>
    </row>
    <row r="284" spans="1:4" x14ac:dyDescent="0.2">
      <c r="A284" s="5">
        <v>223</v>
      </c>
      <c r="B284" s="1832">
        <f>'Assets-Liab 5-6'!N23</f>
        <v>4866155</v>
      </c>
      <c r="C284" s="2" t="s">
        <v>569</v>
      </c>
      <c r="D284" s="2" t="str">
        <f t="shared" si="3"/>
        <v>Error?</v>
      </c>
    </row>
    <row r="285" spans="1:4" x14ac:dyDescent="0.2">
      <c r="A285" s="5">
        <v>224</v>
      </c>
      <c r="B285" s="1832">
        <f>'Assets-Liab 5-6'!N36</f>
        <v>4866155</v>
      </c>
      <c r="D285" s="2" t="str">
        <f t="shared" si="3"/>
        <v>Error?</v>
      </c>
    </row>
    <row r="286" spans="1:4" x14ac:dyDescent="0.2">
      <c r="A286" s="10">
        <v>225</v>
      </c>
      <c r="B286" s="1832"/>
      <c r="D286" s="2" t="str">
        <f t="shared" si="3"/>
        <v>OK</v>
      </c>
    </row>
    <row r="287" spans="1:4" x14ac:dyDescent="0.2">
      <c r="A287" s="5">
        <v>226</v>
      </c>
      <c r="B287" s="1832">
        <f>'Assets-Liab 5-6'!N37</f>
        <v>4866155</v>
      </c>
      <c r="C287" s="2" t="s">
        <v>569</v>
      </c>
      <c r="D287" s="2" t="str">
        <f t="shared" si="3"/>
        <v>Error?</v>
      </c>
    </row>
    <row r="288" spans="1:4" x14ac:dyDescent="0.2">
      <c r="A288" s="5">
        <v>227</v>
      </c>
      <c r="B288" s="1832">
        <f>'Assets-Liab 5-6'!N41</f>
        <v>4866155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2991401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221547</v>
      </c>
      <c r="D717" s="2" t="str">
        <f t="shared" si="10"/>
        <v>Error?</v>
      </c>
    </row>
    <row r="718" spans="1:4" x14ac:dyDescent="0.2">
      <c r="A718" s="5">
        <v>657</v>
      </c>
      <c r="B718" s="1832">
        <f>'Expenditures 15-22'!C14</f>
        <v>153712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3600464</v>
      </c>
      <c r="C720" s="2" t="s">
        <v>569</v>
      </c>
      <c r="D720" s="2" t="str">
        <f t="shared" si="10"/>
        <v>Error?</v>
      </c>
    </row>
    <row r="721" spans="1:4" x14ac:dyDescent="0.2">
      <c r="A721" s="5">
        <v>660</v>
      </c>
      <c r="B721" s="1832">
        <f>'Expenditures 15-22'!C36</f>
        <v>54810</v>
      </c>
      <c r="D721" s="2" t="str">
        <f t="shared" si="10"/>
        <v>Error?</v>
      </c>
    </row>
    <row r="722" spans="1:4" x14ac:dyDescent="0.2">
      <c r="A722" s="5">
        <v>661</v>
      </c>
      <c r="B722" s="1832">
        <f>'Expenditures 15-22'!C37</f>
        <v>71596</v>
      </c>
      <c r="D722" s="2" t="str">
        <f t="shared" si="10"/>
        <v>Error?</v>
      </c>
    </row>
    <row r="723" spans="1:4" x14ac:dyDescent="0.2">
      <c r="A723" s="5">
        <v>662</v>
      </c>
      <c r="B723" s="1832">
        <f>'Expenditures 15-22'!C38</f>
        <v>55268</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80861</v>
      </c>
      <c r="D726" s="2" t="str">
        <f t="shared" si="10"/>
        <v>Error?</v>
      </c>
    </row>
    <row r="727" spans="1:4" x14ac:dyDescent="0.2">
      <c r="A727" s="5">
        <v>666</v>
      </c>
      <c r="B727" s="1832">
        <f>'Expenditures 15-22'!C42</f>
        <v>262535</v>
      </c>
      <c r="C727" s="2" t="s">
        <v>569</v>
      </c>
      <c r="D727" s="2" t="str">
        <f t="shared" si="10"/>
        <v>Error?</v>
      </c>
    </row>
    <row r="728" spans="1:4" x14ac:dyDescent="0.2">
      <c r="A728" s="5">
        <v>667</v>
      </c>
      <c r="B728" s="1832">
        <f>'Expenditures 15-22'!C44</f>
        <v>98842</v>
      </c>
      <c r="D728" s="2" t="str">
        <f t="shared" si="10"/>
        <v>Error?</v>
      </c>
    </row>
    <row r="729" spans="1:4" x14ac:dyDescent="0.2">
      <c r="A729" s="5">
        <v>668</v>
      </c>
      <c r="B729" s="1832">
        <f>'Expenditures 15-22'!C45</f>
        <v>22585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121427</v>
      </c>
      <c r="C731" s="2" t="s">
        <v>569</v>
      </c>
      <c r="D731" s="2" t="str">
        <f t="shared" si="10"/>
        <v>Error?</v>
      </c>
    </row>
    <row r="732" spans="1:4" x14ac:dyDescent="0.2">
      <c r="A732" s="5">
        <v>671</v>
      </c>
      <c r="B732" s="1832">
        <f>'Expenditures 15-22'!C49</f>
        <v>-2280</v>
      </c>
      <c r="D732" s="2" t="str">
        <f t="shared" si="10"/>
        <v>Error?</v>
      </c>
    </row>
    <row r="733" spans="1:4" x14ac:dyDescent="0.2">
      <c r="A733" s="5">
        <v>672</v>
      </c>
      <c r="B733" s="1832">
        <f>'Expenditures 15-22'!C50</f>
        <v>109796</v>
      </c>
      <c r="D733" s="2" t="str">
        <f t="shared" si="10"/>
        <v>Error?</v>
      </c>
    </row>
    <row r="734" spans="1:4" x14ac:dyDescent="0.2">
      <c r="A734" s="5">
        <v>673</v>
      </c>
      <c r="B734" s="1832">
        <f>'Expenditures 15-22'!C53</f>
        <v>107516</v>
      </c>
      <c r="C734" s="2" t="s">
        <v>569</v>
      </c>
      <c r="D734" s="2" t="str">
        <f t="shared" si="10"/>
        <v>Error?</v>
      </c>
    </row>
    <row r="735" spans="1:4" x14ac:dyDescent="0.2">
      <c r="A735" s="5">
        <v>674</v>
      </c>
      <c r="B735" s="1832">
        <f>'Expenditures 15-22'!C55</f>
        <v>524947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524947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99531</v>
      </c>
      <c r="D739" s="2" t="str">
        <f t="shared" si="10"/>
        <v>Error?</v>
      </c>
    </row>
    <row r="740" spans="1:4" x14ac:dyDescent="0.2">
      <c r="A740" s="5">
        <v>679</v>
      </c>
      <c r="B740" s="1832">
        <f>'Expenditures 15-22'!C61</f>
        <v>475503</v>
      </c>
      <c r="D740" s="2" t="str">
        <f t="shared" si="10"/>
        <v>Error?</v>
      </c>
    </row>
    <row r="741" spans="1:4" x14ac:dyDescent="0.2">
      <c r="A741" s="5">
        <v>680</v>
      </c>
      <c r="B741" s="1832">
        <f>'Expenditures 15-22'!C62</f>
        <v>18808</v>
      </c>
      <c r="D741" s="2" t="str">
        <f t="shared" si="10"/>
        <v>Error?</v>
      </c>
    </row>
    <row r="742" spans="1:4" x14ac:dyDescent="0.2">
      <c r="A742" s="5">
        <v>681</v>
      </c>
      <c r="B742" s="1832">
        <f>'Expenditures 15-22'!C63</f>
        <v>23166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617008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1633433</v>
      </c>
      <c r="C755" s="2" t="s">
        <v>569</v>
      </c>
      <c r="D755" s="2" t="str">
        <f t="shared" si="10"/>
        <v>Error?</v>
      </c>
    </row>
    <row r="756" spans="1:4" x14ac:dyDescent="0.2">
      <c r="A756" s="5">
        <v>695</v>
      </c>
      <c r="B756" s="1832">
        <f>'Expenditures 15-22'!C75</f>
        <v>33343</v>
      </c>
      <c r="D756" s="2" t="str">
        <f t="shared" si="10"/>
        <v>Error?</v>
      </c>
    </row>
    <row r="757" spans="1:4" x14ac:dyDescent="0.2">
      <c r="A757" s="5">
        <v>696</v>
      </c>
      <c r="B757" s="1832">
        <f>'Expenditures 15-22'!C114</f>
        <v>5267240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851502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68432</v>
      </c>
      <c r="D775" s="2" t="str">
        <f t="shared" si="11"/>
        <v>Error?</v>
      </c>
    </row>
    <row r="776" spans="1:4" x14ac:dyDescent="0.2">
      <c r="A776" s="5">
        <v>715</v>
      </c>
      <c r="B776" s="1832">
        <f>'Expenditures 15-22'!D14</f>
        <v>24204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983041</v>
      </c>
      <c r="C778" s="2" t="s">
        <v>569</v>
      </c>
      <c r="D778" s="2" t="str">
        <f t="shared" si="11"/>
        <v>Error?</v>
      </c>
    </row>
    <row r="779" spans="1:4" x14ac:dyDescent="0.2">
      <c r="A779" s="5">
        <v>718</v>
      </c>
      <c r="B779" s="1832">
        <f>'Expenditures 15-22'!D36</f>
        <v>16423</v>
      </c>
      <c r="D779" s="2" t="str">
        <f t="shared" si="11"/>
        <v>Error?</v>
      </c>
    </row>
    <row r="780" spans="1:4" x14ac:dyDescent="0.2">
      <c r="A780" s="5">
        <v>719</v>
      </c>
      <c r="B780" s="1832">
        <f>'Expenditures 15-22'!D37</f>
        <v>18574</v>
      </c>
      <c r="D780" s="2" t="str">
        <f t="shared" si="11"/>
        <v>Error?</v>
      </c>
    </row>
    <row r="781" spans="1:4" x14ac:dyDescent="0.2">
      <c r="A781" s="5">
        <v>720</v>
      </c>
      <c r="B781" s="1832">
        <f>'Expenditures 15-22'!D38</f>
        <v>9564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6233</v>
      </c>
      <c r="D784" s="2" t="str">
        <f t="shared" si="11"/>
        <v>Error?</v>
      </c>
    </row>
    <row r="785" spans="1:4" x14ac:dyDescent="0.2">
      <c r="A785" s="5">
        <v>724</v>
      </c>
      <c r="B785" s="1832">
        <f>'Expenditures 15-22'!D42</f>
        <v>50794</v>
      </c>
      <c r="C785" s="2" t="s">
        <v>569</v>
      </c>
      <c r="D785" s="2" t="str">
        <f t="shared" si="11"/>
        <v>Error?</v>
      </c>
    </row>
    <row r="786" spans="1:4" x14ac:dyDescent="0.2">
      <c r="A786" s="5">
        <v>725</v>
      </c>
      <c r="B786" s="1832">
        <f>'Expenditures 15-22'!D44</f>
        <v>24232</v>
      </c>
      <c r="D786" s="2" t="str">
        <f t="shared" si="11"/>
        <v>Error?</v>
      </c>
    </row>
    <row r="787" spans="1:4" x14ac:dyDescent="0.2">
      <c r="A787" s="5">
        <v>726</v>
      </c>
      <c r="B787" s="1832">
        <f>'Expenditures 15-22'!D45</f>
        <v>170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24402</v>
      </c>
      <c r="C789" s="2" t="s">
        <v>569</v>
      </c>
      <c r="D789" s="2" t="str">
        <f t="shared" si="11"/>
        <v>Error?</v>
      </c>
    </row>
    <row r="790" spans="1:4" x14ac:dyDescent="0.2">
      <c r="A790" s="5">
        <v>729</v>
      </c>
      <c r="B790" s="1832">
        <f>'Expenditures 15-22'!D49</f>
        <v>47</v>
      </c>
      <c r="D790" s="2" t="str">
        <f t="shared" si="11"/>
        <v>Error?</v>
      </c>
    </row>
    <row r="791" spans="1:4" x14ac:dyDescent="0.2">
      <c r="A791" s="5">
        <v>730</v>
      </c>
      <c r="B791" s="1832">
        <f>'Expenditures 15-22'!D50</f>
        <v>22906</v>
      </c>
      <c r="D791" s="2" t="str">
        <f t="shared" si="11"/>
        <v>Error?</v>
      </c>
    </row>
    <row r="792" spans="1:4" x14ac:dyDescent="0.2">
      <c r="A792" s="5">
        <v>731</v>
      </c>
      <c r="B792" s="1832">
        <f>'Expenditures 15-22'!D53</f>
        <v>22953</v>
      </c>
      <c r="C792" s="2" t="s">
        <v>569</v>
      </c>
      <c r="D792" s="2" t="str">
        <f t="shared" si="11"/>
        <v>Error?</v>
      </c>
    </row>
    <row r="793" spans="1:4" x14ac:dyDescent="0.2">
      <c r="A793" s="5">
        <v>732</v>
      </c>
      <c r="B793" s="1832">
        <f>'Expenditures 15-22'!D55</f>
        <v>150020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150020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20166</v>
      </c>
      <c r="D797" s="2" t="str">
        <f t="shared" si="11"/>
        <v>Error?</v>
      </c>
    </row>
    <row r="798" spans="1:4" x14ac:dyDescent="0.2">
      <c r="A798" s="5">
        <v>737</v>
      </c>
      <c r="B798" s="1832">
        <f>'Expenditures 15-22'!D61</f>
        <v>82231</v>
      </c>
      <c r="D798" s="2" t="str">
        <f t="shared" si="11"/>
        <v>Error?</v>
      </c>
    </row>
    <row r="799" spans="1:4" x14ac:dyDescent="0.2">
      <c r="A799" s="5">
        <v>738</v>
      </c>
      <c r="B799" s="1832">
        <f>'Expenditures 15-22'!D62</f>
        <v>1097</v>
      </c>
      <c r="D799" s="2" t="str">
        <f t="shared" si="11"/>
        <v>Error?</v>
      </c>
    </row>
    <row r="800" spans="1:4" x14ac:dyDescent="0.2">
      <c r="A800" s="5">
        <v>739</v>
      </c>
      <c r="B800" s="1832">
        <f>'Expenditures 15-22'!D63</f>
        <v>9165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112659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360828</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1343869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128502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800</v>
      </c>
      <c r="D833" s="2" t="str">
        <f t="shared" si="12"/>
        <v>Error?</v>
      </c>
    </row>
    <row r="834" spans="1:4" x14ac:dyDescent="0.2">
      <c r="A834" s="5">
        <v>773</v>
      </c>
      <c r="B834" s="1832">
        <f>'Expenditures 15-22'!E14</f>
        <v>32280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201849</v>
      </c>
      <c r="C836" s="2" t="s">
        <v>569</v>
      </c>
      <c r="D836" s="2" t="str">
        <f t="shared" si="12"/>
        <v>Error?</v>
      </c>
    </row>
    <row r="837" spans="1:4" x14ac:dyDescent="0.2">
      <c r="A837" s="5">
        <v>776</v>
      </c>
      <c r="B837" s="1832">
        <f>'Expenditures 15-22'!E36</f>
        <v>287</v>
      </c>
      <c r="D837" s="2" t="str">
        <f t="shared" si="12"/>
        <v>Error?</v>
      </c>
    </row>
    <row r="838" spans="1:4" x14ac:dyDescent="0.2">
      <c r="A838" s="5">
        <v>777</v>
      </c>
      <c r="B838" s="1832">
        <f>'Expenditures 15-22'!E37</f>
        <v>74</v>
      </c>
      <c r="D838" s="2" t="str">
        <f t="shared" si="12"/>
        <v>Error?</v>
      </c>
    </row>
    <row r="839" spans="1:4" x14ac:dyDescent="0.2">
      <c r="A839" s="5">
        <v>778</v>
      </c>
      <c r="B839" s="1832">
        <f>'Expenditures 15-22'!E38</f>
        <v>785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290</v>
      </c>
      <c r="D842" s="2" t="str">
        <f t="shared" si="12"/>
        <v>Error?</v>
      </c>
    </row>
    <row r="843" spans="1:4" x14ac:dyDescent="0.2">
      <c r="A843" s="5">
        <v>782</v>
      </c>
      <c r="B843" s="1832">
        <f>'Expenditures 15-22'!E42</f>
        <v>1436</v>
      </c>
      <c r="C843" s="2" t="s">
        <v>569</v>
      </c>
      <c r="D843" s="2" t="str">
        <f t="shared" si="12"/>
        <v>Error?</v>
      </c>
    </row>
    <row r="844" spans="1:4" x14ac:dyDescent="0.2">
      <c r="A844" s="5">
        <v>783</v>
      </c>
      <c r="B844" s="1832">
        <f>'Expenditures 15-22'!E44</f>
        <v>32323</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32323</v>
      </c>
      <c r="C847" s="2" t="s">
        <v>569</v>
      </c>
      <c r="D847" s="2" t="str">
        <f t="shared" si="12"/>
        <v>Error?</v>
      </c>
    </row>
    <row r="848" spans="1:4" x14ac:dyDescent="0.2">
      <c r="A848" s="5">
        <v>787</v>
      </c>
      <c r="B848" s="1832">
        <f>'Expenditures 15-22'!E49</f>
        <v>28898</v>
      </c>
      <c r="D848" s="2" t="str">
        <f t="shared" si="12"/>
        <v>Error?</v>
      </c>
    </row>
    <row r="849" spans="1:4" x14ac:dyDescent="0.2">
      <c r="A849" s="5">
        <v>788</v>
      </c>
      <c r="B849" s="1832">
        <f>'Expenditures 15-22'!E50</f>
        <v>7390</v>
      </c>
      <c r="D849" s="2" t="str">
        <f t="shared" si="12"/>
        <v>Error?</v>
      </c>
    </row>
    <row r="850" spans="1:4" x14ac:dyDescent="0.2">
      <c r="A850" s="5">
        <v>789</v>
      </c>
      <c r="B850" s="1832">
        <f>'Expenditures 15-22'!E53</f>
        <v>37288</v>
      </c>
      <c r="C850" s="2" t="s">
        <v>569</v>
      </c>
      <c r="D850" s="2" t="str">
        <f t="shared" si="12"/>
        <v>Error?</v>
      </c>
    </row>
    <row r="851" spans="1:4" x14ac:dyDescent="0.2">
      <c r="A851" s="5">
        <v>790</v>
      </c>
      <c r="B851" s="1832">
        <f>'Expenditures 15-22'!E55</f>
        <v>7423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7423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22154</v>
      </c>
      <c r="D855" s="2" t="str">
        <f t="shared" si="12"/>
        <v>Error?</v>
      </c>
    </row>
    <row r="856" spans="1:4" x14ac:dyDescent="0.2">
      <c r="A856" s="5">
        <v>795</v>
      </c>
      <c r="B856" s="1832">
        <f>'Expenditures 15-22'!E61</f>
        <v>9349</v>
      </c>
      <c r="D856" s="2" t="str">
        <f t="shared" si="12"/>
        <v>Error?</v>
      </c>
    </row>
    <row r="857" spans="1:4" x14ac:dyDescent="0.2">
      <c r="A857" s="5">
        <v>796</v>
      </c>
      <c r="B857" s="1832">
        <f>'Expenditures 15-22'!E62</f>
        <v>65</v>
      </c>
      <c r="D857" s="2" t="str">
        <f t="shared" si="12"/>
        <v>Error?</v>
      </c>
    </row>
    <row r="858" spans="1:4" x14ac:dyDescent="0.2">
      <c r="A858" s="5">
        <v>797</v>
      </c>
      <c r="B858" s="1832">
        <f>'Expenditures 15-22'!E63</f>
        <v>494393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525961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3105</v>
      </c>
      <c r="D867" s="2" t="str">
        <f t="shared" si="12"/>
        <v>Error?</v>
      </c>
    </row>
    <row r="868" spans="1:4" x14ac:dyDescent="0.2">
      <c r="A868" s="10">
        <v>807</v>
      </c>
      <c r="B868" s="1832"/>
      <c r="D868" s="2" t="str">
        <f t="shared" si="12"/>
        <v>OK</v>
      </c>
    </row>
    <row r="869" spans="1:4" x14ac:dyDescent="0.2">
      <c r="A869" s="5">
        <v>808</v>
      </c>
      <c r="B869" s="1832">
        <f>'Expenditures 15-22'!E72</f>
        <v>3105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607536</v>
      </c>
      <c r="C871" s="2" t="s">
        <v>569</v>
      </c>
      <c r="D871" s="2" t="str">
        <f t="shared" si="12"/>
        <v>Error?</v>
      </c>
    </row>
    <row r="872" spans="1:4" x14ac:dyDescent="0.2">
      <c r="A872" s="5">
        <v>811</v>
      </c>
      <c r="B872" s="1832">
        <f>'Expenditures 15-22'!E75</f>
        <v>238</v>
      </c>
      <c r="D872" s="2" t="str">
        <f t="shared" si="12"/>
        <v>Error?</v>
      </c>
    </row>
    <row r="873" spans="1:4" x14ac:dyDescent="0.2">
      <c r="A873" s="5">
        <v>812</v>
      </c>
      <c r="B873" s="1832">
        <f>'Expenditures 15-22'!E114</f>
        <v>821373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197286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31989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258882</v>
      </c>
      <c r="C894" s="2" t="s">
        <v>569</v>
      </c>
      <c r="D894" s="2" t="str">
        <f t="shared" si="12"/>
        <v>Error?</v>
      </c>
    </row>
    <row r="895" spans="1:4" x14ac:dyDescent="0.2">
      <c r="A895" s="5">
        <v>834</v>
      </c>
      <c r="B895" s="1832">
        <f>'Expenditures 15-22'!F36</f>
        <v>951</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1435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2386</v>
      </c>
      <c r="C901" s="2" t="s">
        <v>569</v>
      </c>
      <c r="D901" s="2" t="str">
        <f t="shared" si="13"/>
        <v>Error?</v>
      </c>
    </row>
    <row r="902" spans="1:4" x14ac:dyDescent="0.2">
      <c r="A902" s="5">
        <v>841</v>
      </c>
      <c r="B902" s="1832">
        <f>'Expenditures 15-22'!F44</f>
        <v>1310</v>
      </c>
      <c r="D902" s="2" t="str">
        <f t="shared" si="13"/>
        <v>Error?</v>
      </c>
    </row>
    <row r="903" spans="1:4" x14ac:dyDescent="0.2">
      <c r="A903" s="5">
        <v>842</v>
      </c>
      <c r="B903" s="1832">
        <f>'Expenditures 15-22'!F45</f>
        <v>3949</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5259</v>
      </c>
      <c r="C905" s="2" t="s">
        <v>569</v>
      </c>
      <c r="D905" s="2" t="str">
        <f t="shared" si="13"/>
        <v>Error?</v>
      </c>
    </row>
    <row r="906" spans="1:4" x14ac:dyDescent="0.2">
      <c r="A906" s="5">
        <v>845</v>
      </c>
      <c r="B906" s="1832">
        <f>'Expenditures 15-22'!F49</f>
        <v>422</v>
      </c>
      <c r="D906" s="2" t="str">
        <f t="shared" si="13"/>
        <v>Error?</v>
      </c>
    </row>
    <row r="907" spans="1:4" x14ac:dyDescent="0.2">
      <c r="A907" s="5">
        <v>846</v>
      </c>
      <c r="B907" s="1832">
        <f>'Expenditures 15-22'!F50</f>
        <v>2422</v>
      </c>
      <c r="D907" s="2" t="str">
        <f t="shared" si="13"/>
        <v>Error?</v>
      </c>
    </row>
    <row r="908" spans="1:4" x14ac:dyDescent="0.2">
      <c r="A908" s="5">
        <v>847</v>
      </c>
      <c r="B908" s="1832">
        <f>'Expenditures 15-22'!F53</f>
        <v>2844</v>
      </c>
      <c r="C908" s="2" t="s">
        <v>569</v>
      </c>
      <c r="D908" s="2" t="str">
        <f t="shared" si="13"/>
        <v>Error?</v>
      </c>
    </row>
    <row r="909" spans="1:4" x14ac:dyDescent="0.2">
      <c r="A909" s="5">
        <v>848</v>
      </c>
      <c r="B909" s="1832">
        <f>'Expenditures 15-22'!F55</f>
        <v>9518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9518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2297</v>
      </c>
      <c r="D913" s="2" t="str">
        <f t="shared" si="13"/>
        <v>Error?</v>
      </c>
    </row>
    <row r="914" spans="1:4" x14ac:dyDescent="0.2">
      <c r="A914" s="5">
        <v>853</v>
      </c>
      <c r="B914" s="1832">
        <f>'Expenditures 15-22'!F61</f>
        <v>34117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87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36501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56508</v>
      </c>
      <c r="C929" s="2" t="s">
        <v>569</v>
      </c>
      <c r="D929" s="2" t="str">
        <f t="shared" si="13"/>
        <v>Error?</v>
      </c>
    </row>
    <row r="930" spans="1:4" x14ac:dyDescent="0.2">
      <c r="A930" s="5">
        <v>869</v>
      </c>
      <c r="B930" s="1832">
        <f>'Expenditures 15-22'!F75</f>
        <v>251626</v>
      </c>
      <c r="D930" s="2" t="str">
        <f t="shared" si="13"/>
        <v>Error?</v>
      </c>
    </row>
    <row r="931" spans="1:4" x14ac:dyDescent="0.2">
      <c r="A931" s="5">
        <v>870</v>
      </c>
      <c r="B931" s="1832">
        <f>'Expenditures 15-22'!F114</f>
        <v>567016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26630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-1336</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27569</v>
      </c>
      <c r="C952" s="2" t="s">
        <v>569</v>
      </c>
      <c r="D952" s="2" t="str">
        <f t="shared" si="13"/>
        <v>Error?</v>
      </c>
    </row>
    <row r="953" spans="1:4" x14ac:dyDescent="0.2">
      <c r="A953" s="5">
        <v>892</v>
      </c>
      <c r="B953" s="1832">
        <f>'Expenditures 15-22'!G36</f>
        <v>1009</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1009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612</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612</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1089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11012</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12101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13722</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41291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74910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7265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125203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130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130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3846</v>
      </c>
      <c r="D1019" s="2" t="str">
        <f t="shared" si="14"/>
        <v>Error?</v>
      </c>
    </row>
    <row r="1020" spans="1:4" x14ac:dyDescent="0.2">
      <c r="A1020" s="5">
        <v>959</v>
      </c>
      <c r="B1020" s="1832">
        <f>'Expenditures 15-22'!H46</f>
        <v>30988</v>
      </c>
      <c r="D1020" s="2" t="str">
        <f t="shared" si="14"/>
        <v>Error?</v>
      </c>
    </row>
    <row r="1021" spans="1:4" x14ac:dyDescent="0.2">
      <c r="A1021" s="5">
        <v>960</v>
      </c>
      <c r="B1021" s="1832">
        <f>'Expenditures 15-22'!H47</f>
        <v>34834</v>
      </c>
      <c r="C1021" s="2" t="s">
        <v>569</v>
      </c>
      <c r="D1021" s="2" t="str">
        <f t="shared" si="14"/>
        <v>Error?</v>
      </c>
    </row>
    <row r="1022" spans="1:4" x14ac:dyDescent="0.2">
      <c r="A1022" s="5">
        <v>961</v>
      </c>
      <c r="B1022" s="1832">
        <f>'Expenditures 15-22'!H49</f>
        <v>19671</v>
      </c>
      <c r="D1022" s="2" t="str">
        <f t="shared" si="14"/>
        <v>Error?</v>
      </c>
    </row>
    <row r="1023" spans="1:4" x14ac:dyDescent="0.2">
      <c r="A1023" s="5">
        <v>962</v>
      </c>
      <c r="B1023" s="1832">
        <f>'Expenditures 15-22'!H50</f>
        <v>2187</v>
      </c>
      <c r="D1023" s="2" t="str">
        <f t="shared" ref="D1023:D1086" si="15">IF(ISBLANK(B1023),"OK",IF(A1023-B1023=0,"OK","Error?"))</f>
        <v>Error?</v>
      </c>
    </row>
    <row r="1024" spans="1:4" x14ac:dyDescent="0.2">
      <c r="A1024" s="5">
        <v>963</v>
      </c>
      <c r="B1024" s="1832">
        <f>'Expenditures 15-22'!H53</f>
        <v>21858</v>
      </c>
      <c r="C1024" s="2" t="s">
        <v>569</v>
      </c>
      <c r="D1024" s="2" t="str">
        <f t="shared" si="15"/>
        <v>Error?</v>
      </c>
    </row>
    <row r="1025" spans="1:4" x14ac:dyDescent="0.2">
      <c r="A1025" s="5">
        <v>964</v>
      </c>
      <c r="B1025" s="1832">
        <f>'Expenditures 15-22'!H55</f>
        <v>2211</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2211</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170</v>
      </c>
      <c r="D1029" s="2" t="str">
        <f t="shared" si="15"/>
        <v>Error?</v>
      </c>
    </row>
    <row r="1030" spans="1:4" x14ac:dyDescent="0.2">
      <c r="A1030" s="5">
        <v>969</v>
      </c>
      <c r="B1030" s="1832">
        <f>'Expenditures 15-22'!H61</f>
        <v>761</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931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59964</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1327585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1512752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4270231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290779</v>
      </c>
      <c r="C1105" s="2" t="s">
        <v>569</v>
      </c>
      <c r="D1105" s="2" t="str">
        <f t="shared" si="16"/>
        <v>Error?</v>
      </c>
    </row>
    <row r="1106" spans="1:4" x14ac:dyDescent="0.2">
      <c r="A1106" s="5">
        <v>1045</v>
      </c>
      <c r="B1106" s="1832">
        <f>'Expenditures 15-22'!K14</f>
        <v>248114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5197008</v>
      </c>
      <c r="C1108" s="2" t="s">
        <v>569</v>
      </c>
      <c r="D1108" s="2" t="str">
        <f t="shared" si="16"/>
        <v>Error?</v>
      </c>
    </row>
    <row r="1109" spans="1:4" x14ac:dyDescent="0.2">
      <c r="A1109" s="5">
        <v>1048</v>
      </c>
      <c r="B1109" s="1832">
        <f>'Expenditures 15-22'!K36</f>
        <v>73480</v>
      </c>
      <c r="C1109" s="2" t="s">
        <v>569</v>
      </c>
      <c r="D1109" s="2" t="str">
        <f t="shared" si="16"/>
        <v>Error?</v>
      </c>
    </row>
    <row r="1110" spans="1:4" x14ac:dyDescent="0.2">
      <c r="A1110" s="5">
        <v>1049</v>
      </c>
      <c r="B1110" s="1832">
        <f>'Expenditures 15-22'!K37</f>
        <v>90244</v>
      </c>
      <c r="C1110" s="2" t="s">
        <v>569</v>
      </c>
      <c r="D1110" s="2" t="str">
        <f t="shared" si="16"/>
        <v>Error?</v>
      </c>
    </row>
    <row r="1111" spans="1:4" x14ac:dyDescent="0.2">
      <c r="A1111" s="5">
        <v>1050</v>
      </c>
      <c r="B1111" s="1832">
        <f>'Expenditures 15-22'!K38</f>
        <v>67182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87384</v>
      </c>
      <c r="C1114" s="2" t="s">
        <v>569</v>
      </c>
      <c r="D1114" s="2" t="str">
        <f t="shared" si="16"/>
        <v>Error?</v>
      </c>
    </row>
    <row r="1115" spans="1:4" x14ac:dyDescent="0.2">
      <c r="A1115" s="5">
        <v>1054</v>
      </c>
      <c r="B1115" s="1832">
        <f>'Expenditures 15-22'!K42</f>
        <v>318290</v>
      </c>
      <c r="C1115" s="2" t="s">
        <v>569</v>
      </c>
      <c r="D1115" s="2" t="str">
        <f t="shared" si="16"/>
        <v>Error?</v>
      </c>
    </row>
    <row r="1116" spans="1:4" x14ac:dyDescent="0.2">
      <c r="A1116" s="5">
        <v>1055</v>
      </c>
      <c r="B1116" s="1832">
        <f>'Expenditures 15-22'!K44</f>
        <v>156707</v>
      </c>
      <c r="C1116" s="2" t="s">
        <v>569</v>
      </c>
      <c r="D1116" s="2" t="str">
        <f t="shared" si="16"/>
        <v>Error?</v>
      </c>
    </row>
    <row r="1117" spans="1:4" x14ac:dyDescent="0.2">
      <c r="A1117" s="5">
        <v>1056</v>
      </c>
      <c r="B1117" s="1832">
        <f>'Expenditures 15-22'!K45</f>
        <v>30550</v>
      </c>
      <c r="C1117" s="2" t="s">
        <v>569</v>
      </c>
      <c r="D1117" s="2" t="str">
        <f t="shared" si="16"/>
        <v>Error?</v>
      </c>
    </row>
    <row r="1118" spans="1:4" x14ac:dyDescent="0.2">
      <c r="A1118" s="5">
        <v>1057</v>
      </c>
      <c r="B1118" s="1832">
        <f>'Expenditures 15-22'!K46</f>
        <v>30988</v>
      </c>
      <c r="C1118" s="2" t="s">
        <v>569</v>
      </c>
      <c r="D1118" s="2" t="str">
        <f t="shared" si="16"/>
        <v>Error?</v>
      </c>
    </row>
    <row r="1119" spans="1:4" x14ac:dyDescent="0.2">
      <c r="A1119" s="5">
        <v>1058</v>
      </c>
      <c r="B1119" s="1832">
        <f>'Expenditures 15-22'!K47</f>
        <v>218245</v>
      </c>
      <c r="C1119" s="2" t="s">
        <v>569</v>
      </c>
      <c r="D1119" s="2" t="str">
        <f t="shared" si="16"/>
        <v>Error?</v>
      </c>
    </row>
    <row r="1120" spans="1:4" x14ac:dyDescent="0.2">
      <c r="A1120" s="5">
        <v>1059</v>
      </c>
      <c r="B1120" s="1832">
        <f>'Expenditures 15-22'!K49</f>
        <v>47370</v>
      </c>
      <c r="C1120" s="2" t="s">
        <v>569</v>
      </c>
      <c r="D1120" s="2" t="str">
        <f t="shared" si="16"/>
        <v>Error?</v>
      </c>
    </row>
    <row r="1121" spans="1:4" x14ac:dyDescent="0.2">
      <c r="A1121" s="5">
        <v>1060</v>
      </c>
      <c r="B1121" s="1832">
        <f>'Expenditures 15-22'!K50</f>
        <v>144701</v>
      </c>
      <c r="C1121" s="2" t="s">
        <v>569</v>
      </c>
      <c r="D1121" s="2" t="str">
        <f t="shared" si="16"/>
        <v>Error?</v>
      </c>
    </row>
    <row r="1122" spans="1:4" x14ac:dyDescent="0.2">
      <c r="A1122" s="5">
        <v>1061</v>
      </c>
      <c r="B1122" s="1832">
        <f>'Expenditures 15-22'!K53</f>
        <v>193071</v>
      </c>
      <c r="C1122" s="2" t="s">
        <v>569</v>
      </c>
      <c r="D1122" s="2" t="str">
        <f t="shared" si="16"/>
        <v>Error?</v>
      </c>
    </row>
    <row r="1123" spans="1:4" x14ac:dyDescent="0.2">
      <c r="A1123" s="5">
        <v>1062</v>
      </c>
      <c r="B1123" s="1832">
        <f>'Expenditures 15-22'!K55</f>
        <v>694119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694119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144318</v>
      </c>
      <c r="C1127" s="2" t="s">
        <v>569</v>
      </c>
      <c r="D1127" s="2" t="str">
        <f t="shared" si="16"/>
        <v>Error?</v>
      </c>
    </row>
    <row r="1128" spans="1:4" x14ac:dyDescent="0.2">
      <c r="A1128" s="5">
        <v>1067</v>
      </c>
      <c r="B1128" s="1832">
        <f>'Expenditures 15-22'!K61</f>
        <v>603050</v>
      </c>
      <c r="C1128" s="2" t="s">
        <v>569</v>
      </c>
      <c r="D1128" s="2" t="str">
        <f t="shared" si="16"/>
        <v>Error?</v>
      </c>
    </row>
    <row r="1129" spans="1:4" x14ac:dyDescent="0.2">
      <c r="A1129" s="5">
        <v>1068</v>
      </c>
      <c r="B1129" s="1832">
        <f>'Expenditures 15-22'!K62</f>
        <v>19970</v>
      </c>
      <c r="C1129" s="2" t="s">
        <v>569</v>
      </c>
      <c r="D1129" s="2" t="str">
        <f t="shared" si="16"/>
        <v>Error?</v>
      </c>
    </row>
    <row r="1130" spans="1:4" x14ac:dyDescent="0.2">
      <c r="A1130" s="5">
        <v>1069</v>
      </c>
      <c r="B1130" s="1832">
        <f>'Expenditures 15-22'!K63</f>
        <v>537823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1305161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3105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3105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2731991</v>
      </c>
      <c r="C1143" s="2" t="s">
        <v>569</v>
      </c>
      <c r="D1143" s="2" t="str">
        <f t="shared" si="16"/>
        <v>Error?</v>
      </c>
    </row>
    <row r="1144" spans="1:4" x14ac:dyDescent="0.2">
      <c r="A1144" s="5">
        <v>1083</v>
      </c>
      <c r="B1144" s="1832">
        <f>'Expenditures 15-22'!K75</f>
        <v>285207</v>
      </c>
      <c r="C1144" s="2" t="s">
        <v>569</v>
      </c>
      <c r="D1144" s="2" t="str">
        <f t="shared" si="16"/>
        <v>Error?</v>
      </c>
    </row>
    <row r="1145" spans="1:4" x14ac:dyDescent="0.2">
      <c r="A1145" s="5">
        <v>1084</v>
      </c>
      <c r="B1145" s="1832">
        <f>'Expenditures 15-22'!K102</f>
        <v>1339335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9553541</v>
      </c>
      <c r="C1152" s="2" t="s">
        <v>569</v>
      </c>
      <c r="D1152" s="2" t="str">
        <f t="shared" si="17"/>
        <v>Error?</v>
      </c>
    </row>
    <row r="1153" spans="1:4" x14ac:dyDescent="0.2">
      <c r="A1153" s="5">
        <v>1092</v>
      </c>
      <c r="B1153" s="1832">
        <f>'Expenditures 15-22'!K115</f>
        <v>226127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372631</v>
      </c>
      <c r="D1237" s="2" t="str">
        <f t="shared" si="18"/>
        <v>Error?</v>
      </c>
    </row>
    <row r="1238" spans="1:4" x14ac:dyDescent="0.2">
      <c r="A1238" s="10">
        <v>1177</v>
      </c>
      <c r="B1238" s="1832"/>
      <c r="D1238" s="2" t="str">
        <f t="shared" si="18"/>
        <v>OK</v>
      </c>
    </row>
    <row r="1239" spans="1:4" x14ac:dyDescent="0.2">
      <c r="A1239" s="5">
        <v>1178</v>
      </c>
      <c r="B1239" s="1832">
        <f>'Expenditures 15-22'!E127</f>
        <v>372631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372631</v>
      </c>
      <c r="C1241" s="2" t="s">
        <v>569</v>
      </c>
      <c r="D1241" s="2" t="str">
        <f t="shared" si="18"/>
        <v>Error?</v>
      </c>
    </row>
    <row r="1242" spans="1:4" x14ac:dyDescent="0.2">
      <c r="A1242" s="5">
        <v>1181</v>
      </c>
      <c r="B1242" s="1832">
        <f>'Expenditures 15-22'!E151</f>
        <v>372631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180671</v>
      </c>
      <c r="D1245" s="2" t="str">
        <f t="shared" si="18"/>
        <v>Error?</v>
      </c>
    </row>
    <row r="1246" spans="1:4" x14ac:dyDescent="0.2">
      <c r="A1246" s="10">
        <v>1185</v>
      </c>
      <c r="B1246" s="1832"/>
      <c r="D1246" s="2" t="str">
        <f t="shared" si="18"/>
        <v>OK</v>
      </c>
    </row>
    <row r="1247" spans="1:4" x14ac:dyDescent="0.2">
      <c r="A1247" s="5">
        <v>1186</v>
      </c>
      <c r="B1247" s="1832">
        <f>'Expenditures 15-22'!F127</f>
        <v>180671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180671</v>
      </c>
      <c r="C1249" s="2" t="s">
        <v>569</v>
      </c>
      <c r="D1249" s="2" t="str">
        <f t="shared" si="18"/>
        <v>Error?</v>
      </c>
    </row>
    <row r="1250" spans="1:4" x14ac:dyDescent="0.2">
      <c r="A1250" s="5">
        <v>1189</v>
      </c>
      <c r="B1250" s="1832">
        <f>'Expenditures 15-22'!F151</f>
        <v>180671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28300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28300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28300</v>
      </c>
      <c r="C1258" s="2" t="s">
        <v>569</v>
      </c>
      <c r="D1258" s="2" t="str">
        <f t="shared" si="18"/>
        <v>Error?</v>
      </c>
    </row>
    <row r="1259" spans="1:4" x14ac:dyDescent="0.2">
      <c r="A1259" s="5">
        <v>1198</v>
      </c>
      <c r="B1259" s="1832">
        <f>'Expenditures 15-22'!G151</f>
        <v>28300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14005</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14005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581602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581602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581602</v>
      </c>
      <c r="C1281" s="2" t="s">
        <v>569</v>
      </c>
      <c r="D1281" s="2" t="str">
        <f t="shared" si="19"/>
        <v>Error?</v>
      </c>
    </row>
    <row r="1282" spans="1:4" x14ac:dyDescent="0.2">
      <c r="A1282" s="5">
        <v>1221</v>
      </c>
      <c r="B1282" s="1832">
        <f>'Expenditures 15-22'!K139</f>
        <v>14005</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595607</v>
      </c>
      <c r="C1288" s="2" t="s">
        <v>569</v>
      </c>
      <c r="D1288" s="2" t="str">
        <f t="shared" si="19"/>
        <v>Error?</v>
      </c>
    </row>
    <row r="1289" spans="1:4" x14ac:dyDescent="0.2">
      <c r="A1289" s="5">
        <v>1228</v>
      </c>
      <c r="B1289" s="1832">
        <f>'Expenditures 15-22'!K152</f>
        <v>290790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262905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1017185</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1280090</v>
      </c>
      <c r="C1317" s="2" t="s">
        <v>569</v>
      </c>
      <c r="D1317" s="2" t="str">
        <f t="shared" si="19"/>
        <v>Error?</v>
      </c>
    </row>
    <row r="1318" spans="1:4" x14ac:dyDescent="0.2">
      <c r="A1318" s="5">
        <v>1257</v>
      </c>
      <c r="B1318" s="1832">
        <f>'Expenditures 15-22'!H174</f>
        <v>1280090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262905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1017185</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1280090</v>
      </c>
      <c r="C1331" s="2" t="s">
        <v>569</v>
      </c>
      <c r="D1331" s="2" t="str">
        <f t="shared" si="19"/>
        <v>Error?</v>
      </c>
    </row>
    <row r="1332" spans="1:4" x14ac:dyDescent="0.2">
      <c r="A1332" s="5">
        <v>1271</v>
      </c>
      <c r="B1332" s="1832">
        <f>'Expenditures 15-22'!K174</f>
        <v>1280090</v>
      </c>
      <c r="C1332" s="2" t="s">
        <v>569</v>
      </c>
      <c r="D1332" s="2" t="str">
        <f t="shared" si="19"/>
        <v>Error?</v>
      </c>
    </row>
    <row r="1333" spans="1:4" x14ac:dyDescent="0.2">
      <c r="A1333" s="5">
        <v>1272</v>
      </c>
      <c r="B1333" s="1832">
        <f>'Expenditures 15-22'!K175</f>
        <v>-117259</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5266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5266</v>
      </c>
      <c r="C1339" s="2" t="s">
        <v>569</v>
      </c>
      <c r="D1339" s="2" t="str">
        <f t="shared" si="19"/>
        <v>Error?</v>
      </c>
    </row>
    <row r="1340" spans="1:4" x14ac:dyDescent="0.2">
      <c r="A1340" s="5">
        <v>1279</v>
      </c>
      <c r="B1340" s="1832">
        <f>'Expenditures 15-22'!C210</f>
        <v>5266</v>
      </c>
      <c r="C1340" s="2" t="s">
        <v>569</v>
      </c>
      <c r="D1340" s="2" t="str">
        <f t="shared" si="19"/>
        <v>Error?</v>
      </c>
    </row>
    <row r="1341" spans="1:4" x14ac:dyDescent="0.2">
      <c r="A1341" s="5">
        <v>1280</v>
      </c>
      <c r="B1341" s="1832">
        <f>'Expenditures 15-22'!D182</f>
        <v>758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758</v>
      </c>
      <c r="C1345" s="2" t="s">
        <v>569</v>
      </c>
      <c r="D1345" s="2" t="str">
        <f t="shared" si="20"/>
        <v>Error?</v>
      </c>
    </row>
    <row r="1346" spans="1:4" x14ac:dyDescent="0.2">
      <c r="A1346" s="5">
        <v>1285</v>
      </c>
      <c r="B1346" s="1832">
        <f>'Expenditures 15-22'!D210</f>
        <v>758</v>
      </c>
      <c r="C1346" s="2" t="s">
        <v>569</v>
      </c>
      <c r="D1346" s="2" t="str">
        <f t="shared" si="20"/>
        <v>Error?</v>
      </c>
    </row>
    <row r="1347" spans="1:4" x14ac:dyDescent="0.2">
      <c r="A1347" s="5">
        <v>1286</v>
      </c>
      <c r="B1347" s="1832">
        <f>'Expenditures 15-22'!E182</f>
        <v>344361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17837</v>
      </c>
      <c r="D1350" s="2" t="str">
        <f t="shared" si="20"/>
        <v>Error?</v>
      </c>
    </row>
    <row r="1351" spans="1:4" x14ac:dyDescent="0.2">
      <c r="A1351" s="5">
        <v>1290</v>
      </c>
      <c r="B1351" s="1832">
        <f>'Expenditures 15-22'!E184</f>
        <v>362198</v>
      </c>
      <c r="C1351" s="2" t="s">
        <v>569</v>
      </c>
      <c r="D1351" s="2" t="str">
        <f t="shared" si="20"/>
        <v>Error?</v>
      </c>
    </row>
    <row r="1352" spans="1:4" x14ac:dyDescent="0.2">
      <c r="A1352" s="5">
        <v>1291</v>
      </c>
      <c r="B1352" s="1832">
        <f>'Expenditures 15-22'!E196</f>
        <v>69258</v>
      </c>
      <c r="C1352" s="2" t="s">
        <v>569</v>
      </c>
      <c r="D1352" s="2" t="str">
        <f t="shared" si="20"/>
        <v>Error?</v>
      </c>
    </row>
    <row r="1353" spans="1:4" x14ac:dyDescent="0.2">
      <c r="A1353" s="5">
        <v>1292</v>
      </c>
      <c r="B1353" s="1832">
        <f>'Expenditures 15-22'!E210</f>
        <v>431456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7264</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7264</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7264</v>
      </c>
      <c r="C1376" s="2" t="s">
        <v>569</v>
      </c>
      <c r="D1376" s="2" t="str">
        <f t="shared" si="20"/>
        <v>Error?</v>
      </c>
    </row>
    <row r="1377" spans="1:4" x14ac:dyDescent="0.2">
      <c r="A1377" s="5">
        <v>1316</v>
      </c>
      <c r="B1377" s="1832">
        <f>'Expenditures 15-22'!K182</f>
        <v>357649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17837</v>
      </c>
      <c r="C1380" s="2" t="s">
        <v>569</v>
      </c>
      <c r="D1380" s="2" t="str">
        <f t="shared" si="20"/>
        <v>Error?</v>
      </c>
    </row>
    <row r="1381" spans="1:4" x14ac:dyDescent="0.2">
      <c r="A1381" s="5">
        <v>1320</v>
      </c>
      <c r="B1381" s="1832">
        <f>'Expenditures 15-22'!K184</f>
        <v>375486</v>
      </c>
      <c r="C1381" s="2" t="s">
        <v>569</v>
      </c>
      <c r="D1381" s="2" t="str">
        <f t="shared" si="20"/>
        <v>Error?</v>
      </c>
    </row>
    <row r="1382" spans="1:4" x14ac:dyDescent="0.2">
      <c r="A1382" s="5">
        <v>1321</v>
      </c>
      <c r="B1382" s="1832">
        <f>'Expenditures 15-22'!K196</f>
        <v>69258</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444744</v>
      </c>
      <c r="C1388" s="2" t="s">
        <v>569</v>
      </c>
      <c r="D1388" s="2" t="str">
        <f t="shared" si="20"/>
        <v>Error?</v>
      </c>
    </row>
    <row r="1389" spans="1:4" x14ac:dyDescent="0.2">
      <c r="A1389" s="5">
        <v>1328</v>
      </c>
      <c r="B1389" s="1832">
        <f>'Expenditures 15-22'!K211</f>
        <v>161445</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3019</v>
      </c>
      <c r="D1407" s="2" t="str">
        <f t="shared" ref="D1407:D1470" si="21">IF(ISBLANK(B1407),"OK",IF(A1407-B1407=0,"OK","Error?"))</f>
        <v>Error?</v>
      </c>
    </row>
    <row r="1408" spans="1:4" x14ac:dyDescent="0.2">
      <c r="A1408" s="5">
        <v>1347</v>
      </c>
      <c r="B1408" s="1832">
        <f>'Expenditures 15-22'!D223</f>
        <v>5985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76609</v>
      </c>
      <c r="C1410" s="2" t="s">
        <v>569</v>
      </c>
      <c r="D1410" s="2" t="str">
        <f t="shared" si="21"/>
        <v>Error?</v>
      </c>
    </row>
    <row r="1411" spans="1:4" x14ac:dyDescent="0.2">
      <c r="A1411" s="5">
        <v>1350</v>
      </c>
      <c r="B1411" s="1832">
        <f>'Expenditures 15-22'!D232</f>
        <v>795</v>
      </c>
      <c r="D1411" s="2" t="str">
        <f t="shared" si="21"/>
        <v>Error?</v>
      </c>
    </row>
    <row r="1412" spans="1:4" x14ac:dyDescent="0.2">
      <c r="A1412" s="5">
        <v>1351</v>
      </c>
      <c r="B1412" s="1832">
        <f>'Expenditures 15-22'!D233</f>
        <v>1033</v>
      </c>
      <c r="D1412" s="2" t="str">
        <f t="shared" si="21"/>
        <v>Error?</v>
      </c>
    </row>
    <row r="1413" spans="1:4" x14ac:dyDescent="0.2">
      <c r="A1413" s="5">
        <v>1352</v>
      </c>
      <c r="B1413" s="1832">
        <f>'Expenditures 15-22'!D234</f>
        <v>8425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2989</v>
      </c>
      <c r="D1416" s="2" t="str">
        <f t="shared" si="21"/>
        <v>Error?</v>
      </c>
    </row>
    <row r="1417" spans="1:4" x14ac:dyDescent="0.2">
      <c r="A1417" s="5">
        <v>1356</v>
      </c>
      <c r="B1417" s="1832">
        <f>'Expenditures 15-22'!D238</f>
        <v>13242</v>
      </c>
      <c r="C1417" s="2" t="s">
        <v>569</v>
      </c>
      <c r="D1417" s="2" t="str">
        <f t="shared" si="21"/>
        <v>Error?</v>
      </c>
    </row>
    <row r="1418" spans="1:4" x14ac:dyDescent="0.2">
      <c r="A1418" s="5">
        <v>1357</v>
      </c>
      <c r="B1418" s="1832">
        <f>'Expenditures 15-22'!D240</f>
        <v>1409</v>
      </c>
      <c r="D1418" s="2" t="str">
        <f t="shared" si="21"/>
        <v>Error?</v>
      </c>
    </row>
    <row r="1419" spans="1:4" x14ac:dyDescent="0.2">
      <c r="A1419" s="5">
        <v>1358</v>
      </c>
      <c r="B1419" s="1832">
        <f>'Expenditures 15-22'!D241</f>
        <v>3057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4466</v>
      </c>
      <c r="C1421" s="2" t="s">
        <v>569</v>
      </c>
      <c r="D1421" s="2" t="str">
        <f t="shared" si="21"/>
        <v>Error?</v>
      </c>
    </row>
    <row r="1422" spans="1:4" x14ac:dyDescent="0.2">
      <c r="A1422" s="5">
        <v>1361</v>
      </c>
      <c r="B1422" s="1832">
        <f>'Expenditures 15-22'!D245</f>
        <v>912</v>
      </c>
      <c r="D1422" s="2" t="str">
        <f t="shared" si="21"/>
        <v>Error?</v>
      </c>
    </row>
    <row r="1423" spans="1:4" x14ac:dyDescent="0.2">
      <c r="A1423" s="5">
        <v>1362</v>
      </c>
      <c r="B1423" s="1832">
        <f>'Expenditures 15-22'!D246</f>
        <v>6301</v>
      </c>
      <c r="D1423" s="2" t="str">
        <f t="shared" si="21"/>
        <v>Error?</v>
      </c>
    </row>
    <row r="1424" spans="1:4" x14ac:dyDescent="0.2">
      <c r="A1424" s="5">
        <v>1363</v>
      </c>
      <c r="B1424" s="1832">
        <f>'Expenditures 15-22'!D257</f>
        <v>7213</v>
      </c>
      <c r="C1424" s="2" t="s">
        <v>569</v>
      </c>
      <c r="D1424" s="2" t="str">
        <f t="shared" si="21"/>
        <v>Error?</v>
      </c>
    </row>
    <row r="1425" spans="1:4" x14ac:dyDescent="0.2">
      <c r="A1425" s="5">
        <v>1364</v>
      </c>
      <c r="B1425" s="1832">
        <f>'Expenditures 15-22'!D259</f>
        <v>29903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29903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16096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80639</v>
      </c>
      <c r="D1431" s="2" t="str">
        <f t="shared" si="21"/>
        <v>Error?</v>
      </c>
    </row>
    <row r="1432" spans="1:4" x14ac:dyDescent="0.2">
      <c r="A1432" s="5">
        <v>1371</v>
      </c>
      <c r="B1432" s="1832">
        <f>'Expenditures 15-22'!D267</f>
        <v>608</v>
      </c>
      <c r="D1432" s="2" t="str">
        <f t="shared" si="21"/>
        <v>Error?</v>
      </c>
    </row>
    <row r="1433" spans="1:4" x14ac:dyDescent="0.2">
      <c r="A1433" s="5">
        <v>1372</v>
      </c>
      <c r="B1433" s="1832">
        <f>'Expenditures 15-22'!D268</f>
        <v>4050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101393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156217</v>
      </c>
      <c r="C1446" s="2" t="s">
        <v>569</v>
      </c>
      <c r="D1446" s="2" t="str">
        <f t="shared" si="21"/>
        <v>Error?</v>
      </c>
    </row>
    <row r="1447" spans="1:4" x14ac:dyDescent="0.2">
      <c r="A1447" s="5">
        <v>1386</v>
      </c>
      <c r="B1447" s="1832">
        <f>'Expenditures 15-22'!D280</f>
        <v>4804</v>
      </c>
      <c r="D1447" s="2" t="str">
        <f t="shared" si="21"/>
        <v>Error?</v>
      </c>
    </row>
    <row r="1448" spans="1:4" x14ac:dyDescent="0.2">
      <c r="A1448" s="5">
        <v>1387</v>
      </c>
      <c r="B1448" s="1832">
        <f>'Expenditures 15-22'!D295</f>
        <v>237630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3019</v>
      </c>
      <c r="C1471" s="2" t="s">
        <v>569</v>
      </c>
      <c r="D1471" s="2" t="str">
        <f t="shared" ref="D1471:D1534" si="22">IF(ISBLANK(B1471),"OK",IF(A1471-B1471=0,"OK","Error?"))</f>
        <v>Error?</v>
      </c>
    </row>
    <row r="1472" spans="1:4" x14ac:dyDescent="0.2">
      <c r="A1472" s="5">
        <v>1411</v>
      </c>
      <c r="B1472" s="1832">
        <f>'Expenditures 15-22'!K223</f>
        <v>5985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76609</v>
      </c>
      <c r="C1474" s="2" t="s">
        <v>569</v>
      </c>
      <c r="D1474" s="2" t="str">
        <f t="shared" si="22"/>
        <v>Error?</v>
      </c>
    </row>
    <row r="1475" spans="1:4" x14ac:dyDescent="0.2">
      <c r="A1475" s="5">
        <v>1414</v>
      </c>
      <c r="B1475" s="1832">
        <f>'Expenditures 15-22'!K232</f>
        <v>795</v>
      </c>
      <c r="C1475" s="2" t="s">
        <v>569</v>
      </c>
      <c r="D1475" s="2" t="str">
        <f t="shared" si="22"/>
        <v>Error?</v>
      </c>
    </row>
    <row r="1476" spans="1:4" x14ac:dyDescent="0.2">
      <c r="A1476" s="5">
        <v>1415</v>
      </c>
      <c r="B1476" s="1832">
        <f>'Expenditures 15-22'!K233</f>
        <v>1033</v>
      </c>
      <c r="C1476" s="2" t="s">
        <v>569</v>
      </c>
      <c r="D1476" s="2" t="str">
        <f t="shared" si="22"/>
        <v>Error?</v>
      </c>
    </row>
    <row r="1477" spans="1:4" x14ac:dyDescent="0.2">
      <c r="A1477" s="5">
        <v>1416</v>
      </c>
      <c r="B1477" s="1832">
        <f>'Expenditures 15-22'!K234</f>
        <v>8425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2989</v>
      </c>
      <c r="C1480" s="2" t="s">
        <v>569</v>
      </c>
      <c r="D1480" s="2" t="str">
        <f t="shared" si="22"/>
        <v>Error?</v>
      </c>
    </row>
    <row r="1481" spans="1:4" x14ac:dyDescent="0.2">
      <c r="A1481" s="5">
        <v>1420</v>
      </c>
      <c r="B1481" s="1832">
        <f>'Expenditures 15-22'!K238</f>
        <v>13242</v>
      </c>
      <c r="C1481" s="2" t="s">
        <v>569</v>
      </c>
      <c r="D1481" s="2" t="str">
        <f t="shared" si="22"/>
        <v>Error?</v>
      </c>
    </row>
    <row r="1482" spans="1:4" x14ac:dyDescent="0.2">
      <c r="A1482" s="5">
        <v>1421</v>
      </c>
      <c r="B1482" s="1832">
        <f>'Expenditures 15-22'!K240</f>
        <v>1409</v>
      </c>
      <c r="C1482" s="2" t="s">
        <v>569</v>
      </c>
      <c r="D1482" s="2" t="str">
        <f t="shared" si="22"/>
        <v>Error?</v>
      </c>
    </row>
    <row r="1483" spans="1:4" x14ac:dyDescent="0.2">
      <c r="A1483" s="5">
        <v>1422</v>
      </c>
      <c r="B1483" s="1832">
        <f>'Expenditures 15-22'!K241</f>
        <v>3057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4466</v>
      </c>
      <c r="C1485" s="2" t="s">
        <v>569</v>
      </c>
      <c r="D1485" s="2" t="str">
        <f t="shared" si="22"/>
        <v>Error?</v>
      </c>
    </row>
    <row r="1486" spans="1:4" x14ac:dyDescent="0.2">
      <c r="A1486" s="5">
        <v>1425</v>
      </c>
      <c r="B1486" s="1832">
        <f>'Expenditures 15-22'!K245</f>
        <v>912</v>
      </c>
      <c r="C1486" s="2" t="s">
        <v>569</v>
      </c>
      <c r="D1486" s="2" t="str">
        <f t="shared" si="22"/>
        <v>Error?</v>
      </c>
    </row>
    <row r="1487" spans="1:4" x14ac:dyDescent="0.2">
      <c r="A1487" s="5">
        <v>1426</v>
      </c>
      <c r="B1487" s="1832">
        <f>'Expenditures 15-22'!K246</f>
        <v>6301</v>
      </c>
      <c r="C1487" s="2" t="s">
        <v>569</v>
      </c>
      <c r="D1487" s="2" t="str">
        <f t="shared" si="22"/>
        <v>Error?</v>
      </c>
    </row>
    <row r="1488" spans="1:4" x14ac:dyDescent="0.2">
      <c r="A1488" s="5">
        <v>1427</v>
      </c>
      <c r="B1488" s="1832">
        <f>'Expenditures 15-22'!K257</f>
        <v>7213</v>
      </c>
      <c r="C1488" s="2" t="s">
        <v>569</v>
      </c>
      <c r="D1488" s="2" t="str">
        <f t="shared" si="22"/>
        <v>Error?</v>
      </c>
    </row>
    <row r="1489" spans="1:4" x14ac:dyDescent="0.2">
      <c r="A1489" s="5">
        <v>1428</v>
      </c>
      <c r="B1489" s="1832">
        <f>'Expenditures 15-22'!K259</f>
        <v>29903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29903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16096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80639</v>
      </c>
      <c r="C1495" s="2" t="s">
        <v>569</v>
      </c>
      <c r="D1495" s="2" t="str">
        <f t="shared" si="22"/>
        <v>Error?</v>
      </c>
    </row>
    <row r="1496" spans="1:4" x14ac:dyDescent="0.2">
      <c r="A1496" s="5">
        <v>1435</v>
      </c>
      <c r="B1496" s="1832">
        <f>'Expenditures 15-22'!K267</f>
        <v>608</v>
      </c>
      <c r="C1496" s="2" t="s">
        <v>569</v>
      </c>
      <c r="D1496" s="2" t="str">
        <f t="shared" si="22"/>
        <v>Error?</v>
      </c>
    </row>
    <row r="1497" spans="1:4" x14ac:dyDescent="0.2">
      <c r="A1497" s="5">
        <v>1436</v>
      </c>
      <c r="B1497" s="1832">
        <f>'Expenditures 15-22'!K268</f>
        <v>4050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101393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156217</v>
      </c>
      <c r="C1510" s="2" t="s">
        <v>569</v>
      </c>
      <c r="D1510" s="2" t="str">
        <f t="shared" si="22"/>
        <v>Error?</v>
      </c>
    </row>
    <row r="1511" spans="1:4" x14ac:dyDescent="0.2">
      <c r="A1511" s="5">
        <v>1450</v>
      </c>
      <c r="B1511" s="1832">
        <f>'Expenditures 15-22'!K280</f>
        <v>4804</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237630</v>
      </c>
      <c r="C1517" s="2" t="s">
        <v>569</v>
      </c>
      <c r="D1517" s="2" t="str">
        <f t="shared" si="22"/>
        <v>Error?</v>
      </c>
    </row>
    <row r="1518" spans="1:4" x14ac:dyDescent="0.2">
      <c r="A1518" s="5">
        <v>1457</v>
      </c>
      <c r="B1518" s="1832">
        <f>'Expenditures 15-22'!K296</f>
        <v>-19322</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107070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107070</v>
      </c>
      <c r="C1535" s="2" t="s">
        <v>569</v>
      </c>
      <c r="D1535" s="2" t="str">
        <f t="shared" ref="D1535:D1598" si="23">IF(ISBLANK(B1535),"OK",IF(A1535-B1535=0,"OK","Error?"))</f>
        <v>Error?</v>
      </c>
    </row>
    <row r="1536" spans="1:4" x14ac:dyDescent="0.2">
      <c r="A1536" s="5">
        <v>1475</v>
      </c>
      <c r="B1536" s="1832">
        <f>'Expenditures 15-22'!E312</f>
        <v>107070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599286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599286</v>
      </c>
      <c r="C1547" s="2" t="s">
        <v>569</v>
      </c>
      <c r="D1547" s="2" t="str">
        <f t="shared" si="23"/>
        <v>Error?</v>
      </c>
    </row>
    <row r="1548" spans="1:4" x14ac:dyDescent="0.2">
      <c r="A1548" s="5">
        <v>1487</v>
      </c>
      <c r="B1548" s="1832">
        <f>'Expenditures 15-22'!G312</f>
        <v>599286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706356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706356</v>
      </c>
      <c r="C1559" s="2" t="s">
        <v>569</v>
      </c>
      <c r="D1559" s="2" t="str">
        <f t="shared" si="23"/>
        <v>Error?</v>
      </c>
    </row>
    <row r="1560" spans="1:4" x14ac:dyDescent="0.2">
      <c r="A1560" s="5">
        <v>1499</v>
      </c>
      <c r="B1560" s="1832">
        <f>'Expenditures 15-22'!K312</f>
        <v>706356</v>
      </c>
      <c r="C1560" s="2" t="s">
        <v>569</v>
      </c>
      <c r="D1560" s="2" t="str">
        <f t="shared" si="23"/>
        <v>Error?</v>
      </c>
    </row>
    <row r="1561" spans="1:4" x14ac:dyDescent="0.2">
      <c r="A1561" s="5">
        <v>1500</v>
      </c>
      <c r="B1561" s="1832">
        <f>'Expenditures 15-22'!K313</f>
        <v>-325715</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1541506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2030164</v>
      </c>
      <c r="C1630" s="2" t="s">
        <v>569</v>
      </c>
      <c r="D1630" s="2" t="str">
        <f t="shared" si="24"/>
        <v>Error?</v>
      </c>
    </row>
    <row r="1631" spans="1:4" x14ac:dyDescent="0.2">
      <c r="A1631" s="5">
        <v>1570</v>
      </c>
      <c r="B1631" s="1832">
        <f>'Acct Summary 7-8'!D79</f>
        <v>320011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610801</v>
      </c>
      <c r="C1644" s="2" t="s">
        <v>569</v>
      </c>
      <c r="D1644" s="2" t="str">
        <f t="shared" si="24"/>
        <v>Error?</v>
      </c>
    </row>
    <row r="1645" spans="1:4" x14ac:dyDescent="0.2">
      <c r="A1645" s="5">
        <v>1584</v>
      </c>
      <c r="B1645" s="1832">
        <f>'Acct Summary 7-8'!E79</f>
        <v>288513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171254</v>
      </c>
      <c r="C1658" s="2" t="s">
        <v>569</v>
      </c>
      <c r="D1658" s="2" t="str">
        <f t="shared" si="24"/>
        <v>Error?</v>
      </c>
    </row>
    <row r="1659" spans="1:4" x14ac:dyDescent="0.2">
      <c r="A1659" s="5">
        <v>1598</v>
      </c>
      <c r="B1659" s="1832">
        <f>'Acct Summary 7-8'!F79</f>
        <v>243441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404886</v>
      </c>
      <c r="C1672" s="2" t="s">
        <v>569</v>
      </c>
      <c r="D1672" s="2" t="str">
        <f t="shared" si="25"/>
        <v>Error?</v>
      </c>
    </row>
    <row r="1673" spans="1:4" x14ac:dyDescent="0.2">
      <c r="A1673" s="5">
        <v>1612</v>
      </c>
      <c r="B1673" s="1832">
        <f>'Acct Summary 7-8'!G79</f>
        <v>462000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442678</v>
      </c>
      <c r="C1686" s="2" t="s">
        <v>569</v>
      </c>
      <c r="D1686" s="2" t="str">
        <f t="shared" si="25"/>
        <v>Error?</v>
      </c>
    </row>
    <row r="1687" spans="1:4" x14ac:dyDescent="0.2">
      <c r="A1687" s="5">
        <v>1626</v>
      </c>
      <c r="B1687" s="1832">
        <f>'Acct Summary 7-8'!H79</f>
        <v>2317142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1991427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1902580</v>
      </c>
      <c r="C1744" s="2" t="s">
        <v>569</v>
      </c>
      <c r="D1744" s="2" t="str">
        <f t="shared" si="26"/>
        <v>Error?</v>
      </c>
    </row>
    <row r="1745" spans="1:5" x14ac:dyDescent="0.2">
      <c r="A1745" s="5">
        <v>1684</v>
      </c>
      <c r="B1745" s="1832">
        <f>'Tax Sched 23'!B5</f>
        <v>371088</v>
      </c>
      <c r="C1745" s="2" t="s">
        <v>569</v>
      </c>
      <c r="D1745" s="2" t="str">
        <f t="shared" si="26"/>
        <v>Error?</v>
      </c>
    </row>
    <row r="1746" spans="1:5" x14ac:dyDescent="0.2">
      <c r="A1746" s="5">
        <v>1685</v>
      </c>
      <c r="B1746" s="1832">
        <f>'Tax Sched 23'!B6</f>
        <v>687730</v>
      </c>
      <c r="C1746" s="2" t="s">
        <v>569</v>
      </c>
      <c r="D1746" s="2" t="str">
        <f t="shared" si="26"/>
        <v>Error?</v>
      </c>
    </row>
    <row r="1747" spans="1:5" x14ac:dyDescent="0.2">
      <c r="A1747" s="5">
        <v>1686</v>
      </c>
      <c r="B1747" s="1832">
        <f>'Tax Sched 23'!B7</f>
        <v>216533</v>
      </c>
      <c r="C1747" s="2" t="s">
        <v>569</v>
      </c>
      <c r="D1747" s="2" t="str">
        <f t="shared" si="26"/>
        <v>Error?</v>
      </c>
    </row>
    <row r="1748" spans="1:5" x14ac:dyDescent="0.2">
      <c r="A1748" s="5">
        <v>1687</v>
      </c>
      <c r="B1748" s="1832">
        <f>'Tax Sched 23'!B8</f>
        <v>98443</v>
      </c>
      <c r="C1748" s="2" t="s">
        <v>569</v>
      </c>
      <c r="D1748" s="2" t="str">
        <f t="shared" si="26"/>
        <v>Error?</v>
      </c>
    </row>
    <row r="1749" spans="1:5" x14ac:dyDescent="0.2">
      <c r="A1749" s="5">
        <v>1688</v>
      </c>
      <c r="B1749" s="1832">
        <f>'Tax Sched 23'!B10</f>
        <v>31126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155664</v>
      </c>
      <c r="C1752" s="2" t="s">
        <v>569</v>
      </c>
      <c r="D1752" s="2" t="str">
        <f t="shared" si="26"/>
        <v>Error?</v>
      </c>
    </row>
    <row r="1753" spans="1:5" x14ac:dyDescent="0.2">
      <c r="A1753" s="5">
        <v>1692</v>
      </c>
      <c r="B1753" s="1832">
        <f>'Tax Sched 23'!B12</f>
        <v>31126</v>
      </c>
      <c r="C1753" s="2" t="s">
        <v>569</v>
      </c>
      <c r="D1753" s="2" t="str">
        <f t="shared" si="26"/>
        <v>Error?</v>
      </c>
    </row>
    <row r="1754" spans="1:5" x14ac:dyDescent="0.2">
      <c r="A1754" s="5">
        <v>1693</v>
      </c>
      <c r="B1754" s="1832">
        <f>'Tax Sched 23'!B14</f>
        <v>31126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3631595</v>
      </c>
      <c r="C1759" s="2" t="s">
        <v>569</v>
      </c>
      <c r="D1759" s="2" t="str">
        <f t="shared" si="26"/>
        <v>Error?</v>
      </c>
    </row>
    <row r="1760" spans="1:5" x14ac:dyDescent="0.2">
      <c r="A1760" s="5">
        <v>1699</v>
      </c>
      <c r="B1760" s="1832">
        <f>'Tax Sched 23'!D4</f>
        <v>1902580</v>
      </c>
      <c r="C1760" s="2" t="s">
        <v>569</v>
      </c>
      <c r="D1760" s="2" t="str">
        <f t="shared" si="26"/>
        <v>Error?</v>
      </c>
    </row>
    <row r="1761" spans="1:7" x14ac:dyDescent="0.2">
      <c r="A1761" s="5">
        <v>1700</v>
      </c>
      <c r="B1761" s="1832">
        <f>'Tax Sched 23'!D5</f>
        <v>371088</v>
      </c>
      <c r="C1761" s="2" t="s">
        <v>569</v>
      </c>
      <c r="D1761" s="2" t="str">
        <f t="shared" si="26"/>
        <v>Error?</v>
      </c>
    </row>
    <row r="1762" spans="1:7" s="8" customFormat="1" x14ac:dyDescent="0.2">
      <c r="A1762" s="5">
        <v>1701</v>
      </c>
      <c r="B1762" s="1832">
        <f>'Tax Sched 23'!D6</f>
        <v>687730</v>
      </c>
      <c r="C1762" s="2" t="s">
        <v>569</v>
      </c>
      <c r="D1762" s="2" t="str">
        <f t="shared" si="26"/>
        <v>Error?</v>
      </c>
      <c r="E1762" s="9"/>
      <c r="G1762"/>
    </row>
    <row r="1763" spans="1:7" x14ac:dyDescent="0.2">
      <c r="A1763" s="5">
        <v>1702</v>
      </c>
      <c r="B1763" s="1832">
        <f>'Tax Sched 23'!D7</f>
        <v>216533</v>
      </c>
      <c r="C1763" s="2" t="s">
        <v>569</v>
      </c>
      <c r="D1763" s="2" t="str">
        <f t="shared" si="26"/>
        <v>Error?</v>
      </c>
    </row>
    <row r="1764" spans="1:7" x14ac:dyDescent="0.2">
      <c r="A1764" s="5">
        <v>1703</v>
      </c>
      <c r="B1764" s="1832">
        <f>'Tax Sched 23'!D8</f>
        <v>98443</v>
      </c>
      <c r="C1764" s="2" t="s">
        <v>569</v>
      </c>
      <c r="D1764" s="2" t="str">
        <f t="shared" si="26"/>
        <v>Error?</v>
      </c>
    </row>
    <row r="1765" spans="1:7" x14ac:dyDescent="0.2">
      <c r="A1765" s="5">
        <v>1704</v>
      </c>
      <c r="B1765" s="1832">
        <f>'Tax Sched 23'!D10</f>
        <v>31126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155664</v>
      </c>
      <c r="C1768" s="2" t="s">
        <v>569</v>
      </c>
      <c r="D1768" s="2" t="str">
        <f t="shared" si="26"/>
        <v>Error?</v>
      </c>
    </row>
    <row r="1769" spans="1:7" x14ac:dyDescent="0.2">
      <c r="A1769" s="5">
        <v>1708</v>
      </c>
      <c r="B1769" s="1832">
        <f>'Tax Sched 23'!D12</f>
        <v>31126</v>
      </c>
      <c r="C1769" s="2" t="s">
        <v>569</v>
      </c>
      <c r="D1769" s="2" t="str">
        <f t="shared" si="26"/>
        <v>Error?</v>
      </c>
    </row>
    <row r="1770" spans="1:7" x14ac:dyDescent="0.2">
      <c r="A1770" s="5">
        <v>1709</v>
      </c>
      <c r="B1770" s="1832">
        <f>'Tax Sched 23'!D14</f>
        <v>31126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3631595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5883340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31126</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31126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31126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81746</v>
      </c>
      <c r="D2008" s="2" t="str">
        <f t="shared" si="30"/>
        <v>Error?</v>
      </c>
    </row>
    <row r="2009" spans="1:4" x14ac:dyDescent="0.2">
      <c r="A2009" s="5">
        <v>1948</v>
      </c>
      <c r="B2009" s="1832">
        <f>'Cap Outlay Deprec 26'!C8</f>
        <v>12684081</v>
      </c>
      <c r="D2009" s="2" t="str">
        <f t="shared" si="30"/>
        <v>Error?</v>
      </c>
    </row>
    <row r="2010" spans="1:4" x14ac:dyDescent="0.2">
      <c r="A2010" s="5">
        <v>1949</v>
      </c>
      <c r="B2010" s="1832">
        <f>'Cap Outlay Deprec 26'!C10</f>
        <v>11801346</v>
      </c>
      <c r="D2010" s="2" t="str">
        <f t="shared" si="30"/>
        <v>Error?</v>
      </c>
    </row>
    <row r="2011" spans="1:4" x14ac:dyDescent="0.2">
      <c r="A2011" s="5">
        <v>1950</v>
      </c>
      <c r="B2011" s="1832">
        <f>'Cap Outlay Deprec 26'!C12</f>
        <v>2662496</v>
      </c>
      <c r="D2011" s="2" t="str">
        <f t="shared" si="30"/>
        <v>Error?</v>
      </c>
    </row>
    <row r="2012" spans="1:4" x14ac:dyDescent="0.2">
      <c r="A2012" s="5">
        <v>1951</v>
      </c>
      <c r="B2012" s="1832">
        <f>'Cap Outlay Deprec 26'!C13</f>
        <v>89626</v>
      </c>
      <c r="D2012" s="2" t="str">
        <f t="shared" si="30"/>
        <v>Error?</v>
      </c>
    </row>
    <row r="2013" spans="1:4" x14ac:dyDescent="0.2">
      <c r="A2013" s="5">
        <v>1952</v>
      </c>
      <c r="B2013" s="1832">
        <f>'Cap Outlay Deprec 26'!C16</f>
        <v>27368246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749231</v>
      </c>
      <c r="D2016" s="2" t="str">
        <f t="shared" si="30"/>
        <v>Error?</v>
      </c>
    </row>
    <row r="2017" spans="1:4" x14ac:dyDescent="0.2">
      <c r="A2017" s="5">
        <v>1956</v>
      </c>
      <c r="B2017" s="1832">
        <f>'Cap Outlay Deprec 26'!D12</f>
        <v>45291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794522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48951</v>
      </c>
      <c r="C2025" s="2" t="s">
        <v>569</v>
      </c>
      <c r="D2025" s="2" t="str">
        <f t="shared" si="30"/>
        <v>Error?</v>
      </c>
    </row>
    <row r="2026" spans="1:4" x14ac:dyDescent="0.2">
      <c r="A2026" s="5">
        <v>1965</v>
      </c>
      <c r="B2026" s="1832">
        <f>'Cap Outlay Deprec 26'!F5</f>
        <v>81746</v>
      </c>
      <c r="C2026" s="2" t="s">
        <v>569</v>
      </c>
      <c r="D2026" s="2" t="str">
        <f t="shared" si="30"/>
        <v>Error?</v>
      </c>
    </row>
    <row r="2027" spans="1:4" x14ac:dyDescent="0.2">
      <c r="A2027" s="5">
        <v>1966</v>
      </c>
      <c r="B2027" s="1832">
        <f>'Cap Outlay Deprec 26'!F8</f>
        <v>12684081</v>
      </c>
      <c r="C2027" s="2" t="s">
        <v>569</v>
      </c>
      <c r="D2027" s="2" t="str">
        <f t="shared" si="30"/>
        <v>Error?</v>
      </c>
    </row>
    <row r="2028" spans="1:4" x14ac:dyDescent="0.2">
      <c r="A2028" s="5">
        <v>1967</v>
      </c>
      <c r="B2028" s="1832">
        <f>'Cap Outlay Deprec 26'!F10</f>
        <v>12550577</v>
      </c>
      <c r="C2028" s="2" t="s">
        <v>569</v>
      </c>
      <c r="D2028" s="2" t="str">
        <f t="shared" si="30"/>
        <v>Error?</v>
      </c>
    </row>
    <row r="2029" spans="1:4" x14ac:dyDescent="0.2">
      <c r="A2029" s="5">
        <v>1968</v>
      </c>
      <c r="B2029" s="1832">
        <f>'Cap Outlay Deprec 26'!F12</f>
        <v>2707787</v>
      </c>
      <c r="C2029" s="2" t="s">
        <v>569</v>
      </c>
      <c r="D2029" s="2" t="str">
        <f t="shared" si="30"/>
        <v>Error?</v>
      </c>
    </row>
    <row r="2030" spans="1:4" x14ac:dyDescent="0.2">
      <c r="A2030" s="5">
        <v>1969</v>
      </c>
      <c r="B2030" s="1832">
        <f>'Cap Outlay Deprec 26'!F13</f>
        <v>89626</v>
      </c>
      <c r="C2030" s="2" t="s">
        <v>569</v>
      </c>
      <c r="D2030" s="2" t="str">
        <f t="shared" si="30"/>
        <v>Error?</v>
      </c>
    </row>
    <row r="2031" spans="1:4" x14ac:dyDescent="0.2">
      <c r="A2031" s="5">
        <v>1970</v>
      </c>
      <c r="B2031" s="1832">
        <f>'Cap Outlay Deprec 26'!F16</f>
        <v>28113817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6728967</v>
      </c>
      <c r="D2033" s="2" t="str">
        <f t="shared" si="30"/>
        <v>Error?</v>
      </c>
    </row>
    <row r="2034" spans="1:4" x14ac:dyDescent="0.2">
      <c r="A2034" s="5">
        <v>1973</v>
      </c>
      <c r="B2034" s="1832">
        <f>'Cap Outlay Deprec 26'!H10</f>
        <v>3882795</v>
      </c>
      <c r="D2034" s="2" t="str">
        <f t="shared" si="30"/>
        <v>Error?</v>
      </c>
    </row>
    <row r="2035" spans="1:4" x14ac:dyDescent="0.2">
      <c r="A2035" s="5">
        <v>1974</v>
      </c>
      <c r="B2035" s="1832">
        <f>'Cap Outlay Deprec 26'!H12</f>
        <v>2404429</v>
      </c>
      <c r="D2035" s="2" t="str">
        <f t="shared" si="30"/>
        <v>Error?</v>
      </c>
    </row>
    <row r="2036" spans="1:4" x14ac:dyDescent="0.2">
      <c r="A2036" s="5">
        <v>1975</v>
      </c>
      <c r="B2036" s="1832">
        <f>'Cap Outlay Deprec 26'!H13</f>
        <v>89626</v>
      </c>
      <c r="D2036" s="2" t="str">
        <f t="shared" si="30"/>
        <v>Error?</v>
      </c>
    </row>
    <row r="2037" spans="1:4" x14ac:dyDescent="0.2">
      <c r="A2037" s="5">
        <v>1976</v>
      </c>
      <c r="B2037" s="1832">
        <f>'Cap Outlay Deprec 26'!H16</f>
        <v>13105817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269277</v>
      </c>
      <c r="D2039" s="2" t="str">
        <f t="shared" si="30"/>
        <v>Error?</v>
      </c>
    </row>
    <row r="2040" spans="1:4" x14ac:dyDescent="0.2">
      <c r="A2040" s="5">
        <v>1979</v>
      </c>
      <c r="B2040" s="1832">
        <f>'Cap Outlay Deprec 26'!I10</f>
        <v>592418</v>
      </c>
      <c r="D2040" s="2" t="str">
        <f t="shared" si="30"/>
        <v>Error?</v>
      </c>
    </row>
    <row r="2041" spans="1:4" x14ac:dyDescent="0.2">
      <c r="A2041" s="5">
        <v>1980</v>
      </c>
      <c r="B2041" s="1832">
        <f>'Cap Outlay Deprec 26'!I12</f>
        <v>69838</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931533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6998244</v>
      </c>
      <c r="C2051" s="2" t="s">
        <v>569</v>
      </c>
      <c r="D2051" s="2" t="str">
        <f t="shared" si="31"/>
        <v>Error?</v>
      </c>
    </row>
    <row r="2052" spans="1:4" x14ac:dyDescent="0.2">
      <c r="A2052" s="5">
        <v>1991</v>
      </c>
      <c r="B2052" s="1832">
        <f>'Cap Outlay Deprec 26'!K10</f>
        <v>4475213</v>
      </c>
      <c r="C2052" s="2" t="s">
        <v>569</v>
      </c>
      <c r="D2052" s="2" t="str">
        <f t="shared" si="31"/>
        <v>Error?</v>
      </c>
    </row>
    <row r="2053" spans="1:4" x14ac:dyDescent="0.2">
      <c r="A2053" s="5">
        <v>1992</v>
      </c>
      <c r="B2053" s="1832">
        <f>'Cap Outlay Deprec 26'!K12</f>
        <v>2474267</v>
      </c>
      <c r="C2053" s="2" t="s">
        <v>569</v>
      </c>
      <c r="D2053" s="2" t="str">
        <f t="shared" si="31"/>
        <v>Error?</v>
      </c>
    </row>
    <row r="2054" spans="1:4" x14ac:dyDescent="0.2">
      <c r="A2054" s="5">
        <v>1993</v>
      </c>
      <c r="B2054" s="1832">
        <f>'Cap Outlay Deprec 26'!K13</f>
        <v>89626</v>
      </c>
      <c r="C2054" s="2" t="s">
        <v>569</v>
      </c>
      <c r="D2054" s="2" t="str">
        <f t="shared" si="31"/>
        <v>Error?</v>
      </c>
    </row>
    <row r="2055" spans="1:4" x14ac:dyDescent="0.2">
      <c r="A2055" s="5">
        <v>1994</v>
      </c>
      <c r="B2055" s="1832">
        <f>'Cap Outlay Deprec 26'!K16</f>
        <v>14037350</v>
      </c>
      <c r="C2055" s="2" t="s">
        <v>569</v>
      </c>
      <c r="D2055" s="2" t="str">
        <f t="shared" si="31"/>
        <v>Error?</v>
      </c>
    </row>
    <row r="2056" spans="1:4" x14ac:dyDescent="0.2">
      <c r="A2056" s="5">
        <v>1995</v>
      </c>
      <c r="B2056" s="1832">
        <f>'Cap Outlay Deprec 26'!L5</f>
        <v>81746</v>
      </c>
      <c r="C2056" s="2" t="s">
        <v>569</v>
      </c>
      <c r="D2056" s="2" t="str">
        <f t="shared" si="31"/>
        <v>Error?</v>
      </c>
    </row>
    <row r="2057" spans="1:4" x14ac:dyDescent="0.2">
      <c r="A2057" s="5">
        <v>1996</v>
      </c>
      <c r="B2057" s="1832">
        <f>'Cap Outlay Deprec 26'!L8</f>
        <v>5685837</v>
      </c>
      <c r="C2057" s="2" t="s">
        <v>569</v>
      </c>
      <c r="D2057" s="2" t="str">
        <f t="shared" si="31"/>
        <v>Error?</v>
      </c>
    </row>
    <row r="2058" spans="1:4" x14ac:dyDescent="0.2">
      <c r="A2058" s="5">
        <v>1997</v>
      </c>
      <c r="B2058" s="1832">
        <f>'Cap Outlay Deprec 26'!L10</f>
        <v>8075364</v>
      </c>
      <c r="C2058" s="2" t="s">
        <v>569</v>
      </c>
      <c r="D2058" s="2" t="str">
        <f t="shared" si="31"/>
        <v>Error?</v>
      </c>
    </row>
    <row r="2059" spans="1:4" x14ac:dyDescent="0.2">
      <c r="A2059" s="5">
        <v>1998</v>
      </c>
      <c r="B2059" s="1832">
        <f>'Cap Outlay Deprec 26'!L12</f>
        <v>233520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14076467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1321945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1333695</v>
      </c>
      <c r="C2088" s="2" t="s">
        <v>569</v>
      </c>
      <c r="D2088" s="2" t="str">
        <f t="shared" si="31"/>
        <v>Error?</v>
      </c>
    </row>
    <row r="2089" spans="1:4" x14ac:dyDescent="0.2">
      <c r="A2089" s="5">
        <v>2028</v>
      </c>
      <c r="B2089" s="1832">
        <f>'Expenditures 15-22'!K92</f>
        <v>5640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14005</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14005</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2866756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5894841</v>
      </c>
      <c r="C2553" s="2" t="s">
        <v>569</v>
      </c>
      <c r="D2553" s="2" t="str">
        <f t="shared" si="38"/>
        <v>Error?</v>
      </c>
    </row>
    <row r="2554" spans="1:4" x14ac:dyDescent="0.2">
      <c r="A2554" s="5">
        <v>2493</v>
      </c>
      <c r="B2554" s="1832">
        <f>'Acct Summary 7-8'!C7</f>
        <v>1018071</v>
      </c>
      <c r="C2554" s="2" t="s">
        <v>569</v>
      </c>
      <c r="D2554" s="2" t="str">
        <f t="shared" si="38"/>
        <v>Error?</v>
      </c>
    </row>
    <row r="2555" spans="1:4" x14ac:dyDescent="0.2">
      <c r="A2555" s="5">
        <v>2494</v>
      </c>
      <c r="B2555" s="1832">
        <f>'Acct Summary 7-8'!C8</f>
        <v>9779668</v>
      </c>
      <c r="C2555" s="2" t="s">
        <v>569</v>
      </c>
      <c r="D2555" s="2" t="str">
        <f t="shared" si="38"/>
        <v>Error?</v>
      </c>
    </row>
    <row r="2556" spans="1:4" x14ac:dyDescent="0.2">
      <c r="A2556" s="5">
        <v>2495</v>
      </c>
      <c r="B2556" s="1832">
        <f>'Acct Summary 7-8'!C12</f>
        <v>5197008</v>
      </c>
      <c r="C2556" s="2" t="s">
        <v>569</v>
      </c>
      <c r="D2556" s="2" t="str">
        <f t="shared" si="38"/>
        <v>Error?</v>
      </c>
    </row>
    <row r="2557" spans="1:4" x14ac:dyDescent="0.2">
      <c r="A2557" s="5">
        <v>2496</v>
      </c>
      <c r="B2557" s="1832">
        <f>'Acct Summary 7-8'!C13</f>
        <v>2731991</v>
      </c>
      <c r="C2557" s="2" t="s">
        <v>569</v>
      </c>
      <c r="D2557" s="2" t="str">
        <f t="shared" si="38"/>
        <v>Error?</v>
      </c>
    </row>
    <row r="2558" spans="1:4" x14ac:dyDescent="0.2">
      <c r="A2558" s="5">
        <v>2497</v>
      </c>
      <c r="B2558" s="1832">
        <f>'Acct Summary 7-8'!C14</f>
        <v>285207</v>
      </c>
      <c r="C2558" s="2" t="s">
        <v>569</v>
      </c>
      <c r="D2558" s="2" t="str">
        <f t="shared" si="38"/>
        <v>Error?</v>
      </c>
    </row>
    <row r="2559" spans="1:4" x14ac:dyDescent="0.2">
      <c r="A2559" s="5">
        <v>2498</v>
      </c>
      <c r="B2559" s="1832">
        <f>'Acct Summary 7-8'!C15</f>
        <v>1339335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9553541</v>
      </c>
      <c r="C2561" s="2" t="s">
        <v>569</v>
      </c>
      <c r="D2561" s="2" t="str">
        <f t="shared" si="39"/>
        <v>Error?</v>
      </c>
    </row>
    <row r="2562" spans="1:4" x14ac:dyDescent="0.2">
      <c r="A2562" s="5">
        <v>2501</v>
      </c>
      <c r="B2562" s="1832">
        <f>'Acct Summary 7-8'!C20</f>
        <v>226127</v>
      </c>
      <c r="C2562" s="2" t="s">
        <v>569</v>
      </c>
      <c r="D2562" s="2" t="str">
        <f t="shared" si="39"/>
        <v>Error?</v>
      </c>
    </row>
    <row r="2563" spans="1:4" x14ac:dyDescent="0.2">
      <c r="A2563" s="5">
        <v>2502</v>
      </c>
      <c r="B2563" s="1832">
        <f>'Acct Summary 7-8'!C80</f>
        <v>262531</v>
      </c>
      <c r="D2563" s="2" t="str">
        <f t="shared" si="39"/>
        <v>Error?</v>
      </c>
    </row>
    <row r="2564" spans="1:4" x14ac:dyDescent="0.2">
      <c r="A2564" s="5">
        <v>2503</v>
      </c>
      <c r="B2564" s="1832">
        <f>'Acct Summary 7-8'!D4</f>
        <v>400761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485636</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886397</v>
      </c>
      <c r="C2568" s="2" t="s">
        <v>569</v>
      </c>
      <c r="D2568" s="2" t="str">
        <f t="shared" si="39"/>
        <v>Error?</v>
      </c>
    </row>
    <row r="2569" spans="1:4" x14ac:dyDescent="0.2">
      <c r="A2569" s="5">
        <v>2508</v>
      </c>
      <c r="B2569" s="1832">
        <f>'Acct Summary 7-8'!D13</f>
        <v>581602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14005</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595607</v>
      </c>
      <c r="C2573" s="2" t="s">
        <v>569</v>
      </c>
      <c r="D2573" s="2" t="str">
        <f t="shared" si="39"/>
        <v>Error?</v>
      </c>
    </row>
    <row r="2574" spans="1:4" x14ac:dyDescent="0.2">
      <c r="A2574" s="5">
        <v>2513</v>
      </c>
      <c r="B2574" s="1832">
        <f>'Acct Summary 7-8'!D20</f>
        <v>290790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225684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380505</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606189</v>
      </c>
      <c r="C2595" s="2" t="s">
        <v>569</v>
      </c>
      <c r="D2595" s="2" t="str">
        <f t="shared" si="39"/>
        <v>Error?</v>
      </c>
    </row>
    <row r="2596" spans="1:4" x14ac:dyDescent="0.2">
      <c r="A2596" s="5">
        <v>2535</v>
      </c>
      <c r="B2596" s="1832">
        <f>'Acct Summary 7-8'!F13</f>
        <v>375486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69258</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444744</v>
      </c>
      <c r="C2600" s="2" t="s">
        <v>569</v>
      </c>
      <c r="D2600" s="2" t="str">
        <f t="shared" si="39"/>
        <v>Error?</v>
      </c>
    </row>
    <row r="2601" spans="1:4" x14ac:dyDescent="0.2">
      <c r="A2601" s="5">
        <v>2540</v>
      </c>
      <c r="B2601" s="1832">
        <f>'Acct Summary 7-8'!F20</f>
        <v>161445</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218308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218308</v>
      </c>
      <c r="C2606" s="2" t="s">
        <v>569</v>
      </c>
      <c r="D2606" s="2" t="str">
        <f t="shared" si="39"/>
        <v>Error?</v>
      </c>
    </row>
    <row r="2607" spans="1:4" x14ac:dyDescent="0.2">
      <c r="A2607" s="5">
        <v>2546</v>
      </c>
      <c r="B2607" s="1832">
        <f>'Acct Summary 7-8'!G12</f>
        <v>76609</v>
      </c>
      <c r="C2607" s="2" t="s">
        <v>569</v>
      </c>
      <c r="D2607" s="2" t="str">
        <f t="shared" si="39"/>
        <v>Error?</v>
      </c>
    </row>
    <row r="2608" spans="1:4" x14ac:dyDescent="0.2">
      <c r="A2608" s="5">
        <v>2547</v>
      </c>
      <c r="B2608" s="1832">
        <f>'Acct Summary 7-8'!G13</f>
        <v>156217</v>
      </c>
      <c r="C2608" s="2" t="s">
        <v>569</v>
      </c>
      <c r="D2608" s="2" t="str">
        <f t="shared" si="39"/>
        <v>Error?</v>
      </c>
    </row>
    <row r="2609" spans="1:4" x14ac:dyDescent="0.2">
      <c r="A2609" s="5">
        <v>2548</v>
      </c>
      <c r="B2609" s="1832">
        <f>'Acct Summary 7-8'!G14</f>
        <v>4804</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237630</v>
      </c>
      <c r="C2612" s="2" t="s">
        <v>569</v>
      </c>
      <c r="D2612" s="2" t="str">
        <f t="shared" si="39"/>
        <v>Error?</v>
      </c>
    </row>
    <row r="2613" spans="1:4" x14ac:dyDescent="0.2">
      <c r="A2613" s="5">
        <v>2552</v>
      </c>
      <c r="B2613" s="1832">
        <f>'Acct Summary 7-8'!G20</f>
        <v>-19322</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1162831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1162831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1280090</v>
      </c>
      <c r="C2634" s="2" t="s">
        <v>569</v>
      </c>
      <c r="D2634" s="2" t="str">
        <f t="shared" si="40"/>
        <v>Error?</v>
      </c>
    </row>
    <row r="2635" spans="1:4" x14ac:dyDescent="0.2">
      <c r="A2635" s="5">
        <v>2574</v>
      </c>
      <c r="B2635" s="1832">
        <f>'Acct Summary 7-8'!E17</f>
        <v>1280090</v>
      </c>
      <c r="C2635" s="2" t="s">
        <v>569</v>
      </c>
      <c r="D2635" s="2" t="str">
        <f t="shared" si="40"/>
        <v>Error?</v>
      </c>
    </row>
    <row r="2636" spans="1:4" x14ac:dyDescent="0.2">
      <c r="A2636" s="5">
        <v>2575</v>
      </c>
      <c r="B2636" s="1832">
        <f>'Acct Summary 7-8'!E20</f>
        <v>-117259</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380641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380641</v>
      </c>
      <c r="C2658" s="2" t="s">
        <v>569</v>
      </c>
      <c r="D2658" s="2" t="str">
        <f t="shared" si="40"/>
        <v>Error?</v>
      </c>
    </row>
    <row r="2659" spans="1:4" x14ac:dyDescent="0.2">
      <c r="A2659" s="5">
        <v>2598</v>
      </c>
      <c r="B2659" s="1832">
        <f>'Acct Summary 7-8'!H13</f>
        <v>706356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706356</v>
      </c>
      <c r="C2661" s="2" t="s">
        <v>569</v>
      </c>
      <c r="D2661" s="2" t="str">
        <f t="shared" si="40"/>
        <v>Error?</v>
      </c>
    </row>
    <row r="2662" spans="1:4" x14ac:dyDescent="0.2">
      <c r="A2662" s="5">
        <v>2601</v>
      </c>
      <c r="B2662" s="1832">
        <f>'Acct Summary 7-8'!H20</f>
        <v>-325715</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1000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1000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11750</v>
      </c>
      <c r="C2789" s="2" t="s">
        <v>569</v>
      </c>
      <c r="D2789" s="2" t="str">
        <f t="shared" si="42"/>
        <v>Error?</v>
      </c>
    </row>
    <row r="2790" spans="1:4" x14ac:dyDescent="0.2">
      <c r="A2790" s="5">
        <v>2729</v>
      </c>
      <c r="B2790" s="1832">
        <f>'Expenditures 15-22'!E102</f>
        <v>11750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69258</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69258</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89626</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1137923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1137923</v>
      </c>
      <c r="D2912" s="2" t="str">
        <f t="shared" si="44"/>
        <v>Error?</v>
      </c>
    </row>
    <row r="2913" spans="1:4" x14ac:dyDescent="0.2">
      <c r="A2913" s="5">
        <v>2852</v>
      </c>
      <c r="B2913" s="1832">
        <f>'Assets-Liab 5-6'!I41</f>
        <v>1137923</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11750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1321945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1321945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11750</v>
      </c>
      <c r="C2978" s="2" t="s">
        <v>569</v>
      </c>
      <c r="D2978" s="2" t="str">
        <f t="shared" si="45"/>
        <v>Error?</v>
      </c>
    </row>
    <row r="2979" spans="1:4" x14ac:dyDescent="0.2">
      <c r="A2979" s="5">
        <v>2918</v>
      </c>
      <c r="B2979" s="1832">
        <f>'Expenditures 15-22'!H134</f>
        <v>14005</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14005</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69258</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69258</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167267</v>
      </c>
      <c r="D3055" s="2" t="str">
        <f t="shared" si="46"/>
        <v>Error?</v>
      </c>
    </row>
    <row r="3056" spans="1:4" x14ac:dyDescent="0.2">
      <c r="A3056" s="5">
        <v>2995</v>
      </c>
      <c r="B3056" s="1832">
        <f>'Expenditures 15-22'!D10</f>
        <v>21182</v>
      </c>
      <c r="D3056" s="2" t="str">
        <f t="shared" si="46"/>
        <v>Error?</v>
      </c>
    </row>
    <row r="3057" spans="1:4" x14ac:dyDescent="0.2">
      <c r="A3057" s="5">
        <v>2996</v>
      </c>
      <c r="B3057" s="1832">
        <f>'Expenditures 15-22'!E10</f>
        <v>35622</v>
      </c>
      <c r="D3057" s="2" t="str">
        <f t="shared" si="46"/>
        <v>Error?</v>
      </c>
    </row>
    <row r="3058" spans="1:4" x14ac:dyDescent="0.2">
      <c r="A3058" s="5">
        <v>2997</v>
      </c>
      <c r="B3058" s="1832">
        <f>'Expenditures 15-22'!F10</f>
        <v>28955</v>
      </c>
      <c r="D3058" s="2" t="str">
        <f t="shared" si="46"/>
        <v>Error?</v>
      </c>
    </row>
    <row r="3059" spans="1:4" x14ac:dyDescent="0.2">
      <c r="A3059" s="5">
        <v>2998</v>
      </c>
      <c r="B3059" s="1832">
        <f>'Expenditures 15-22'!G10</f>
        <v>2275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255301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19405</v>
      </c>
      <c r="D3064" s="2" t="str">
        <f t="shared" si="46"/>
        <v>Error?</v>
      </c>
    </row>
    <row r="3065" spans="1:4" x14ac:dyDescent="0.2">
      <c r="A3065" s="5">
        <v>3004</v>
      </c>
      <c r="B3065" s="1832">
        <f>'Expenditures 15-22'!K219</f>
        <v>19405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43327</v>
      </c>
      <c r="C3225" s="2" t="s">
        <v>569</v>
      </c>
      <c r="D3225" s="2" t="str">
        <f t="shared" si="49"/>
        <v>Error?</v>
      </c>
    </row>
    <row r="3226" spans="1:4" x14ac:dyDescent="0.2">
      <c r="A3226" s="5">
        <v>3165</v>
      </c>
      <c r="B3226" s="1832">
        <f>'Acct Summary 7-8'!I8</f>
        <v>43327</v>
      </c>
      <c r="C3226" s="2" t="s">
        <v>569</v>
      </c>
      <c r="D3226" s="2" t="str">
        <f t="shared" si="49"/>
        <v>Error?</v>
      </c>
    </row>
    <row r="3227" spans="1:4" x14ac:dyDescent="0.2">
      <c r="A3227" s="5">
        <v>3166</v>
      </c>
      <c r="B3227" s="1832">
        <f>'Acct Summary 7-8'!I20</f>
        <v>43327</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226127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290790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161445</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-19322</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-117259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-325715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43327</v>
      </c>
      <c r="C3320" s="2" t="s">
        <v>569</v>
      </c>
      <c r="D3320" s="2" t="str">
        <f t="shared" si="50"/>
        <v>Error?</v>
      </c>
    </row>
    <row r="3321" spans="1:4" x14ac:dyDescent="0.2">
      <c r="A3321" s="5">
        <v>3260</v>
      </c>
      <c r="B3321" s="1832">
        <f>'Acct Summary 7-8'!I79</f>
        <v>1094596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1137923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43008</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43008</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47255</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47255</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2027197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610801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171254</v>
      </c>
      <c r="D3417" s="2" t="str">
        <f t="shared" si="52"/>
        <v>Error?</v>
      </c>
    </row>
    <row r="3418" spans="1:4" x14ac:dyDescent="0.2">
      <c r="A3418" s="10">
        <v>3357</v>
      </c>
      <c r="B3418" s="1832"/>
      <c r="D3418" s="2" t="str">
        <f t="shared" si="52"/>
        <v>OK</v>
      </c>
    </row>
    <row r="3419" spans="1:4" x14ac:dyDescent="0.2">
      <c r="A3419" s="5">
        <v>3358</v>
      </c>
      <c r="B3419" s="1832">
        <f>'Assets-Liab 5-6'!F4</f>
        <v>404886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442678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1216455</v>
      </c>
      <c r="D3425" s="2" t="str">
        <f t="shared" si="52"/>
        <v>Error?</v>
      </c>
    </row>
    <row r="3426" spans="1:4" x14ac:dyDescent="0.2">
      <c r="A3426" s="10">
        <v>3365</v>
      </c>
      <c r="B3426" s="1832"/>
      <c r="D3426" s="2" t="str">
        <f t="shared" si="52"/>
        <v>OK</v>
      </c>
    </row>
    <row r="3427" spans="1:4" x14ac:dyDescent="0.2">
      <c r="A3427" s="5">
        <v>3366</v>
      </c>
      <c r="B3427" s="1832">
        <f>'Assets-Liab 5-6'!I4</f>
        <v>1137923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98443</v>
      </c>
      <c r="C3446" s="2" t="s">
        <v>569</v>
      </c>
      <c r="D3446" s="2" t="str">
        <f t="shared" si="52"/>
        <v>Error?</v>
      </c>
    </row>
    <row r="3447" spans="1:4" x14ac:dyDescent="0.2">
      <c r="A3447" s="5">
        <v>3386</v>
      </c>
      <c r="B3447" s="1832">
        <f>'Tax Sched 23'!D16</f>
        <v>98443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48951</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48951</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29109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29109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29109</v>
      </c>
      <c r="D3567" s="2" t="str">
        <f t="shared" si="54"/>
        <v>Error?</v>
      </c>
    </row>
    <row r="3568" spans="1:4" x14ac:dyDescent="0.2">
      <c r="A3568" s="5">
        <v>3507</v>
      </c>
      <c r="B3568" s="1832">
        <f>'Assets-Liab 5-6'!K41</f>
        <v>29109</v>
      </c>
      <c r="C3568" s="2" t="s">
        <v>569</v>
      </c>
      <c r="D3568" s="2" t="str">
        <f t="shared" si="54"/>
        <v>Error?</v>
      </c>
    </row>
    <row r="3569" spans="1:4" x14ac:dyDescent="0.2">
      <c r="A3569" s="5">
        <v>3508</v>
      </c>
      <c r="B3569" s="1832">
        <f>'Acct Summary 7-8'!K4</f>
        <v>31722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31722</v>
      </c>
      <c r="C3571" s="2" t="s">
        <v>569</v>
      </c>
      <c r="D3571" s="2" t="str">
        <f t="shared" si="54"/>
        <v>Error?</v>
      </c>
    </row>
    <row r="3572" spans="1:4" x14ac:dyDescent="0.2">
      <c r="A3572" s="5">
        <v>3511</v>
      </c>
      <c r="B3572" s="1832">
        <f>'Acct Summary 7-8'!K13</f>
        <v>34323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34323</v>
      </c>
      <c r="C3575" s="2" t="s">
        <v>569</v>
      </c>
      <c r="D3575" s="2" t="str">
        <f t="shared" si="54"/>
        <v>Error?</v>
      </c>
    </row>
    <row r="3576" spans="1:4" x14ac:dyDescent="0.2">
      <c r="A3576" s="5">
        <v>3515</v>
      </c>
      <c r="B3576" s="1832">
        <f>'Acct Summary 7-8'!K20</f>
        <v>-2601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-2601</v>
      </c>
      <c r="C3588" s="2" t="s">
        <v>569</v>
      </c>
      <c r="D3588" s="2" t="str">
        <f t="shared" si="55"/>
        <v>Error?</v>
      </c>
    </row>
    <row r="3589" spans="1:4" x14ac:dyDescent="0.2">
      <c r="A3589" s="5">
        <v>3528</v>
      </c>
      <c r="B3589" s="1832">
        <f>'Acct Summary 7-8'!K79</f>
        <v>31710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29109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34323</v>
      </c>
      <c r="D3632" s="2" t="str">
        <f t="shared" si="55"/>
        <v>Error?</v>
      </c>
    </row>
    <row r="3633" spans="1:4" x14ac:dyDescent="0.2">
      <c r="A3633" s="5">
        <v>3572</v>
      </c>
      <c r="B3633" s="1832">
        <f>'Expenditures 15-22'!E350</f>
        <v>34323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34323</v>
      </c>
      <c r="C3635" s="2" t="s">
        <v>569</v>
      </c>
      <c r="D3635" s="2" t="str">
        <f t="shared" si="55"/>
        <v>Error?</v>
      </c>
    </row>
    <row r="3636" spans="1:4" x14ac:dyDescent="0.2">
      <c r="A3636" s="5">
        <v>3575</v>
      </c>
      <c r="B3636" s="1832">
        <f>'Expenditures 15-22'!E367</f>
        <v>34323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34323</v>
      </c>
      <c r="C3669" s="2" t="s">
        <v>569</v>
      </c>
      <c r="D3669" s="2" t="str">
        <f t="shared" si="56"/>
        <v>Error?</v>
      </c>
    </row>
    <row r="3670" spans="1:4" x14ac:dyDescent="0.2">
      <c r="A3670" s="5">
        <v>3609</v>
      </c>
      <c r="B3670" s="1832">
        <f>'Expenditures 15-22'!K350</f>
        <v>34323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34323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34323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-2601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7736</v>
      </c>
      <c r="C3725" s="2" t="s">
        <v>569</v>
      </c>
      <c r="D3725" s="2" t="str">
        <f t="shared" si="57"/>
        <v>Error?</v>
      </c>
    </row>
    <row r="3726" spans="1:4" x14ac:dyDescent="0.2">
      <c r="A3726" s="5">
        <v>3665</v>
      </c>
      <c r="B3726" s="1832">
        <f>'Tax Sched 23'!D13</f>
        <v>7736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494480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3637599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13417267</v>
      </c>
      <c r="C4122" s="2" t="s">
        <v>569</v>
      </c>
      <c r="D4122" s="2" t="str">
        <f t="shared" si="63"/>
        <v>Error?</v>
      </c>
    </row>
    <row r="4123" spans="1:4" x14ac:dyDescent="0.2">
      <c r="A4123" s="5">
        <v>4062</v>
      </c>
      <c r="B4123" s="1832">
        <f>'Acct Summary 7-8'!D10</f>
        <v>886397</v>
      </c>
      <c r="C4123" s="2" t="s">
        <v>569</v>
      </c>
      <c r="D4123" s="2" t="str">
        <f t="shared" si="63"/>
        <v>Error?</v>
      </c>
    </row>
    <row r="4124" spans="1:4" x14ac:dyDescent="0.2">
      <c r="A4124" s="5">
        <v>4063</v>
      </c>
      <c r="B4124" s="1832">
        <f>'Acct Summary 7-8'!E10</f>
        <v>1162831</v>
      </c>
      <c r="C4124" s="2" t="s">
        <v>569</v>
      </c>
      <c r="D4124" s="2" t="str">
        <f t="shared" si="63"/>
        <v>Error?</v>
      </c>
    </row>
    <row r="4125" spans="1:4" x14ac:dyDescent="0.2">
      <c r="A4125" s="5">
        <v>4064</v>
      </c>
      <c r="B4125" s="1832">
        <f>'Acct Summary 7-8'!F10</f>
        <v>606189</v>
      </c>
      <c r="C4125" s="2" t="s">
        <v>569</v>
      </c>
      <c r="D4125" s="2" t="str">
        <f t="shared" si="63"/>
        <v>Error?</v>
      </c>
    </row>
    <row r="4126" spans="1:4" x14ac:dyDescent="0.2">
      <c r="A4126" s="5">
        <v>4065</v>
      </c>
      <c r="B4126" s="1832">
        <f>'Acct Summary 7-8'!G10</f>
        <v>218308</v>
      </c>
      <c r="C4126" s="2" t="s">
        <v>569</v>
      </c>
      <c r="D4126" s="2" t="str">
        <f t="shared" si="63"/>
        <v>Error?</v>
      </c>
    </row>
    <row r="4127" spans="1:4" x14ac:dyDescent="0.2">
      <c r="A4127" s="5">
        <v>4066</v>
      </c>
      <c r="B4127" s="1832">
        <f>'Acct Summary 7-8'!H10</f>
        <v>380641</v>
      </c>
      <c r="C4127" s="2" t="s">
        <v>569</v>
      </c>
      <c r="D4127" s="2" t="str">
        <f t="shared" si="63"/>
        <v>Error?</v>
      </c>
    </row>
    <row r="4128" spans="1:4" x14ac:dyDescent="0.2">
      <c r="A4128" s="5">
        <v>4067</v>
      </c>
      <c r="B4128" s="1832">
        <f>'Acct Summary 7-8'!I10</f>
        <v>43327</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31722</v>
      </c>
      <c r="C4130" s="2" t="s">
        <v>569</v>
      </c>
      <c r="D4130" s="2" t="str">
        <f t="shared" si="63"/>
        <v>Error?</v>
      </c>
    </row>
    <row r="4131" spans="1:4" x14ac:dyDescent="0.2">
      <c r="A4131" s="5">
        <v>4070</v>
      </c>
      <c r="B4131" s="1832">
        <f>'Acct Summary 7-8'!C18</f>
        <v>3637599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13191140</v>
      </c>
      <c r="C4136" s="2" t="s">
        <v>569</v>
      </c>
      <c r="D4136" s="2" t="str">
        <f t="shared" si="63"/>
        <v>Error?</v>
      </c>
    </row>
    <row r="4137" spans="1:4" x14ac:dyDescent="0.2">
      <c r="A4137" s="5">
        <v>4076</v>
      </c>
      <c r="B4137" s="1832">
        <f>'Acct Summary 7-8'!D19</f>
        <v>595607</v>
      </c>
      <c r="C4137" s="2" t="s">
        <v>569</v>
      </c>
      <c r="D4137" s="2" t="str">
        <f t="shared" si="63"/>
        <v>Error?</v>
      </c>
    </row>
    <row r="4138" spans="1:4" x14ac:dyDescent="0.2">
      <c r="A4138" s="5">
        <v>4077</v>
      </c>
      <c r="B4138" s="1832">
        <f>'Acct Summary 7-8'!E19</f>
        <v>1280090</v>
      </c>
      <c r="C4138" s="2" t="s">
        <v>569</v>
      </c>
      <c r="D4138" s="2" t="str">
        <f t="shared" si="63"/>
        <v>Error?</v>
      </c>
    </row>
    <row r="4139" spans="1:4" x14ac:dyDescent="0.2">
      <c r="A4139" s="5">
        <v>4078</v>
      </c>
      <c r="B4139" s="1832">
        <f>'Acct Summary 7-8'!F19</f>
        <v>444744</v>
      </c>
      <c r="C4139" s="2" t="s">
        <v>569</v>
      </c>
      <c r="D4139" s="2" t="str">
        <f t="shared" si="63"/>
        <v>Error?</v>
      </c>
    </row>
    <row r="4140" spans="1:4" x14ac:dyDescent="0.2">
      <c r="A4140" s="5">
        <v>4079</v>
      </c>
      <c r="B4140" s="1832">
        <f>'Acct Summary 7-8'!G19</f>
        <v>237630</v>
      </c>
      <c r="C4140" s="2" t="s">
        <v>569</v>
      </c>
      <c r="D4140" s="2" t="str">
        <f t="shared" si="63"/>
        <v>Error?</v>
      </c>
    </row>
    <row r="4141" spans="1:4" x14ac:dyDescent="0.2">
      <c r="A4141" s="5">
        <v>4080</v>
      </c>
      <c r="B4141" s="1832">
        <f>'Acct Summary 7-8'!H19</f>
        <v>706356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34323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4866155</v>
      </c>
      <c r="C4171" s="2" t="s">
        <v>569</v>
      </c>
      <c r="D4171" s="2" t="str">
        <f t="shared" si="64"/>
        <v>Error?</v>
      </c>
    </row>
    <row r="4172" spans="1:4" x14ac:dyDescent="0.2">
      <c r="A4172" s="5">
        <v>4111</v>
      </c>
      <c r="B4172" s="1832">
        <f>'Short-Term Long-Term Debt 24'!J49</f>
        <v>4694901</v>
      </c>
      <c r="C4172" s="2" t="s">
        <v>569</v>
      </c>
      <c r="D4172" s="2" t="str">
        <f t="shared" si="64"/>
        <v>Error?</v>
      </c>
    </row>
    <row r="4173" spans="1:4" x14ac:dyDescent="0.2">
      <c r="A4173" s="5">
        <v>4112</v>
      </c>
      <c r="B4173" s="1832">
        <f>'Short-Term Long-Term Debt 24'!H49</f>
        <v>1017185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2451.36</v>
      </c>
      <c r="C4265" s="2" t="s">
        <v>569</v>
      </c>
      <c r="D4265" s="2" t="str">
        <f t="shared" si="65"/>
        <v>Error?</v>
      </c>
      <c r="E4265" s="125"/>
    </row>
    <row r="4266" spans="1:5" x14ac:dyDescent="0.2">
      <c r="A4266" s="12">
        <v>4205</v>
      </c>
      <c r="B4266" s="1832">
        <f>('FP Info 3'!F10)*100000</f>
        <v>477.90000000000003</v>
      </c>
      <c r="C4266" s="2" t="s">
        <v>569</v>
      </c>
      <c r="D4266" s="2" t="str">
        <f t="shared" si="65"/>
        <v>Error?</v>
      </c>
      <c r="E4266" s="125"/>
    </row>
    <row r="4267" spans="1:5" x14ac:dyDescent="0.2">
      <c r="A4267" s="12">
        <v>4206</v>
      </c>
      <c r="B4267" s="1832">
        <f>('FP Info 3'!H10)*100000</f>
        <v>297.97999999999996</v>
      </c>
      <c r="C4267" s="2" t="s">
        <v>569</v>
      </c>
      <c r="D4267" s="2" t="str">
        <f t="shared" si="65"/>
        <v>Error?</v>
      </c>
      <c r="E4267" s="125"/>
    </row>
    <row r="4268" spans="1:5" x14ac:dyDescent="0.2">
      <c r="A4268" s="12">
        <v>4207</v>
      </c>
      <c r="B4268" s="1832">
        <f>('FP Info 3'!J10)*100000</f>
        <v>3227</v>
      </c>
      <c r="C4268" s="2" t="s">
        <v>569</v>
      </c>
      <c r="D4268" s="2" t="str">
        <f t="shared" si="65"/>
        <v>Error?</v>
      </c>
    </row>
    <row r="4269" spans="1:5" x14ac:dyDescent="0.2">
      <c r="A4269" s="12">
        <v>4208</v>
      </c>
      <c r="B4269" s="1832">
        <f>'FP Info 3'!J16</f>
        <v>4183774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11337</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13284</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6573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39.35</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5343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79088956</v>
      </c>
      <c r="D4995" s="2" t="str">
        <f t="shared" si="77"/>
        <v>Error?</v>
      </c>
    </row>
    <row r="4996" spans="1:4" x14ac:dyDescent="0.2">
      <c r="A4996" s="12">
        <v>4935</v>
      </c>
      <c r="B4996" s="1832">
        <f>'FP Info 3'!H31</f>
        <v>10914275.928000001</v>
      </c>
      <c r="D4996" s="2" t="str">
        <f t="shared" si="77"/>
        <v>Error?</v>
      </c>
    </row>
    <row r="4997" spans="1:4" x14ac:dyDescent="0.2">
      <c r="A4997" s="12">
        <v>4936</v>
      </c>
      <c r="B4997" s="1832">
        <f>'FP Info 3'!H37</f>
        <v>4866155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1902580</v>
      </c>
      <c r="D5061" s="2" t="str">
        <f t="shared" si="78"/>
        <v>Error?</v>
      </c>
    </row>
    <row r="5062" spans="1:4" x14ac:dyDescent="0.2">
      <c r="A5062" s="10">
        <v>5001</v>
      </c>
      <c r="B5062" s="1832"/>
      <c r="D5062" s="2" t="str">
        <f t="shared" si="78"/>
        <v>OK</v>
      </c>
    </row>
    <row r="5063" spans="1:4" x14ac:dyDescent="0.2">
      <c r="A5063" s="5">
        <v>5002</v>
      </c>
      <c r="B5063" s="1832">
        <f>'Revenues 9-14'!C7</f>
        <v>31126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1933706</v>
      </c>
      <c r="C5066" s="2" t="s">
        <v>569</v>
      </c>
      <c r="D5066" s="2" t="str">
        <f t="shared" si="78"/>
        <v>Error?</v>
      </c>
    </row>
    <row r="5067" spans="1:4" x14ac:dyDescent="0.2">
      <c r="A5067" s="5">
        <v>5006</v>
      </c>
      <c r="B5067" s="1832">
        <f>'Revenues 9-14'!C14</f>
        <v>10541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268350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278891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21531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21531</v>
      </c>
      <c r="C5090" s="2" t="s">
        <v>569</v>
      </c>
      <c r="D5090" s="2" t="str">
        <f t="shared" si="78"/>
        <v>Error?</v>
      </c>
    </row>
    <row r="5091" spans="1:4" x14ac:dyDescent="0.2">
      <c r="A5091" s="5">
        <v>5030</v>
      </c>
      <c r="B5091" s="1832">
        <f>'Revenues 9-14'!C70</f>
        <v>86</v>
      </c>
      <c r="D5091" s="2" t="str">
        <f t="shared" si="78"/>
        <v>Error?</v>
      </c>
    </row>
    <row r="5092" spans="1:4" x14ac:dyDescent="0.2">
      <c r="A5092" s="5">
        <v>5031</v>
      </c>
      <c r="B5092" s="1832">
        <f>'Revenues 9-14'!C71</f>
        <v>34346</v>
      </c>
      <c r="D5092" s="2" t="str">
        <f t="shared" si="78"/>
        <v>Error?</v>
      </c>
    </row>
    <row r="5093" spans="1:4" x14ac:dyDescent="0.2">
      <c r="A5093" s="5">
        <v>5032</v>
      </c>
      <c r="B5093" s="1832">
        <f>'Revenues 9-14'!C72</f>
        <v>27061</v>
      </c>
      <c r="D5093" s="2" t="str">
        <f t="shared" si="78"/>
        <v>Error?</v>
      </c>
    </row>
    <row r="5094" spans="1:4" x14ac:dyDescent="0.2">
      <c r="A5094" s="5">
        <v>5033</v>
      </c>
      <c r="B5094" s="1832">
        <f>'Revenues 9-14'!C73</f>
        <v>4940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147132</v>
      </c>
      <c r="C5096" s="2" t="s">
        <v>569</v>
      </c>
      <c r="D5096" s="2" t="str">
        <f t="shared" si="78"/>
        <v>Error?</v>
      </c>
    </row>
    <row r="5097" spans="1:4" x14ac:dyDescent="0.2">
      <c r="A5097" s="5">
        <v>5036</v>
      </c>
      <c r="B5097" s="1832">
        <f>'Revenues 9-14'!C77</f>
        <v>34506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10737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262213</v>
      </c>
      <c r="D5101" s="2" t="str">
        <f t="shared" si="78"/>
        <v>Error?</v>
      </c>
    </row>
    <row r="5102" spans="1:4" x14ac:dyDescent="0.2">
      <c r="A5102" s="5">
        <v>5041</v>
      </c>
      <c r="B5102" s="1832">
        <f>'Revenues 9-14'!C82</f>
        <v>307456</v>
      </c>
      <c r="C5102" s="2" t="s">
        <v>569</v>
      </c>
      <c r="D5102" s="2" t="str">
        <f t="shared" si="78"/>
        <v>Error?</v>
      </c>
    </row>
    <row r="5103" spans="1:4" x14ac:dyDescent="0.2">
      <c r="A5103" s="5">
        <v>5042</v>
      </c>
      <c r="B5103" s="1832">
        <f>'Revenues 9-14'!C84</f>
        <v>22164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22164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14727</v>
      </c>
      <c r="D5118" s="2" t="str">
        <f t="shared" si="78"/>
        <v>Error?</v>
      </c>
    </row>
    <row r="5119" spans="1:4" x14ac:dyDescent="0.2">
      <c r="A5119" s="5">
        <v>5058</v>
      </c>
      <c r="B5119" s="1832">
        <f>'Revenues 9-14'!C107</f>
        <v>24455</v>
      </c>
      <c r="D5119" s="2" t="str">
        <f t="shared" ref="D5119:D5182" si="79">IF(ISBLANK(B5119),"OK",IF(A5119-B5119=0,"OK","Error?"))</f>
        <v>Error?</v>
      </c>
    </row>
    <row r="5120" spans="1:4" x14ac:dyDescent="0.2">
      <c r="A5120" s="5">
        <v>5059</v>
      </c>
      <c r="B5120" s="1832">
        <f>'Revenues 9-14'!C108</f>
        <v>155876</v>
      </c>
      <c r="C5120" s="2" t="s">
        <v>569</v>
      </c>
      <c r="D5120" s="2" t="str">
        <f t="shared" si="79"/>
        <v>Error?</v>
      </c>
    </row>
    <row r="5121" spans="1:4" x14ac:dyDescent="0.2">
      <c r="A5121" s="5">
        <v>5060</v>
      </c>
      <c r="B5121" s="1832">
        <f>'Revenues 9-14'!C109</f>
        <v>2866756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5808485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5808485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33891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33891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27225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31597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4338</v>
      </c>
      <c r="D5167" s="2" t="str">
        <f t="shared" si="79"/>
        <v>Error?</v>
      </c>
    </row>
    <row r="5168" spans="1:4" x14ac:dyDescent="0.2">
      <c r="A5168" s="5">
        <v>5107</v>
      </c>
      <c r="B5168" s="1832">
        <f>'Revenues 9-14'!C148</f>
        <v>11187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86356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5894841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210256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72922</v>
      </c>
      <c r="D5241" s="2" t="str">
        <f t="shared" si="80"/>
        <v>Error?</v>
      </c>
    </row>
    <row r="5242" spans="1:4" x14ac:dyDescent="0.2">
      <c r="A5242" s="5">
        <v>5181</v>
      </c>
      <c r="B5242" s="1832">
        <f>'Revenues 9-14'!C194</f>
        <v>244578</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539093</v>
      </c>
      <c r="C5246" s="2" t="s">
        <v>569</v>
      </c>
      <c r="D5246" s="2" t="str">
        <f t="shared" si="80"/>
        <v>Error?</v>
      </c>
    </row>
    <row r="5247" spans="1:4" x14ac:dyDescent="0.2">
      <c r="A5247" s="5">
        <v>5186</v>
      </c>
      <c r="B5247" s="1832">
        <f>'Revenues 9-14'!C200</f>
        <v>459121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459121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1018071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1018071</v>
      </c>
      <c r="C5326" s="2" t="s">
        <v>569</v>
      </c>
      <c r="D5326" s="2" t="str">
        <f t="shared" si="82"/>
        <v>Error?</v>
      </c>
    </row>
    <row r="5327" spans="1:5" x14ac:dyDescent="0.2">
      <c r="A5327" s="5">
        <v>5266</v>
      </c>
      <c r="B5327" s="1832">
        <f>'Revenues 9-14'!C268</f>
        <v>9779668</v>
      </c>
      <c r="C5327" s="2" t="s">
        <v>569</v>
      </c>
      <c r="D5327" s="2" t="str">
        <f t="shared" si="82"/>
        <v>Error?</v>
      </c>
    </row>
    <row r="5328" spans="1:5" x14ac:dyDescent="0.2">
      <c r="A5328" s="5">
        <v>5267</v>
      </c>
      <c r="B5328" s="1832">
        <f>'Revenues 9-14'!D5</f>
        <v>371088</v>
      </c>
      <c r="D5328" s="2" t="str">
        <f t="shared" si="82"/>
        <v>Error?</v>
      </c>
    </row>
    <row r="5329" spans="1:4" x14ac:dyDescent="0.2">
      <c r="A5329" s="10">
        <v>5268</v>
      </c>
      <c r="B5329" s="1832"/>
      <c r="D5329" s="2" t="str">
        <f t="shared" si="82"/>
        <v>OK</v>
      </c>
    </row>
    <row r="5330" spans="1:4" x14ac:dyDescent="0.2">
      <c r="A5330" s="5">
        <v>5269</v>
      </c>
      <c r="B5330" s="1832">
        <f>'Revenues 9-14'!D6</f>
        <v>7736</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378824</v>
      </c>
      <c r="C5334" s="2" t="s">
        <v>569</v>
      </c>
      <c r="D5334" s="2" t="str">
        <f t="shared" si="82"/>
        <v>Error?</v>
      </c>
    </row>
    <row r="5335" spans="1:4" x14ac:dyDescent="0.2">
      <c r="A5335" s="5">
        <v>5274</v>
      </c>
      <c r="B5335" s="1832">
        <f>'Revenues 9-14'!D14</f>
        <v>2065</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2065</v>
      </c>
      <c r="C5339" s="2" t="s">
        <v>569</v>
      </c>
      <c r="D5339" s="2" t="str">
        <f t="shared" si="82"/>
        <v>Error?</v>
      </c>
    </row>
    <row r="5340" spans="1:4" x14ac:dyDescent="0.2">
      <c r="A5340" s="5">
        <v>5279</v>
      </c>
      <c r="B5340" s="1832">
        <f>'Revenues 9-14'!D65</f>
        <v>4464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4464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15408</v>
      </c>
      <c r="D5354" s="2" t="str">
        <f t="shared" si="82"/>
        <v>Error?</v>
      </c>
    </row>
    <row r="5355" spans="1:4" x14ac:dyDescent="0.2">
      <c r="A5355" s="5">
        <v>5294</v>
      </c>
      <c r="B5355" s="1832">
        <f>'Revenues 9-14'!D108</f>
        <v>15408</v>
      </c>
      <c r="C5355" s="2" t="s">
        <v>569</v>
      </c>
      <c r="D5355" s="2" t="str">
        <f t="shared" si="82"/>
        <v>Error?</v>
      </c>
    </row>
    <row r="5356" spans="1:4" x14ac:dyDescent="0.2">
      <c r="A5356" s="5">
        <v>5295</v>
      </c>
      <c r="B5356" s="1832">
        <f>'Revenues 9-14'!D109</f>
        <v>400761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435636</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435636</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485636</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886397</v>
      </c>
      <c r="C5508" s="2" t="s">
        <v>569</v>
      </c>
      <c r="D5508" s="2" t="str">
        <f t="shared" si="85"/>
        <v>Error?</v>
      </c>
    </row>
    <row r="5509" spans="1:4" x14ac:dyDescent="0.2">
      <c r="A5509" s="5">
        <v>5448</v>
      </c>
      <c r="B5509" s="1832">
        <f>'Revenues 9-14'!E5</f>
        <v>687730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687730</v>
      </c>
      <c r="C5513" s="2" t="s">
        <v>569</v>
      </c>
      <c r="D5513" s="2" t="str">
        <f t="shared" si="85"/>
        <v>Error?</v>
      </c>
    </row>
    <row r="5514" spans="1:4" x14ac:dyDescent="0.2">
      <c r="A5514" s="5">
        <v>5453</v>
      </c>
      <c r="B5514" s="1832">
        <f>'Revenues 9-14'!E14</f>
        <v>3749</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3749</v>
      </c>
      <c r="C5518" s="2" t="s">
        <v>569</v>
      </c>
      <c r="D5518" s="2" t="str">
        <f t="shared" si="85"/>
        <v>Error?</v>
      </c>
    </row>
    <row r="5519" spans="1:4" x14ac:dyDescent="0.2">
      <c r="A5519" s="5">
        <v>5458</v>
      </c>
      <c r="B5519" s="1832">
        <f>'Revenues 9-14'!E65</f>
        <v>3166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3166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468186</v>
      </c>
      <c r="C5526" s="2" t="s">
        <v>569</v>
      </c>
      <c r="D5526" s="2" t="str">
        <f t="shared" si="85"/>
        <v>Error?</v>
      </c>
    </row>
    <row r="5527" spans="1:4" x14ac:dyDescent="0.2">
      <c r="A5527" s="5">
        <v>5466</v>
      </c>
      <c r="B5527" s="1832">
        <f>'Revenues 9-14'!E109</f>
        <v>1162831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1162831</v>
      </c>
      <c r="C5552" s="2" t="s">
        <v>569</v>
      </c>
      <c r="D5552" s="2" t="str">
        <f t="shared" si="85"/>
        <v>Error?</v>
      </c>
    </row>
    <row r="5553" spans="1:4" x14ac:dyDescent="0.2">
      <c r="A5553" s="5">
        <v>5492</v>
      </c>
      <c r="B5553" s="1832">
        <f>'Revenues 9-14'!F5</f>
        <v>216533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216533</v>
      </c>
      <c r="C5557" s="2" t="s">
        <v>569</v>
      </c>
      <c r="D5557" s="2" t="str">
        <f t="shared" si="85"/>
        <v>Error?</v>
      </c>
    </row>
    <row r="5558" spans="1:4" x14ac:dyDescent="0.2">
      <c r="A5558" s="5">
        <v>5497</v>
      </c>
      <c r="B5558" s="1832">
        <f>'Revenues 9-14'!F14</f>
        <v>1180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1180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4591</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4591</v>
      </c>
      <c r="C5579" s="2" t="s">
        <v>569</v>
      </c>
      <c r="D5579" s="2" t="str">
        <f t="shared" si="86"/>
        <v>Error?</v>
      </c>
    </row>
    <row r="5580" spans="1:4" x14ac:dyDescent="0.2">
      <c r="A5580" s="5">
        <v>5519</v>
      </c>
      <c r="B5580" s="1832">
        <f>'Revenues 9-14'!F65</f>
        <v>3380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3380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225684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145213</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145213</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235292</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235292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235292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380505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606189</v>
      </c>
      <c r="C5720" s="2" t="s">
        <v>569</v>
      </c>
      <c r="D5720" s="2" t="str">
        <f t="shared" si="88"/>
        <v>Error?</v>
      </c>
    </row>
    <row r="5721" spans="1:4" x14ac:dyDescent="0.2">
      <c r="A5721" s="5">
        <v>5660</v>
      </c>
      <c r="B5721" s="1832">
        <f>'Revenues 9-14'!G5</f>
        <v>98443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98443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196886</v>
      </c>
      <c r="C5725" s="2" t="s">
        <v>569</v>
      </c>
      <c r="D5725" s="2" t="str">
        <f t="shared" si="88"/>
        <v>Error?</v>
      </c>
    </row>
    <row r="5726" spans="1:4" x14ac:dyDescent="0.2">
      <c r="A5726" s="5">
        <v>5665</v>
      </c>
      <c r="B5726" s="1832">
        <f>'Revenues 9-14'!G14</f>
        <v>1074</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14872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15946</v>
      </c>
      <c r="C5730" s="2" t="s">
        <v>569</v>
      </c>
      <c r="D5730" s="2" t="str">
        <f t="shared" si="88"/>
        <v>Error?</v>
      </c>
    </row>
    <row r="5731" spans="1:4" x14ac:dyDescent="0.2">
      <c r="A5731" s="5">
        <v>5670</v>
      </c>
      <c r="B5731" s="1832">
        <f>'Revenues 9-14'!G65</f>
        <v>5436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5436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40</v>
      </c>
      <c r="D5736" s="2" t="str">
        <f t="shared" si="88"/>
        <v>Error?</v>
      </c>
    </row>
    <row r="5737" spans="1:4" x14ac:dyDescent="0.2">
      <c r="A5737" s="5">
        <v>5676</v>
      </c>
      <c r="B5737" s="1832">
        <f>'Revenues 9-14'!G108</f>
        <v>40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218308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25151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25151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65287</v>
      </c>
      <c r="D5885" s="2" t="str">
        <f t="shared" si="90"/>
        <v>Error?</v>
      </c>
    </row>
    <row r="5886" spans="1:4" x14ac:dyDescent="0.2">
      <c r="A5886" s="5">
        <v>5825</v>
      </c>
      <c r="B5886" s="1832">
        <f>'Revenues 9-14'!H108</f>
        <v>355490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380641</v>
      </c>
      <c r="C5915" s="2" t="s">
        <v>569</v>
      </c>
      <c r="D5915" s="2" t="str">
        <f t="shared" si="91"/>
        <v>Error?</v>
      </c>
    </row>
    <row r="5916" spans="1:4" x14ac:dyDescent="0.2">
      <c r="A5916" s="5">
        <v>5855</v>
      </c>
      <c r="B5916" s="1832">
        <f>'Revenues 9-14'!I5</f>
        <v>31126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31126</v>
      </c>
      <c r="C5918" s="2" t="s">
        <v>569</v>
      </c>
      <c r="D5918" s="2" t="str">
        <f t="shared" si="91"/>
        <v>Error?</v>
      </c>
    </row>
    <row r="5919" spans="1:4" x14ac:dyDescent="0.2">
      <c r="A5919" s="5">
        <v>5858</v>
      </c>
      <c r="B5919" s="1832">
        <f>'Revenues 9-14'!I14</f>
        <v>170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170</v>
      </c>
      <c r="C5923" s="2" t="s">
        <v>569</v>
      </c>
      <c r="D5923" s="2" t="str">
        <f t="shared" si="91"/>
        <v>Error?</v>
      </c>
    </row>
    <row r="5924" spans="1:4" x14ac:dyDescent="0.2">
      <c r="A5924" s="5">
        <v>5863</v>
      </c>
      <c r="B5924" s="1832">
        <f>'Revenues 9-14'!I65</f>
        <v>12031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12031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43327</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31126</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31126</v>
      </c>
      <c r="C5987" s="2" t="s">
        <v>569</v>
      </c>
      <c r="D5987" s="2" t="str">
        <f t="shared" si="92"/>
        <v>Error?</v>
      </c>
    </row>
    <row r="5988" spans="1:4" x14ac:dyDescent="0.2">
      <c r="A5988" s="5">
        <v>5927</v>
      </c>
      <c r="B5988" s="1832">
        <f>'Revenues 9-14'!K14</f>
        <v>170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170</v>
      </c>
      <c r="C5992" s="2" t="s">
        <v>569</v>
      </c>
      <c r="D5992" s="2" t="str">
        <f t="shared" si="92"/>
        <v>Error?</v>
      </c>
    </row>
    <row r="5993" spans="1:4" x14ac:dyDescent="0.2">
      <c r="A5993" s="5">
        <v>5932</v>
      </c>
      <c r="B5993" s="1832">
        <f>'Revenues 9-14'!K65</f>
        <v>426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426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31722</v>
      </c>
      <c r="C6023" s="2" t="s">
        <v>569</v>
      </c>
      <c r="D6023" s="2" t="str">
        <f t="shared" si="93"/>
        <v>Error?</v>
      </c>
    </row>
    <row r="6024" spans="1:5" x14ac:dyDescent="0.2">
      <c r="A6024" s="5">
        <v>5963</v>
      </c>
      <c r="B6024" s="1832">
        <f>'Revenues 9-14'!G109</f>
        <v>218308</v>
      </c>
      <c r="C6024" s="2" t="s">
        <v>569</v>
      </c>
      <c r="D6024" s="2" t="str">
        <f t="shared" si="93"/>
        <v>Error?</v>
      </c>
    </row>
    <row r="6025" spans="1:5" x14ac:dyDescent="0.2">
      <c r="A6025" s="5">
        <v>5964</v>
      </c>
      <c r="B6025" s="1832">
        <f>'Revenues 9-14'!H109</f>
        <v>380641</v>
      </c>
      <c r="C6025" s="2" t="s">
        <v>569</v>
      </c>
      <c r="D6025" s="2" t="str">
        <f t="shared" si="93"/>
        <v>Error?</v>
      </c>
    </row>
    <row r="6026" spans="1:5" x14ac:dyDescent="0.2">
      <c r="A6026" s="5">
        <v>5965</v>
      </c>
      <c r="B6026" s="1832">
        <f>'Revenues 9-14'!I109</f>
        <v>43327</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31722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80699</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40927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1004.4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8967</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385351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385351</v>
      </c>
      <c r="D6215" s="2" t="str">
        <f t="shared" si="96"/>
        <v>Error?</v>
      </c>
      <c r="E6215" s="2" t="s">
        <v>189</v>
      </c>
    </row>
    <row r="6216" spans="1:5" x14ac:dyDescent="0.2">
      <c r="A6216">
        <v>6155</v>
      </c>
      <c r="B6216" s="1832">
        <f>'Assets-Liab 5-6'!J41</f>
        <v>385351</v>
      </c>
      <c r="D6216" s="2" t="str">
        <f t="shared" si="96"/>
        <v>Error?</v>
      </c>
      <c r="E6216" s="2" t="s">
        <v>189</v>
      </c>
    </row>
    <row r="6217" spans="1:5" x14ac:dyDescent="0.2">
      <c r="A6217">
        <v>6156</v>
      </c>
      <c r="B6217" s="1832">
        <f>'Assets-Liab 5-6'!J4</f>
        <v>385351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160507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160507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160507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179455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179455</v>
      </c>
      <c r="D6229" s="2" t="str">
        <f t="shared" si="96"/>
        <v>Error?</v>
      </c>
      <c r="E6229" s="2" t="s">
        <v>189</v>
      </c>
    </row>
    <row r="6230" spans="1:5" x14ac:dyDescent="0.2">
      <c r="A6230">
        <v>6169</v>
      </c>
      <c r="B6230" s="1832">
        <f>'Acct Summary 7-8'!J20</f>
        <v>-18948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-18948</v>
      </c>
      <c r="D6263" s="2" t="str">
        <f t="shared" si="96"/>
        <v>Error?</v>
      </c>
      <c r="E6263" s="2" t="s">
        <v>189</v>
      </c>
    </row>
    <row r="6264" spans="1:5" x14ac:dyDescent="0.2">
      <c r="A6264">
        <v>6203</v>
      </c>
      <c r="B6264" s="1832">
        <f>'Acct Summary 7-8'!J79</f>
        <v>404299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385351</v>
      </c>
      <c r="D6266" s="2" t="str">
        <f t="shared" si="96"/>
        <v>Error?</v>
      </c>
      <c r="E6266" s="2" t="s">
        <v>189</v>
      </c>
    </row>
    <row r="6267" spans="1:5" x14ac:dyDescent="0.2">
      <c r="A6267">
        <v>6206</v>
      </c>
      <c r="B6267" s="1832">
        <f>'Acct Summary 7-8'!C82</f>
        <v>488658</v>
      </c>
      <c r="D6267" s="2" t="str">
        <f t="shared" si="96"/>
        <v>Error?</v>
      </c>
      <c r="E6267" s="2" t="s">
        <v>189</v>
      </c>
    </row>
    <row r="6268" spans="1:5" x14ac:dyDescent="0.2">
      <c r="A6268">
        <v>6207</v>
      </c>
      <c r="B6268" s="1832">
        <f>'Acct Summary 7-8'!D82</f>
        <v>290790</v>
      </c>
      <c r="D6268" s="2" t="str">
        <f t="shared" si="96"/>
        <v>Error?</v>
      </c>
      <c r="E6268" s="2" t="s">
        <v>189</v>
      </c>
    </row>
    <row r="6269" spans="1:5" x14ac:dyDescent="0.2">
      <c r="A6269">
        <v>6208</v>
      </c>
      <c r="B6269" s="1832">
        <f>'Acct Summary 7-8'!E82</f>
        <v>-117259</v>
      </c>
      <c r="D6269" s="2" t="str">
        <f t="shared" si="96"/>
        <v>Error?</v>
      </c>
      <c r="E6269" s="2" t="s">
        <v>189</v>
      </c>
    </row>
    <row r="6270" spans="1:5" x14ac:dyDescent="0.2">
      <c r="A6270">
        <v>6209</v>
      </c>
      <c r="B6270" s="1832">
        <f>'Acct Summary 7-8'!F82</f>
        <v>161445</v>
      </c>
      <c r="D6270" s="2" t="str">
        <f t="shared" si="96"/>
        <v>Error?</v>
      </c>
      <c r="E6270" s="2" t="s">
        <v>189</v>
      </c>
    </row>
    <row r="6271" spans="1:5" x14ac:dyDescent="0.2">
      <c r="A6271">
        <v>6210</v>
      </c>
      <c r="B6271" s="1832">
        <f>'Acct Summary 7-8'!G82</f>
        <v>-19322</v>
      </c>
      <c r="D6271" s="2" t="str">
        <f t="shared" ref="D6271:D6334" si="97">IF(ISBLANK(B6271),"OK",IF(A6271-B6271=0,"OK","Error?"))</f>
        <v>Error?</v>
      </c>
      <c r="E6271" s="2" t="s">
        <v>189</v>
      </c>
    </row>
    <row r="6272" spans="1:5" x14ac:dyDescent="0.2">
      <c r="A6272">
        <v>6211</v>
      </c>
      <c r="B6272" s="1832">
        <f>'Acct Summary 7-8'!H82</f>
        <v>-325715</v>
      </c>
      <c r="D6272" s="2" t="str">
        <f t="shared" si="97"/>
        <v>Error?</v>
      </c>
      <c r="E6272" s="2" t="s">
        <v>189</v>
      </c>
    </row>
    <row r="6273" spans="1:5" x14ac:dyDescent="0.2">
      <c r="A6273">
        <v>6212</v>
      </c>
      <c r="B6273" s="1832">
        <f>'Acct Summary 7-8'!I82</f>
        <v>43327</v>
      </c>
      <c r="D6273" s="2" t="str">
        <f t="shared" si="97"/>
        <v>Error?</v>
      </c>
      <c r="E6273" s="2" t="s">
        <v>189</v>
      </c>
    </row>
    <row r="6274" spans="1:5" x14ac:dyDescent="0.2">
      <c r="A6274">
        <v>6213</v>
      </c>
      <c r="B6274" s="1832">
        <f>'Acct Summary 7-8'!J82</f>
        <v>-18948</v>
      </c>
      <c r="D6274" s="2" t="str">
        <f t="shared" si="97"/>
        <v>Error?</v>
      </c>
      <c r="E6274" s="2" t="s">
        <v>189</v>
      </c>
    </row>
    <row r="6275" spans="1:5" x14ac:dyDescent="0.2">
      <c r="A6275">
        <v>6214</v>
      </c>
      <c r="B6275" s="1832">
        <f>'Acct Summary 7-8'!K82</f>
        <v>-2601</v>
      </c>
      <c r="D6275" s="2" t="str">
        <f t="shared" si="97"/>
        <v>Error?</v>
      </c>
      <c r="E6275" s="2" t="s">
        <v>189</v>
      </c>
    </row>
    <row r="6276" spans="1:5" x14ac:dyDescent="0.2">
      <c r="A6276">
        <v>6215</v>
      </c>
      <c r="B6276" s="1832">
        <f>'Acct Summary 7-8'!C83</f>
        <v>0.24069878098518149</v>
      </c>
      <c r="D6276" s="2" t="str">
        <f t="shared" si="97"/>
        <v>Error?</v>
      </c>
      <c r="E6276" s="2" t="s">
        <v>189</v>
      </c>
    </row>
    <row r="6277" spans="1:5" x14ac:dyDescent="0.2">
      <c r="A6277">
        <v>6216</v>
      </c>
      <c r="B6277" s="1832">
        <f>'Acct Summary 7-8'!D83</f>
        <v>0.47607977066180313</v>
      </c>
      <c r="D6277" s="2" t="str">
        <f t="shared" si="97"/>
        <v>Error?</v>
      </c>
      <c r="E6277" s="2" t="s">
        <v>189</v>
      </c>
    </row>
    <row r="6278" spans="1:5" x14ac:dyDescent="0.2">
      <c r="A6278">
        <v>6217</v>
      </c>
      <c r="B6278" s="1832">
        <f>'Acct Summary 7-8'!E83</f>
        <v>-0.68470809440947367</v>
      </c>
      <c r="D6278" s="2" t="str">
        <f t="shared" si="97"/>
        <v>Error?</v>
      </c>
      <c r="E6278" s="2" t="s">
        <v>189</v>
      </c>
    </row>
    <row r="6279" spans="1:5" x14ac:dyDescent="0.2">
      <c r="A6279">
        <v>6218</v>
      </c>
      <c r="B6279" s="1832">
        <f>'Acct Summary 7-8'!F83</f>
        <v>0.3987418680813859</v>
      </c>
      <c r="D6279" s="2" t="str">
        <f t="shared" si="97"/>
        <v>Error?</v>
      </c>
      <c r="E6279" s="2" t="s">
        <v>189</v>
      </c>
    </row>
    <row r="6280" spans="1:5" x14ac:dyDescent="0.2">
      <c r="A6280">
        <v>6219</v>
      </c>
      <c r="B6280" s="1832">
        <f>'Acct Summary 7-8'!G83</f>
        <v>-4.3647978892106677E-2</v>
      </c>
      <c r="D6280" s="2" t="str">
        <f t="shared" si="97"/>
        <v>Error?</v>
      </c>
      <c r="E6280" s="2" t="s">
        <v>189</v>
      </c>
    </row>
    <row r="6281" spans="1:5" x14ac:dyDescent="0.2">
      <c r="A6281">
        <v>6220</v>
      </c>
      <c r="B6281" s="1832">
        <f>'Acct Summary 7-8'!H83</f>
        <v>-0.16355859391280725</v>
      </c>
      <c r="D6281" s="2" t="str">
        <f t="shared" si="97"/>
        <v>Error?</v>
      </c>
      <c r="E6281" s="2" t="s">
        <v>189</v>
      </c>
    </row>
    <row r="6282" spans="1:5" x14ac:dyDescent="0.2">
      <c r="A6282">
        <v>6221</v>
      </c>
      <c r="B6282" s="1832">
        <f>'Acct Summary 7-8'!I83</f>
        <v>3.8075511260427991E-2</v>
      </c>
      <c r="D6282" s="2" t="str">
        <f t="shared" si="97"/>
        <v>Error?</v>
      </c>
      <c r="E6282" s="2" t="s">
        <v>189</v>
      </c>
    </row>
    <row r="6283" spans="1:5" x14ac:dyDescent="0.2">
      <c r="A6283">
        <v>6222</v>
      </c>
      <c r="B6283" s="1832">
        <f>'Acct Summary 7-8'!J83</f>
        <v>-4.9170756012051349E-2</v>
      </c>
      <c r="D6283" s="2" t="str">
        <f t="shared" si="97"/>
        <v>Error?</v>
      </c>
      <c r="E6283" s="2" t="s">
        <v>189</v>
      </c>
    </row>
    <row r="6284" spans="1:5" x14ac:dyDescent="0.2">
      <c r="A6284">
        <v>6223</v>
      </c>
      <c r="B6284" s="1832">
        <f>'Acct Summary 7-8'!K83</f>
        <v>-8.9353808100587448E-2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155664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155664</v>
      </c>
      <c r="D6301" s="2" t="str">
        <f t="shared" si="97"/>
        <v>Error?</v>
      </c>
      <c r="E6301" s="2" t="s">
        <v>189</v>
      </c>
    </row>
    <row r="6302" spans="1:5" x14ac:dyDescent="0.2">
      <c r="A6302">
        <v>6241</v>
      </c>
      <c r="B6302" s="1832">
        <f>'Revenues 9-14'!J14</f>
        <v>849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849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3994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3994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106074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10620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160507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4372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89575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5640</v>
      </c>
      <c r="D6991" s="2" t="str">
        <f t="shared" si="108"/>
        <v>Error?</v>
      </c>
    </row>
    <row r="6992" spans="1:4" x14ac:dyDescent="0.2">
      <c r="A6992">
        <v>6931</v>
      </c>
      <c r="B6992" s="1832">
        <f>'Expenditures 15-22'!K90</f>
        <v>5640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5640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179455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160507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945</v>
      </c>
      <c r="D7079" s="2" t="str">
        <f t="shared" si="109"/>
        <v>Error?</v>
      </c>
    </row>
    <row r="7080" spans="1:4" x14ac:dyDescent="0.2">
      <c r="A7080">
        <v>7019</v>
      </c>
      <c r="B7080" s="1832">
        <f>'Expenditures 15-22'!K226</f>
        <v>945</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130542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130542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48913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48913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179455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179455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179455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179455</v>
      </c>
      <c r="D7224" s="2" t="str">
        <f t="shared" si="111"/>
        <v>Error?</v>
      </c>
    </row>
    <row r="7225" spans="1:4" x14ac:dyDescent="0.2">
      <c r="A7225">
        <v>7164</v>
      </c>
      <c r="B7225" s="1832">
        <f>'Expenditures 15-22'!K343</f>
        <v>-18948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66537</v>
      </c>
      <c r="D7263" s="2" t="str">
        <f t="shared" si="112"/>
        <v>Error?</v>
      </c>
    </row>
    <row r="7264" spans="1:4" x14ac:dyDescent="0.2">
      <c r="A7264">
        <f t="shared" si="113"/>
        <v>7203</v>
      </c>
      <c r="B7264" s="1832">
        <f>'Expenditures 15-22'!D17</f>
        <v>17721</v>
      </c>
      <c r="D7264" s="2" t="str">
        <f t="shared" si="112"/>
        <v>Error?</v>
      </c>
    </row>
    <row r="7265" spans="1:5" x14ac:dyDescent="0.2">
      <c r="A7265">
        <f t="shared" si="113"/>
        <v>7204</v>
      </c>
      <c r="B7265" s="1832">
        <f>'Expenditures 15-22'!E17</f>
        <v>4645</v>
      </c>
      <c r="D7265" s="2" t="str">
        <f t="shared" si="112"/>
        <v>Error?</v>
      </c>
    </row>
    <row r="7266" spans="1:5" x14ac:dyDescent="0.2">
      <c r="A7266">
        <f t="shared" si="113"/>
        <v>7205</v>
      </c>
      <c r="B7266" s="1832">
        <f>'Expenditures 15-22'!F17</f>
        <v>652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20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931533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11187</v>
      </c>
      <c r="D7712" s="2" t="str">
        <f t="shared" si="126"/>
        <v>Error?</v>
      </c>
      <c r="E7712" s="2" t="s">
        <v>822</v>
      </c>
    </row>
    <row r="7713" spans="1:6" x14ac:dyDescent="0.2">
      <c r="A7713">
        <v>7652</v>
      </c>
      <c r="B7713" s="1832">
        <f>'Rest Tax Levies-Tort Im 25'!J8</f>
        <v>758389</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758389</v>
      </c>
      <c r="D7718" s="2" t="str">
        <f t="shared" si="126"/>
        <v>Error?</v>
      </c>
      <c r="E7718" s="2" t="s">
        <v>822</v>
      </c>
    </row>
    <row r="7719" spans="1:6" x14ac:dyDescent="0.2">
      <c r="A7719">
        <v>7658</v>
      </c>
      <c r="B7719" s="1832">
        <f>'Rest Tax Levies-Tort Im 25'!K12</f>
        <v>11187</v>
      </c>
      <c r="D7719" s="2" t="str">
        <f t="shared" si="126"/>
        <v>Error?</v>
      </c>
      <c r="E7719" s="2" t="s">
        <v>822</v>
      </c>
    </row>
    <row r="7720" spans="1:6" x14ac:dyDescent="0.2">
      <c r="A7720">
        <v>7659</v>
      </c>
      <c r="B7720" s="1832">
        <f>'Rest Tax Levies-Tort Im 25'!H14</f>
        <v>31126</v>
      </c>
      <c r="D7720" s="2" t="str">
        <f t="shared" si="126"/>
        <v>Error?</v>
      </c>
      <c r="E7720" s="2" t="s">
        <v>822</v>
      </c>
    </row>
    <row r="7721" spans="1:6" x14ac:dyDescent="0.2">
      <c r="A7721">
        <v>7660</v>
      </c>
      <c r="B7721" s="1832">
        <f>'Rest Tax Levies-Tort Im 25'!K14</f>
        <v>11187</v>
      </c>
      <c r="D7721" s="2" t="str">
        <f t="shared" si="126"/>
        <v>Error?</v>
      </c>
      <c r="E7721" s="2" t="s">
        <v>822</v>
      </c>
    </row>
    <row r="7722" spans="1:6" x14ac:dyDescent="0.2">
      <c r="A7722">
        <v>7661</v>
      </c>
      <c r="B7722" s="1832">
        <f>'Rest Tax Levies-Tort Im 25'!J15</f>
        <v>706356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52033</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52033</v>
      </c>
      <c r="D7727" s="2" t="str">
        <f t="shared" si="126"/>
        <v>Error?</v>
      </c>
      <c r="E7727" s="2" t="s">
        <v>822</v>
      </c>
    </row>
    <row r="7728" spans="1:6" x14ac:dyDescent="0.2">
      <c r="A7728">
        <v>7667</v>
      </c>
      <c r="B7728" s="1832">
        <f>'Revenues 9-14'!E103</f>
        <v>468186</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758389</v>
      </c>
      <c r="D7730" s="2" t="str">
        <f t="shared" si="126"/>
        <v>Error?</v>
      </c>
      <c r="E7730" s="2" t="s">
        <v>822</v>
      </c>
    </row>
    <row r="7731" spans="1:6" x14ac:dyDescent="0.2">
      <c r="A7731">
        <v>7670</v>
      </c>
      <c r="B7731" s="1832">
        <f>'Revenues 9-14'!H103</f>
        <v>290203</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11187</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11196960</v>
      </c>
      <c r="D7817" s="2" t="str">
        <f t="shared" si="128"/>
        <v>Error?</v>
      </c>
      <c r="E7817" s="4" t="s">
        <v>1965</v>
      </c>
    </row>
    <row r="7818" spans="1:5" x14ac:dyDescent="0.2">
      <c r="A7818">
        <v>7757</v>
      </c>
      <c r="B7818" s="1832">
        <f>'PCTC-OEPP 27-28'!F172</f>
        <v>237348</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-468693</v>
      </c>
      <c r="D7820" s="2" t="str">
        <f t="shared" si="128"/>
        <v>Error?</v>
      </c>
    </row>
    <row r="7821" spans="1:5" x14ac:dyDescent="0.2">
      <c r="A7821">
        <v>7760</v>
      </c>
      <c r="B7821" s="1832">
        <f>'ICR Computation 30'!G40</f>
        <v>-468693</v>
      </c>
      <c r="D7821" s="2" t="str">
        <f t="shared" si="128"/>
        <v>Error?</v>
      </c>
    </row>
    <row r="7822" spans="1:5" x14ac:dyDescent="0.2">
      <c r="A7822" s="1">
        <v>7761</v>
      </c>
      <c r="B7822" s="1832">
        <f>'PCTC-OEPP 27-28'!F14</f>
        <v>12291067</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285207</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2799385</v>
      </c>
      <c r="D7834" s="2" t="str">
        <f t="shared" si="129"/>
        <v>Error?</v>
      </c>
      <c r="E7834" s="4" t="s">
        <v>1997</v>
      </c>
    </row>
    <row r="7835" spans="1:5" x14ac:dyDescent="0.2">
      <c r="A7835">
        <v>7774</v>
      </c>
      <c r="B7835" s="1832">
        <f>'PCTC-OEPP 27-28'!F78</f>
        <v>9491682</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9450.1015531660687</v>
      </c>
      <c r="D7837" s="2" t="str">
        <f t="shared" si="129"/>
        <v>Error?</v>
      </c>
      <c r="E7837" s="4" t="s">
        <v>1997</v>
      </c>
    </row>
    <row r="7838" spans="1:5" x14ac:dyDescent="0.2">
      <c r="A7838">
        <v>7777</v>
      </c>
      <c r="B7838" s="1832">
        <f>'PCTC-OEPP 27-28'!F96</f>
        <v>307456</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33891</v>
      </c>
      <c r="D7842" s="2" t="str">
        <f t="shared" si="129"/>
        <v>Error?</v>
      </c>
      <c r="E7842" s="4" t="s">
        <v>1997</v>
      </c>
    </row>
    <row r="7843" spans="1:5" x14ac:dyDescent="0.2">
      <c r="A7843">
        <v>7782</v>
      </c>
      <c r="B7843" s="1832">
        <f>'PCTC-OEPP 27-28'!F107</f>
        <v>31597</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11187</v>
      </c>
      <c r="D7846" s="2" t="str">
        <f t="shared" si="129"/>
        <v>Error?</v>
      </c>
      <c r="E7846" s="4" t="s">
        <v>1997</v>
      </c>
    </row>
    <row r="7847" spans="1:5" x14ac:dyDescent="0.2">
      <c r="A7847">
        <v>7786</v>
      </c>
      <c r="B7847" s="1832">
        <f>'PCTC-OEPP 27-28'!F112</f>
        <v>235292</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5343</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539093</v>
      </c>
      <c r="D7858" s="2" t="str">
        <f t="shared" si="129"/>
        <v>Error?</v>
      </c>
      <c r="E7858" s="4" t="s">
        <v>1997</v>
      </c>
    </row>
    <row r="7859" spans="1:5" x14ac:dyDescent="0.2">
      <c r="A7859">
        <v>7798</v>
      </c>
      <c r="B7859" s="1832">
        <f>'PCTC-OEPP 27-28'!F127</f>
        <v>459121</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0</v>
      </c>
      <c r="D7861" s="2" t="str">
        <f t="shared" si="129"/>
        <v>Error?</v>
      </c>
      <c r="E7861" s="4" t="s">
        <v>1997</v>
      </c>
    </row>
    <row r="7862" spans="1:5" x14ac:dyDescent="0.2">
      <c r="A7862">
        <v>7801</v>
      </c>
      <c r="B7862" s="1832">
        <f>'PCTC-OEPP 27-28'!F130</f>
        <v>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13284</v>
      </c>
      <c r="D7874" s="2" t="str">
        <f t="shared" si="129"/>
        <v>Error?</v>
      </c>
      <c r="E7874" s="4" t="s">
        <v>1997</v>
      </c>
    </row>
    <row r="7875" spans="1:5" x14ac:dyDescent="0.2">
      <c r="A7875">
        <v>7814</v>
      </c>
      <c r="B7875" s="1832">
        <f>'PCTC-OEPP 27-28'!F170</f>
        <v>6573</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2123137</v>
      </c>
      <c r="D7877" s="2" t="str">
        <f t="shared" si="129"/>
        <v>Error?</v>
      </c>
      <c r="E7877" s="4" t="s">
        <v>1997</v>
      </c>
    </row>
    <row r="7878" spans="1:5" x14ac:dyDescent="0.2">
      <c r="A7878">
        <v>7817</v>
      </c>
      <c r="B7878" s="1832">
        <f>'PCTC-OEPP 27-28'!F176</f>
        <v>7368545</v>
      </c>
      <c r="D7878" s="2" t="str">
        <f t="shared" si="129"/>
        <v>Error?</v>
      </c>
      <c r="E7878" s="4" t="s">
        <v>1997</v>
      </c>
    </row>
    <row r="7879" spans="1:5" x14ac:dyDescent="0.2">
      <c r="A7879">
        <v>7818</v>
      </c>
      <c r="B7879" s="1832">
        <f>'PCTC-OEPP 27-28'!F178</f>
        <v>8300078</v>
      </c>
      <c r="D7879" s="2" t="str">
        <f t="shared" si="129"/>
        <v>Error?</v>
      </c>
      <c r="E7879" s="4" t="s">
        <v>1997</v>
      </c>
    </row>
    <row r="7880" spans="1:5" x14ac:dyDescent="0.2">
      <c r="A7880">
        <v>7819</v>
      </c>
      <c r="B7880" s="1832">
        <f>'PCTC-OEPP 27-28'!F180</f>
        <v>8263.7176423735564</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7" zoomScale="110" zoomScaleNormal="110" workbookViewId="0">
      <selection activeCell="A42" sqref="A42:C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Johnston City CUSD 1</v>
      </c>
      <c r="B7" s="2537"/>
      <c r="C7" s="2537"/>
      <c r="D7" s="2538"/>
      <c r="E7" s="2539">
        <f>COVER!A13</f>
        <v>21100001026</v>
      </c>
      <c r="F7" s="2540"/>
      <c r="G7" s="2546" t="str">
        <f>COVER!T23</f>
        <v>065-022629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Cindy A. Bobell, CPA</v>
      </c>
      <c r="H9" s="2552"/>
      <c r="I9" s="2552"/>
      <c r="J9" s="2552"/>
      <c r="K9" s="2552"/>
      <c r="L9" s="2553"/>
    </row>
    <row r="10" spans="1:29" ht="13.5" customHeight="1" x14ac:dyDescent="0.2">
      <c r="A10" s="2525" t="str">
        <f>COVER!A38</f>
        <v>Mrs. Kathy Clark</v>
      </c>
      <c r="B10" s="2526"/>
      <c r="C10" s="2526"/>
      <c r="D10" s="2526"/>
      <c r="E10" s="2526"/>
      <c r="F10" s="2527"/>
      <c r="G10" s="2519" t="str">
        <f>COVER!T17</f>
        <v>10653 Khoury League Road</v>
      </c>
      <c r="H10" s="2520"/>
      <c r="I10" s="2520"/>
      <c r="J10" s="2520"/>
      <c r="K10" s="2520"/>
      <c r="L10" s="2521"/>
    </row>
    <row r="11" spans="1:29" ht="13.5" customHeight="1" x14ac:dyDescent="0.2">
      <c r="A11" s="963" t="s">
        <v>1502</v>
      </c>
      <c r="B11" s="964"/>
      <c r="C11" s="965"/>
      <c r="D11" s="970"/>
      <c r="E11" s="965"/>
      <c r="F11" s="969"/>
      <c r="G11" s="2519" t="str">
        <f>COVER!T19</f>
        <v>Marion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cabcpa@frontier.com</v>
      </c>
      <c r="J13" s="2532"/>
      <c r="K13" s="2532"/>
      <c r="L13" s="2533"/>
    </row>
    <row r="14" spans="1:29" ht="13.5" customHeight="1" x14ac:dyDescent="0.2">
      <c r="A14" s="2519" t="str">
        <f>COVER!A19</f>
        <v>200 East 12th Street</v>
      </c>
      <c r="B14" s="2520"/>
      <c r="C14" s="2520"/>
      <c r="D14" s="2520"/>
      <c r="E14" s="2520"/>
      <c r="F14" s="2521"/>
      <c r="G14" s="974" t="s">
        <v>1175</v>
      </c>
      <c r="H14" s="972"/>
      <c r="I14" s="972"/>
      <c r="J14" s="972"/>
      <c r="K14" s="972"/>
      <c r="L14" s="973"/>
    </row>
    <row r="15" spans="1:29" ht="13.5" customHeight="1" x14ac:dyDescent="0.2">
      <c r="A15" s="2519" t="str">
        <f>COVER!A21</f>
        <v>Johnston City</v>
      </c>
      <c r="B15" s="2520"/>
      <c r="C15" s="2520"/>
      <c r="D15" s="2520"/>
      <c r="E15" s="2520"/>
      <c r="F15" s="2521"/>
      <c r="G15" s="2516" t="str">
        <f>COVER!T15</f>
        <v>Cindy A. Bobell, CPA</v>
      </c>
      <c r="H15" s="2517"/>
      <c r="I15" s="2517"/>
      <c r="J15" s="2517"/>
      <c r="K15" s="2517"/>
      <c r="L15" s="2518"/>
    </row>
    <row r="16" spans="1:29" ht="12.2" customHeight="1" x14ac:dyDescent="0.2">
      <c r="A16" s="2542">
        <f>COVER!A25</f>
        <v>62951</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618-997-9711</v>
      </c>
      <c r="H18" s="2537"/>
      <c r="I18" s="2537"/>
      <c r="J18" s="2537"/>
      <c r="K18" s="2536" t="str">
        <f>COVER!X21</f>
        <v>618-997-8014</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2050</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2050</v>
      </c>
      <c r="C26" s="981" t="s">
        <v>1677</v>
      </c>
    </row>
    <row r="27" spans="1:13" s="977" customFormat="1" ht="9" customHeight="1" x14ac:dyDescent="0.2">
      <c r="B27" s="982"/>
      <c r="C27" s="981"/>
    </row>
    <row r="28" spans="1:13" s="977" customFormat="1" ht="12.2" customHeight="1" x14ac:dyDescent="0.2">
      <c r="A28" s="984"/>
      <c r="B28" s="980" t="s">
        <v>2050</v>
      </c>
      <c r="C28" s="981" t="s">
        <v>1678</v>
      </c>
    </row>
    <row r="29" spans="1:13" s="977" customFormat="1" ht="9" customHeight="1" x14ac:dyDescent="0.2">
      <c r="A29" s="984"/>
      <c r="B29" s="982"/>
      <c r="C29" s="981"/>
    </row>
    <row r="30" spans="1:13" s="977" customFormat="1" ht="12.2" customHeight="1" x14ac:dyDescent="0.2">
      <c r="B30" s="980" t="s">
        <v>2050</v>
      </c>
      <c r="C30" s="981" t="s">
        <v>1545</v>
      </c>
      <c r="D30" s="975"/>
      <c r="E30" s="975"/>
    </row>
    <row r="31" spans="1:13" s="977" customFormat="1" ht="9" customHeight="1" x14ac:dyDescent="0.2">
      <c r="B31" s="982"/>
      <c r="C31" s="981"/>
      <c r="D31" s="975"/>
      <c r="E31" s="975"/>
    </row>
    <row r="32" spans="1:13" s="977" customFormat="1" ht="12.2" customHeight="1" x14ac:dyDescent="0.2">
      <c r="B32" s="980" t="s">
        <v>2050</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2050</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2050</v>
      </c>
      <c r="C38" s="981" t="s">
        <v>1549</v>
      </c>
    </row>
    <row r="39" spans="1:8" ht="9" customHeight="1" x14ac:dyDescent="0.2">
      <c r="B39" s="982"/>
      <c r="C39" s="985"/>
    </row>
    <row r="40" spans="1:8" s="977" customFormat="1" ht="13.5" customHeight="1" x14ac:dyDescent="0.2">
      <c r="B40" s="980" t="s">
        <v>2050</v>
      </c>
      <c r="C40" s="981" t="s">
        <v>1550</v>
      </c>
    </row>
    <row r="41" spans="1:8" ht="9" customHeight="1" x14ac:dyDescent="0.2">
      <c r="A41" s="986"/>
      <c r="B41" s="982"/>
      <c r="C41" s="985"/>
    </row>
    <row r="42" spans="1:8" s="977" customFormat="1" ht="13.5" customHeight="1" x14ac:dyDescent="0.2">
      <c r="B42" s="980" t="s">
        <v>2050</v>
      </c>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oddFooter>&amp;R
C - i</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42" sqref="A42:C4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Johnston City CUSD 1</v>
      </c>
      <c r="B1" s="2559"/>
      <c r="C1" s="2559"/>
      <c r="D1" s="2559"/>
    </row>
    <row r="2" spans="1:11" s="991" customFormat="1" ht="12.75" x14ac:dyDescent="0.2">
      <c r="A2" s="2560">
        <f>'Single Audit Cover'!E7</f>
        <v>21100001026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23" zoomScale="110" zoomScaleNormal="110" zoomScaleSheetLayoutView="100" workbookViewId="0">
      <selection activeCell="A42" sqref="A42:C4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Johnston City CUSD 1</v>
      </c>
      <c r="B1" s="2563"/>
      <c r="C1" s="2563"/>
      <c r="D1" s="2563"/>
      <c r="E1" s="2563"/>
    </row>
    <row r="2" spans="1:5" x14ac:dyDescent="0.2">
      <c r="A2" s="2564">
        <f>'Single Audit Cover'!E7</f>
        <v>21100001026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1018071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40927</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-6573</v>
      </c>
    </row>
    <row r="19" spans="1:4" ht="13.5" thickBot="1" x14ac:dyDescent="0.25">
      <c r="A19" s="1041" t="s">
        <v>1224</v>
      </c>
      <c r="D19" s="1042">
        <f>SUM(D10:D17)</f>
        <v>1052425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1052425</v>
      </c>
    </row>
    <row r="33" spans="1:4" x14ac:dyDescent="0.2">
      <c r="D33" s="1045"/>
    </row>
    <row r="34" spans="1:4" x14ac:dyDescent="0.2">
      <c r="A34" s="295" t="s">
        <v>1221</v>
      </c>
    </row>
    <row r="35" spans="1:4" x14ac:dyDescent="0.2">
      <c r="A35" s="295" t="s">
        <v>1220</v>
      </c>
      <c r="B35" s="1034" t="s">
        <v>1219</v>
      </c>
      <c r="D35" s="1046">
        <v>1052425</v>
      </c>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1052425</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oddFooter>&amp;R
C - 6</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A42" sqref="A42:C4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Johnston City CUSD 1</v>
      </c>
      <c r="C1" s="2567"/>
      <c r="D1" s="2567"/>
      <c r="E1" s="2567"/>
      <c r="F1" s="2567"/>
      <c r="G1" s="2567"/>
      <c r="H1" s="2567"/>
      <c r="I1" s="2567"/>
      <c r="J1" s="2567"/>
      <c r="K1" s="2567"/>
      <c r="L1" s="2567"/>
      <c r="M1" s="2567"/>
    </row>
    <row r="2" spans="2:14" ht="15" x14ac:dyDescent="0.2">
      <c r="B2" s="2568">
        <f>'Single Audit Cover'!E7</f>
        <v>21100001026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2070</v>
      </c>
      <c r="C11" s="1821"/>
      <c r="D11" s="1822"/>
      <c r="E11" s="1823"/>
      <c r="F11" s="1823"/>
      <c r="G11" s="1823"/>
      <c r="H11" s="1823"/>
      <c r="I11" s="1823"/>
      <c r="J11" s="1823"/>
      <c r="K11" s="1823"/>
      <c r="L11" s="1823">
        <f>+G11+I11+K11</f>
        <v>0</v>
      </c>
      <c r="M11" s="1823"/>
    </row>
    <row r="12" spans="2:14" ht="20.100000000000001" customHeight="1" x14ac:dyDescent="0.2">
      <c r="B12" s="1113" t="s">
        <v>2086</v>
      </c>
      <c r="C12" s="1824">
        <v>10.555</v>
      </c>
      <c r="D12" s="1825" t="s">
        <v>2073</v>
      </c>
      <c r="E12" s="1826">
        <v>235948</v>
      </c>
      <c r="F12" s="1826">
        <v>53991</v>
      </c>
      <c r="G12" s="1826">
        <v>235948</v>
      </c>
      <c r="H12" s="1826"/>
      <c r="I12" s="1826">
        <v>53991</v>
      </c>
      <c r="J12" s="1826"/>
      <c r="K12" s="1826"/>
      <c r="L12" s="1823">
        <f t="shared" ref="L12:L27" si="0">+G12+I12+K12</f>
        <v>289939</v>
      </c>
      <c r="M12" s="1826"/>
    </row>
    <row r="13" spans="2:14" ht="20.100000000000001" customHeight="1" x14ac:dyDescent="0.2">
      <c r="B13" s="1113" t="s">
        <v>2087</v>
      </c>
      <c r="C13" s="1824">
        <v>10.555</v>
      </c>
      <c r="D13" s="1825" t="s">
        <v>2074</v>
      </c>
      <c r="E13" s="1826"/>
      <c r="F13" s="1826">
        <v>156265</v>
      </c>
      <c r="G13" s="1826"/>
      <c r="H13" s="1826"/>
      <c r="I13" s="1826">
        <v>156265</v>
      </c>
      <c r="J13" s="1826"/>
      <c r="K13" s="1826"/>
      <c r="L13" s="1823">
        <f t="shared" si="0"/>
        <v>156265</v>
      </c>
      <c r="M13" s="1826"/>
    </row>
    <row r="14" spans="2:14" ht="20.100000000000001" customHeight="1" x14ac:dyDescent="0.2">
      <c r="B14" s="1113" t="s">
        <v>2088</v>
      </c>
      <c r="C14" s="1824">
        <v>10.555</v>
      </c>
      <c r="D14" s="1825"/>
      <c r="E14" s="1826"/>
      <c r="F14" s="1826">
        <v>32731</v>
      </c>
      <c r="G14" s="1826"/>
      <c r="H14" s="1826"/>
      <c r="I14" s="1826">
        <v>32731</v>
      </c>
      <c r="J14" s="1826"/>
      <c r="K14" s="1826"/>
      <c r="L14" s="1823">
        <f t="shared" si="0"/>
        <v>32731</v>
      </c>
      <c r="M14" s="1826"/>
    </row>
    <row r="15" spans="2:14" ht="20.100000000000001" customHeight="1" x14ac:dyDescent="0.2">
      <c r="B15" s="1113" t="s">
        <v>2089</v>
      </c>
      <c r="C15" s="1824">
        <v>10.555</v>
      </c>
      <c r="D15" s="1825"/>
      <c r="E15" s="1826"/>
      <c r="F15" s="1826">
        <v>8196</v>
      </c>
      <c r="G15" s="1826"/>
      <c r="H15" s="1826"/>
      <c r="I15" s="1826">
        <v>8196</v>
      </c>
      <c r="J15" s="1826"/>
      <c r="K15" s="1826"/>
      <c r="L15" s="1823">
        <f t="shared" si="0"/>
        <v>8196</v>
      </c>
      <c r="M15" s="1826"/>
    </row>
    <row r="16" spans="2:14" ht="20.100000000000001" customHeight="1" x14ac:dyDescent="0.2">
      <c r="B16" s="1113" t="s">
        <v>2078</v>
      </c>
      <c r="C16" s="1824"/>
      <c r="D16" s="1825"/>
      <c r="E16" s="1826">
        <v>235948</v>
      </c>
      <c r="F16" s="1826">
        <v>251183</v>
      </c>
      <c r="G16" s="1826">
        <v>235948</v>
      </c>
      <c r="H16" s="1826"/>
      <c r="I16" s="1826">
        <v>251183</v>
      </c>
      <c r="J16" s="1826"/>
      <c r="K16" s="1826"/>
      <c r="L16" s="1823">
        <f t="shared" si="0"/>
        <v>487131</v>
      </c>
      <c r="M16" s="1826"/>
    </row>
    <row r="17" spans="2:14" ht="20.100000000000001" customHeight="1" x14ac:dyDescent="0.2">
      <c r="B17" s="1113" t="s">
        <v>2090</v>
      </c>
      <c r="C17" s="1824">
        <v>10.553000000000001</v>
      </c>
      <c r="D17" s="1825" t="s">
        <v>2075</v>
      </c>
      <c r="E17" s="1826">
        <v>79468</v>
      </c>
      <c r="F17" s="1826">
        <v>18281</v>
      </c>
      <c r="G17" s="1826">
        <v>79468</v>
      </c>
      <c r="H17" s="1826"/>
      <c r="I17" s="1826">
        <v>18281</v>
      </c>
      <c r="J17" s="1826"/>
      <c r="K17" s="1826"/>
      <c r="L17" s="1823">
        <f t="shared" si="0"/>
        <v>97749</v>
      </c>
      <c r="M17" s="1826"/>
    </row>
    <row r="18" spans="2:14" ht="20.100000000000001" customHeight="1" x14ac:dyDescent="0.2">
      <c r="B18" s="1113" t="s">
        <v>2090</v>
      </c>
      <c r="C18" s="1824">
        <v>10.553000000000001</v>
      </c>
      <c r="D18" s="1825" t="s">
        <v>2076</v>
      </c>
      <c r="E18" s="1826"/>
      <c r="F18" s="1826">
        <v>54641</v>
      </c>
      <c r="G18" s="1826"/>
      <c r="H18" s="1826"/>
      <c r="I18" s="1826">
        <v>54641</v>
      </c>
      <c r="J18" s="1826"/>
      <c r="K18" s="1826"/>
      <c r="L18" s="1823">
        <f t="shared" si="0"/>
        <v>54641</v>
      </c>
      <c r="M18" s="1826"/>
    </row>
    <row r="19" spans="2:14" ht="20.100000000000001" customHeight="1" x14ac:dyDescent="0.2">
      <c r="B19" s="1113" t="s">
        <v>2077</v>
      </c>
      <c r="C19" s="1824"/>
      <c r="D19" s="1825"/>
      <c r="E19" s="1826">
        <v>79468</v>
      </c>
      <c r="F19" s="1826">
        <v>72922</v>
      </c>
      <c r="G19" s="1826">
        <v>79468</v>
      </c>
      <c r="H19" s="1826"/>
      <c r="I19" s="1826">
        <v>72922</v>
      </c>
      <c r="J19" s="1826"/>
      <c r="K19" s="1826"/>
      <c r="L19" s="1823">
        <f t="shared" si="0"/>
        <v>152390</v>
      </c>
      <c r="M19" s="1826"/>
    </row>
    <row r="20" spans="2:14" ht="20.100000000000001" customHeight="1" x14ac:dyDescent="0.2">
      <c r="B20" s="1113" t="s">
        <v>2091</v>
      </c>
      <c r="C20" s="1824">
        <v>10.558999999999999</v>
      </c>
      <c r="D20" s="1825" t="s">
        <v>2084</v>
      </c>
      <c r="E20" s="1826"/>
      <c r="F20" s="1826">
        <v>244578</v>
      </c>
      <c r="G20" s="1826"/>
      <c r="H20" s="1826"/>
      <c r="I20" s="1826">
        <v>244578</v>
      </c>
      <c r="J20" s="1826"/>
      <c r="K20" s="1826"/>
      <c r="L20" s="1823">
        <f t="shared" si="0"/>
        <v>244578</v>
      </c>
      <c r="M20" s="1826"/>
    </row>
    <row r="21" spans="2:14" ht="20.100000000000001" customHeight="1" x14ac:dyDescent="0.2">
      <c r="B21" s="1113" t="s">
        <v>2079</v>
      </c>
      <c r="C21" s="1824"/>
      <c r="D21" s="1825"/>
      <c r="E21" s="1826">
        <v>315416</v>
      </c>
      <c r="F21" s="1826">
        <v>568683</v>
      </c>
      <c r="G21" s="1826">
        <v>315416</v>
      </c>
      <c r="H21" s="1826"/>
      <c r="I21" s="1826">
        <v>568683</v>
      </c>
      <c r="J21" s="1826"/>
      <c r="K21" s="1826"/>
      <c r="L21" s="1823">
        <f t="shared" si="0"/>
        <v>884099</v>
      </c>
      <c r="M21" s="1826"/>
    </row>
    <row r="22" spans="2:14" ht="20.100000000000001" customHeight="1" x14ac:dyDescent="0.2">
      <c r="B22" s="1113" t="s">
        <v>2080</v>
      </c>
      <c r="C22" s="1824">
        <v>10.579000000000001</v>
      </c>
      <c r="D22" s="1825" t="s">
        <v>2083</v>
      </c>
      <c r="E22" s="1826"/>
      <c r="F22" s="1826">
        <v>11337</v>
      </c>
      <c r="G22" s="1826"/>
      <c r="H22" s="1826"/>
      <c r="I22" s="1826">
        <v>11012</v>
      </c>
      <c r="J22" s="1826"/>
      <c r="K22" s="1826"/>
      <c r="L22" s="1823">
        <f t="shared" si="0"/>
        <v>11012</v>
      </c>
      <c r="M22" s="1826"/>
    </row>
    <row r="23" spans="2:14" ht="20.100000000000001" customHeight="1" x14ac:dyDescent="0.2">
      <c r="B23" s="1113" t="s">
        <v>2081</v>
      </c>
      <c r="C23" s="1824"/>
      <c r="D23" s="1825"/>
      <c r="E23" s="1826">
        <v>315416</v>
      </c>
      <c r="F23" s="1826">
        <v>580020</v>
      </c>
      <c r="G23" s="1826">
        <v>315416</v>
      </c>
      <c r="H23" s="1826"/>
      <c r="I23" s="1826">
        <v>579695</v>
      </c>
      <c r="J23" s="1826"/>
      <c r="K23" s="1826"/>
      <c r="L23" s="1823">
        <v>895111</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oddFooter>&amp;R
C - 3</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9522D-9092-4B2A-A071-FF922DB7D6EE}">
  <sheetPr>
    <pageSetUpPr fitToPage="1"/>
  </sheetPr>
  <dimension ref="B1:N152"/>
  <sheetViews>
    <sheetView showGridLines="0" topLeftCell="A4" zoomScaleNormal="100" workbookViewId="0">
      <selection activeCell="B23" sqref="B2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Johnston City CUSD 1</v>
      </c>
      <c r="C1" s="2567"/>
      <c r="D1" s="2567"/>
      <c r="E1" s="2567"/>
      <c r="F1" s="2567"/>
      <c r="G1" s="2567"/>
      <c r="H1" s="2567"/>
      <c r="I1" s="2567"/>
      <c r="J1" s="2567"/>
      <c r="K1" s="2567"/>
      <c r="L1" s="2567"/>
      <c r="M1" s="2567"/>
    </row>
    <row r="2" spans="2:14" ht="15" x14ac:dyDescent="0.2">
      <c r="B2" s="2568">
        <f>'Single Audit Cover'!E7</f>
        <v>21100001026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2082</v>
      </c>
      <c r="C11" s="1821"/>
      <c r="D11" s="1822"/>
      <c r="E11" s="1823"/>
      <c r="F11" s="1823"/>
      <c r="G11" s="1823"/>
      <c r="H11" s="1823"/>
      <c r="I11" s="1823"/>
      <c r="J11" s="1823"/>
      <c r="K11" s="1823"/>
      <c r="L11" s="1823">
        <f>+G11+I11+K11</f>
        <v>0</v>
      </c>
      <c r="M11" s="1823"/>
    </row>
    <row r="12" spans="2:14" ht="20.100000000000001" customHeight="1" x14ac:dyDescent="0.2">
      <c r="B12" s="1113" t="s">
        <v>2092</v>
      </c>
      <c r="C12" s="1824" t="s">
        <v>2085</v>
      </c>
      <c r="D12" s="1825" t="s">
        <v>2101</v>
      </c>
      <c r="E12" s="1826">
        <v>357619</v>
      </c>
      <c r="F12" s="1826">
        <v>35262</v>
      </c>
      <c r="G12" s="1826">
        <v>448586</v>
      </c>
      <c r="H12" s="1826"/>
      <c r="I12" s="1826">
        <v>27379</v>
      </c>
      <c r="J12" s="1826"/>
      <c r="K12" s="1826"/>
      <c r="L12" s="1823">
        <f t="shared" ref="L12:L27" si="0">+G12+I12+K12</f>
        <v>475965</v>
      </c>
      <c r="M12" s="1826">
        <v>492367</v>
      </c>
    </row>
    <row r="13" spans="2:14" ht="20.100000000000001" customHeight="1" x14ac:dyDescent="0.2">
      <c r="B13" s="1113" t="s">
        <v>2094</v>
      </c>
      <c r="C13" s="1824" t="s">
        <v>2085</v>
      </c>
      <c r="D13" s="1825" t="s">
        <v>2093</v>
      </c>
      <c r="E13" s="1826"/>
      <c r="F13" s="1826">
        <v>240226</v>
      </c>
      <c r="G13" s="1826"/>
      <c r="H13" s="1826"/>
      <c r="I13" s="1826">
        <v>284233</v>
      </c>
      <c r="J13" s="1826"/>
      <c r="K13" s="1826">
        <v>34045</v>
      </c>
      <c r="L13" s="1823">
        <f t="shared" si="0"/>
        <v>318278</v>
      </c>
      <c r="M13" s="1826">
        <v>451918</v>
      </c>
    </row>
    <row r="14" spans="2:14" ht="20.100000000000001" customHeight="1" x14ac:dyDescent="0.2">
      <c r="B14" s="1113" t="s">
        <v>2095</v>
      </c>
      <c r="C14" s="1824" t="s">
        <v>2085</v>
      </c>
      <c r="D14" s="1825" t="s">
        <v>2110</v>
      </c>
      <c r="E14" s="1826">
        <v>3420</v>
      </c>
      <c r="F14" s="1826">
        <v>11580</v>
      </c>
      <c r="G14" s="1826">
        <v>13362</v>
      </c>
      <c r="H14" s="1826"/>
      <c r="I14" s="1826">
        <v>1638</v>
      </c>
      <c r="J14" s="1826"/>
      <c r="K14" s="1826"/>
      <c r="L14" s="1823">
        <f t="shared" si="0"/>
        <v>15000</v>
      </c>
      <c r="M14" s="1826">
        <v>15000</v>
      </c>
    </row>
    <row r="15" spans="2:14" ht="20.100000000000001" customHeight="1" x14ac:dyDescent="0.2">
      <c r="B15" s="1113" t="s">
        <v>2095</v>
      </c>
      <c r="C15" s="1824" t="s">
        <v>2085</v>
      </c>
      <c r="D15" s="1825" t="s">
        <v>2096</v>
      </c>
      <c r="E15" s="1826"/>
      <c r="F15" s="1826">
        <v>8444</v>
      </c>
      <c r="G15" s="1826"/>
      <c r="H15" s="1826"/>
      <c r="I15" s="1826">
        <v>10002</v>
      </c>
      <c r="J15" s="1826"/>
      <c r="K15" s="1826"/>
      <c r="L15" s="1823">
        <f t="shared" si="0"/>
        <v>10002</v>
      </c>
      <c r="M15" s="1826">
        <v>15000</v>
      </c>
    </row>
    <row r="16" spans="2:14" ht="20.100000000000001" customHeight="1" x14ac:dyDescent="0.2">
      <c r="B16" s="1113" t="s">
        <v>2097</v>
      </c>
      <c r="C16" s="1824"/>
      <c r="D16" s="1825"/>
      <c r="E16" s="1826">
        <v>361039</v>
      </c>
      <c r="F16" s="1826">
        <v>295512</v>
      </c>
      <c r="G16" s="1826">
        <v>461948</v>
      </c>
      <c r="H16" s="1826"/>
      <c r="I16" s="1826">
        <v>323252</v>
      </c>
      <c r="J16" s="1826"/>
      <c r="K16" s="1826">
        <v>34045</v>
      </c>
      <c r="L16" s="1823">
        <f t="shared" si="0"/>
        <v>819245</v>
      </c>
      <c r="M16" s="1826"/>
    </row>
    <row r="17" spans="2:14" ht="20.100000000000001" customHeight="1" x14ac:dyDescent="0.2">
      <c r="B17" s="1113" t="s">
        <v>2092</v>
      </c>
      <c r="C17" s="1824" t="s">
        <v>2098</v>
      </c>
      <c r="D17" s="1825" t="s">
        <v>2101</v>
      </c>
      <c r="E17" s="1826"/>
      <c r="F17" s="1826">
        <v>51327</v>
      </c>
      <c r="G17" s="1826"/>
      <c r="H17" s="1826"/>
      <c r="I17" s="1826"/>
      <c r="J17" s="1826"/>
      <c r="K17" s="1826"/>
      <c r="L17" s="1823">
        <f t="shared" si="0"/>
        <v>0</v>
      </c>
      <c r="M17" s="1826"/>
    </row>
    <row r="18" spans="2:14" ht="20.100000000000001" customHeight="1" x14ac:dyDescent="0.2">
      <c r="B18" s="1113" t="s">
        <v>2094</v>
      </c>
      <c r="C18" s="1824" t="s">
        <v>2098</v>
      </c>
      <c r="D18" s="1825" t="s">
        <v>2093</v>
      </c>
      <c r="E18" s="1826"/>
      <c r="F18" s="1826">
        <v>53666</v>
      </c>
      <c r="G18" s="1826"/>
      <c r="H18" s="1826"/>
      <c r="I18" s="1826">
        <v>53666</v>
      </c>
      <c r="J18" s="1826"/>
      <c r="K18" s="1826"/>
      <c r="L18" s="1823">
        <f t="shared" si="0"/>
        <v>53666</v>
      </c>
      <c r="M18" s="1826"/>
    </row>
    <row r="19" spans="2:14" ht="20.100000000000001" customHeight="1" x14ac:dyDescent="0.2">
      <c r="B19" s="1113" t="s">
        <v>2099</v>
      </c>
      <c r="C19" s="1824"/>
      <c r="D19" s="1825"/>
      <c r="E19" s="1826"/>
      <c r="F19" s="1826">
        <v>104993</v>
      </c>
      <c r="G19" s="1826"/>
      <c r="H19" s="1826"/>
      <c r="I19" s="1826">
        <v>53666</v>
      </c>
      <c r="J19" s="1826"/>
      <c r="K19" s="1826"/>
      <c r="L19" s="1823">
        <f t="shared" si="0"/>
        <v>53666</v>
      </c>
      <c r="M19" s="1826"/>
    </row>
    <row r="20" spans="2:14" ht="20.100000000000001" customHeight="1" x14ac:dyDescent="0.2">
      <c r="B20" s="1113" t="s">
        <v>2092</v>
      </c>
      <c r="C20" s="1824" t="s">
        <v>2100</v>
      </c>
      <c r="D20" s="1825" t="s">
        <v>2101</v>
      </c>
      <c r="E20" s="1826"/>
      <c r="F20" s="1826">
        <v>31757</v>
      </c>
      <c r="G20" s="1826"/>
      <c r="H20" s="1826"/>
      <c r="I20" s="1826"/>
      <c r="J20" s="1826"/>
      <c r="K20" s="1826"/>
      <c r="L20" s="1823">
        <f t="shared" si="0"/>
        <v>0</v>
      </c>
      <c r="M20" s="1826"/>
    </row>
    <row r="21" spans="2:14" ht="20.100000000000001" customHeight="1" x14ac:dyDescent="0.2">
      <c r="B21" s="1113" t="s">
        <v>2094</v>
      </c>
      <c r="C21" s="1824" t="s">
        <v>2100</v>
      </c>
      <c r="D21" s="1825" t="s">
        <v>2093</v>
      </c>
      <c r="E21" s="1826"/>
      <c r="F21" s="1826">
        <v>26859</v>
      </c>
      <c r="G21" s="1826"/>
      <c r="H21" s="1826"/>
      <c r="I21" s="1826">
        <v>26859</v>
      </c>
      <c r="J21" s="1826"/>
      <c r="K21" s="1826"/>
      <c r="L21" s="1823">
        <f t="shared" si="0"/>
        <v>26859</v>
      </c>
      <c r="M21" s="1826"/>
    </row>
    <row r="22" spans="2:14" ht="20.100000000000001" customHeight="1" x14ac:dyDescent="0.2">
      <c r="B22" s="1113" t="s">
        <v>2141</v>
      </c>
      <c r="C22" s="1824"/>
      <c r="D22" s="1825"/>
      <c r="E22" s="1826"/>
      <c r="F22" s="1826">
        <v>58616</v>
      </c>
      <c r="G22" s="1826"/>
      <c r="H22" s="1826"/>
      <c r="I22" s="1826">
        <v>26859</v>
      </c>
      <c r="J22" s="1826"/>
      <c r="K22" s="1826"/>
      <c r="L22" s="1823">
        <f t="shared" si="0"/>
        <v>26859</v>
      </c>
      <c r="M22" s="1826"/>
    </row>
    <row r="23" spans="2:14" ht="20.100000000000001" customHeight="1" x14ac:dyDescent="0.2">
      <c r="B23" s="1113" t="s">
        <v>2102</v>
      </c>
      <c r="C23" s="1824"/>
      <c r="D23" s="1825"/>
      <c r="E23" s="1826">
        <v>361039</v>
      </c>
      <c r="F23" s="1826">
        <v>459121</v>
      </c>
      <c r="G23" s="1826">
        <v>461948</v>
      </c>
      <c r="H23" s="1826"/>
      <c r="I23" s="1826">
        <v>403777</v>
      </c>
      <c r="J23" s="1826"/>
      <c r="K23" s="1826">
        <v>34045</v>
      </c>
      <c r="L23" s="1823">
        <f t="shared" si="0"/>
        <v>899770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oddFooter>&amp;R
C - 4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 colorId="8" zoomScaleNormal="100" workbookViewId="0">
      <selection activeCell="D50" sqref="D50:D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2050</v>
      </c>
      <c r="C53" s="174">
        <v>22</v>
      </c>
      <c r="D53" s="242" t="s">
        <v>1445</v>
      </c>
      <c r="E53" s="243"/>
      <c r="F53" s="244"/>
      <c r="G53" s="244" t="s">
        <v>1444</v>
      </c>
      <c r="H53" s="245">
        <v>35431</v>
      </c>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2065</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1988</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1988</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2057</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61528-F8D9-4992-A974-674520DFD7E7}">
  <sheetPr>
    <pageSetUpPr fitToPage="1"/>
  </sheetPr>
  <dimension ref="B1:N152"/>
  <sheetViews>
    <sheetView showGridLines="0" zoomScaleNormal="100" workbookViewId="0">
      <selection activeCell="I20" sqref="I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Johnston City CUSD 1</v>
      </c>
      <c r="C1" s="2567"/>
      <c r="D1" s="2567"/>
      <c r="E1" s="2567"/>
      <c r="F1" s="2567"/>
      <c r="G1" s="2567"/>
      <c r="H1" s="2567"/>
      <c r="I1" s="2567"/>
      <c r="J1" s="2567"/>
      <c r="K1" s="2567"/>
      <c r="L1" s="2567"/>
      <c r="M1" s="2567"/>
    </row>
    <row r="2" spans="2:14" ht="15" x14ac:dyDescent="0.2">
      <c r="B2" s="2568">
        <f>'Single Audit Cover'!E7</f>
        <v>21100001026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1710</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2103</v>
      </c>
      <c r="C11" s="1821"/>
      <c r="D11" s="1822"/>
      <c r="E11" s="1823"/>
      <c r="F11" s="1823"/>
      <c r="G11" s="1823"/>
      <c r="H11" s="1823"/>
      <c r="I11" s="1823"/>
      <c r="J11" s="1823"/>
      <c r="K11" s="1823"/>
      <c r="L11" s="1823">
        <f>+G11+I11+K11</f>
        <v>0</v>
      </c>
      <c r="M11" s="1823"/>
    </row>
    <row r="12" spans="2:14" ht="20.100000000000001" customHeight="1" x14ac:dyDescent="0.2">
      <c r="B12" s="1113" t="s">
        <v>2104</v>
      </c>
      <c r="C12" s="1824">
        <v>93.778000000000006</v>
      </c>
      <c r="D12" s="1825"/>
      <c r="E12" s="1826"/>
      <c r="F12" s="1826">
        <v>13284</v>
      </c>
      <c r="G12" s="1826"/>
      <c r="H12" s="1826"/>
      <c r="I12" s="1826">
        <v>13284</v>
      </c>
      <c r="J12" s="1826"/>
      <c r="K12" s="1826"/>
      <c r="L12" s="1823">
        <f t="shared" ref="L12:L27" si="0">+G12+I12+K12</f>
        <v>13284</v>
      </c>
      <c r="M12" s="1826"/>
    </row>
    <row r="13" spans="2:14" ht="20.100000000000001" customHeight="1" x14ac:dyDescent="0.2">
      <c r="B13" s="1113" t="s">
        <v>2105</v>
      </c>
      <c r="C13" s="1824"/>
      <c r="D13" s="1825"/>
      <c r="E13" s="1826"/>
      <c r="F13" s="1826">
        <v>13284</v>
      </c>
      <c r="G13" s="1826"/>
      <c r="H13" s="1826"/>
      <c r="I13" s="1826">
        <v>13284</v>
      </c>
      <c r="J13" s="1826"/>
      <c r="K13" s="1826"/>
      <c r="L13" s="1823">
        <f t="shared" si="0"/>
        <v>13284</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2106</v>
      </c>
      <c r="C15" s="1824"/>
      <c r="D15" s="1825"/>
      <c r="E15" s="1826"/>
      <c r="F15" s="1826"/>
      <c r="G15" s="1826"/>
      <c r="H15" s="1826"/>
      <c r="I15" s="1826"/>
      <c r="J15" s="1826"/>
      <c r="K15" s="1826"/>
      <c r="L15" s="1823">
        <f t="shared" si="0"/>
        <v>0</v>
      </c>
      <c r="M15" s="1826"/>
    </row>
    <row r="16" spans="2:14" ht="20.100000000000001" customHeight="1" x14ac:dyDescent="0.2">
      <c r="B16" s="1113" t="s">
        <v>2107</v>
      </c>
      <c r="C16" s="1824">
        <v>97.036000000000001</v>
      </c>
      <c r="D16" s="1825"/>
      <c r="E16" s="1826"/>
      <c r="F16" s="1826"/>
      <c r="G16" s="1826"/>
      <c r="H16" s="1826"/>
      <c r="I16" s="1826">
        <v>10611</v>
      </c>
      <c r="J16" s="1826"/>
      <c r="K16" s="1826"/>
      <c r="L16" s="1823">
        <f t="shared" si="0"/>
        <v>10611</v>
      </c>
      <c r="M16" s="1826"/>
    </row>
    <row r="17" spans="2:14" ht="20.100000000000001" customHeight="1" x14ac:dyDescent="0.2">
      <c r="B17" s="1113" t="s">
        <v>2108</v>
      </c>
      <c r="C17" s="1824"/>
      <c r="D17" s="1825"/>
      <c r="E17" s="1826"/>
      <c r="F17" s="1826"/>
      <c r="G17" s="1826"/>
      <c r="H17" s="1826"/>
      <c r="I17" s="1826">
        <v>10611</v>
      </c>
      <c r="J17" s="1826"/>
      <c r="K17" s="1826"/>
      <c r="L17" s="1823">
        <f t="shared" si="0"/>
        <v>10611</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2109</v>
      </c>
      <c r="C19" s="1824"/>
      <c r="D19" s="1825"/>
      <c r="E19" s="1826">
        <v>676455</v>
      </c>
      <c r="F19" s="1826">
        <v>1052425</v>
      </c>
      <c r="G19" s="1826">
        <v>777364</v>
      </c>
      <c r="H19" s="1826"/>
      <c r="I19" s="1826">
        <v>1007367</v>
      </c>
      <c r="J19" s="1826"/>
      <c r="K19" s="1826">
        <v>34045</v>
      </c>
      <c r="L19" s="1823">
        <f t="shared" si="0"/>
        <v>1818776</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oddFooter>&amp;R
C - 5</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6" zoomScale="120" zoomScaleNormal="120" workbookViewId="0">
      <selection activeCell="A42" sqref="A42:C4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Johnston City CUSD 1</v>
      </c>
      <c r="B1" s="2580"/>
      <c r="C1" s="2580"/>
      <c r="D1" s="2580"/>
      <c r="E1" s="2580"/>
      <c r="F1" s="2580"/>
    </row>
    <row r="2" spans="1:7" ht="13.5" customHeight="1" x14ac:dyDescent="0.2">
      <c r="A2" s="2568">
        <f>'Single Audit Cover'!E7</f>
        <v>21100001026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2111</v>
      </c>
      <c r="B7" s="2579"/>
      <c r="C7" s="2579"/>
      <c r="D7" s="2579"/>
      <c r="E7" s="2579"/>
      <c r="F7" s="257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2050</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1707</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t="s">
        <v>2112</v>
      </c>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1708</v>
      </c>
      <c r="B32" s="2573"/>
      <c r="C32" s="2573"/>
      <c r="D32" s="2573"/>
      <c r="E32" s="2573"/>
      <c r="F32" s="2573"/>
    </row>
    <row r="33" spans="1:6" ht="13.5" customHeight="1" x14ac:dyDescent="0.2">
      <c r="A33" s="306" t="s">
        <v>1417</v>
      </c>
      <c r="B33" s="306"/>
      <c r="C33" s="1064">
        <v>32731</v>
      </c>
      <c r="D33" s="1526"/>
      <c r="E33" s="1062"/>
    </row>
    <row r="34" spans="1:6" ht="13.5" customHeight="1" x14ac:dyDescent="0.2">
      <c r="A34" s="306" t="s">
        <v>1810</v>
      </c>
      <c r="B34" s="306"/>
      <c r="C34" s="1065">
        <v>8196</v>
      </c>
      <c r="D34" s="1526" t="s">
        <v>1572</v>
      </c>
      <c r="E34" s="2574">
        <f>+C33+C34</f>
        <v>40927</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380</v>
      </c>
      <c r="D38" s="1526"/>
      <c r="E38" s="1062"/>
    </row>
    <row r="39" spans="1:6" ht="14.25" customHeight="1" x14ac:dyDescent="0.2">
      <c r="A39" s="306"/>
      <c r="B39" s="306" t="s">
        <v>1419</v>
      </c>
      <c r="C39" s="1068" t="s">
        <v>380</v>
      </c>
      <c r="D39" s="1526"/>
      <c r="E39" s="1062"/>
    </row>
    <row r="40" spans="1:6" ht="14.25" customHeight="1" x14ac:dyDescent="0.2">
      <c r="A40" s="306"/>
      <c r="B40" s="306" t="s">
        <v>1420</v>
      </c>
      <c r="C40" s="1068" t="s">
        <v>380</v>
      </c>
      <c r="D40" s="1526"/>
      <c r="E40" s="1062"/>
    </row>
    <row r="41" spans="1:6" ht="14.25" customHeight="1" x14ac:dyDescent="0.2">
      <c r="A41" s="306"/>
      <c r="B41" s="306" t="s">
        <v>1421</v>
      </c>
      <c r="C41" s="1068" t="s">
        <v>380</v>
      </c>
      <c r="D41" s="1526"/>
      <c r="E41" s="1062"/>
    </row>
    <row r="42" spans="1:6" ht="14.25" customHeight="1" x14ac:dyDescent="0.2">
      <c r="A42" s="306" t="s">
        <v>1422</v>
      </c>
      <c r="B42" s="306"/>
      <c r="C42" s="1524" t="s">
        <v>380</v>
      </c>
      <c r="D42" s="1526"/>
      <c r="E42" s="1062"/>
    </row>
    <row r="43" spans="1:6" ht="14.25" customHeight="1" x14ac:dyDescent="0.2">
      <c r="A43" s="306" t="s">
        <v>1423</v>
      </c>
      <c r="B43" s="306"/>
      <c r="C43" s="1069" t="s">
        <v>380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oddFooter xml:space="preserve">&amp;R
C - 7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7" zoomScale="110" zoomScaleNormal="110" workbookViewId="0">
      <selection activeCell="D46" sqref="D4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Johnston City CUSD 1</v>
      </c>
      <c r="C1" s="2595"/>
      <c r="D1" s="2595"/>
      <c r="E1" s="2595"/>
      <c r="F1" s="2595"/>
      <c r="G1" s="2595"/>
      <c r="H1" s="2595"/>
      <c r="I1" s="2595"/>
      <c r="J1" s="1178"/>
    </row>
    <row r="2" spans="2:10" s="295" customFormat="1" ht="12.75" customHeight="1" x14ac:dyDescent="0.2">
      <c r="B2" s="2596">
        <f>'Single Audit Cover'!E7</f>
        <v>21100001026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t="s">
        <v>2113</v>
      </c>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t="s">
        <v>2050</v>
      </c>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2050</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2050</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t="s">
        <v>2114</v>
      </c>
      <c r="E29" s="2601"/>
      <c r="F29" s="2601"/>
      <c r="G29" s="2601"/>
      <c r="H29" s="2601"/>
      <c r="I29" s="2601"/>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2050</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02" t="s">
        <v>1727</v>
      </c>
      <c r="D37" s="2603"/>
      <c r="E37" s="2603"/>
      <c r="F37" s="2604"/>
      <c r="G37" s="2602" t="s">
        <v>1575</v>
      </c>
      <c r="H37" s="2603"/>
      <c r="I37" s="2604"/>
    </row>
    <row r="38" spans="2:9" ht="16.5" customHeight="1" x14ac:dyDescent="0.2">
      <c r="B38" s="1200" t="s">
        <v>2115</v>
      </c>
      <c r="C38" s="2590" t="s">
        <v>2116</v>
      </c>
      <c r="D38" s="2591"/>
      <c r="E38" s="2591"/>
      <c r="F38" s="2592"/>
      <c r="G38" s="2605">
        <v>568683</v>
      </c>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568683</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1007367</v>
      </c>
      <c r="E45" s="2588"/>
    </row>
    <row r="46" spans="2:9" ht="5.25" customHeight="1" x14ac:dyDescent="0.2">
      <c r="B46" s="1201"/>
      <c r="D46" s="1202"/>
      <c r="E46" s="1203"/>
    </row>
    <row r="47" spans="2:9" ht="12.75" customHeight="1" x14ac:dyDescent="0.2">
      <c r="B47" s="1076" t="s">
        <v>1577</v>
      </c>
      <c r="C47" s="1076"/>
      <c r="D47" s="1204">
        <f>+G43/D45</f>
        <v>0.56452415058265759</v>
      </c>
      <c r="E47" s="1205"/>
      <c r="F47" s="1206"/>
      <c r="I47" s="1207"/>
    </row>
    <row r="48" spans="2:9" ht="9.9499999999999993" customHeight="1" x14ac:dyDescent="0.2"/>
    <row r="49" spans="1:9" x14ac:dyDescent="0.2">
      <c r="B49" s="1138" t="s">
        <v>1262</v>
      </c>
      <c r="C49" s="1058"/>
      <c r="D49" s="1058"/>
      <c r="E49" s="2589">
        <v>750000</v>
      </c>
      <c r="F49" s="2589"/>
      <c r="G49" s="2589"/>
      <c r="H49" s="300"/>
    </row>
    <row r="51" spans="1:9" ht="13.5" customHeight="1" x14ac:dyDescent="0.2">
      <c r="B51" s="1138" t="s">
        <v>1261</v>
      </c>
      <c r="C51" s="1058"/>
      <c r="E51" s="1194"/>
      <c r="F51" s="1076" t="s">
        <v>879</v>
      </c>
      <c r="G51" s="1194" t="s">
        <v>2050</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oddFooter>&amp;R
C - 8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4" zoomScale="110" zoomScaleNormal="110" workbookViewId="0">
      <selection activeCell="A42" sqref="A42:C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Johnston City CUSD 1</v>
      </c>
      <c r="C1" s="2594"/>
      <c r="D1" s="2594"/>
      <c r="E1" s="2594"/>
      <c r="F1" s="2594"/>
      <c r="G1" s="2594"/>
      <c r="H1" s="2594"/>
      <c r="I1" s="2594"/>
      <c r="J1" s="2594"/>
      <c r="K1" s="2594"/>
      <c r="L1" s="1144"/>
      <c r="M1" s="1144"/>
    </row>
    <row r="2" spans="1:13" ht="12" customHeight="1" x14ac:dyDescent="0.2">
      <c r="B2" s="2596">
        <f>'Single Audit Cover'!E7</f>
        <v>21100001026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1</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2117</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2138</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2118</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2119</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2120</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8" t="s">
        <v>2121</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 xml:space="preserve">&amp;R
C - 9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B3E4B-39D3-4DC8-9138-346B6BEC2B89}">
  <dimension ref="A1:M41"/>
  <sheetViews>
    <sheetView showGridLines="0" topLeftCell="A14" zoomScale="110" zoomScaleNormal="110" workbookViewId="0">
      <selection activeCell="A42" sqref="A42:C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Johnston City CUSD 1</v>
      </c>
      <c r="C1" s="2594"/>
      <c r="D1" s="2594"/>
      <c r="E1" s="2594"/>
      <c r="F1" s="2594"/>
      <c r="G1" s="2594"/>
      <c r="H1" s="2594"/>
      <c r="I1" s="2594"/>
      <c r="J1" s="2594"/>
      <c r="K1" s="2594"/>
      <c r="L1" s="1144"/>
      <c r="M1" s="1144"/>
    </row>
    <row r="2" spans="1:13" ht="12" customHeight="1" x14ac:dyDescent="0.2">
      <c r="B2" s="2596">
        <f>'Single Audit Cover'!E7</f>
        <v>21100001026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5"/>
      <c r="M3" s="2035"/>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v>2</v>
      </c>
      <c r="E10" s="300"/>
      <c r="F10" s="1156" t="s">
        <v>1284</v>
      </c>
      <c r="G10" s="1157" t="s">
        <v>2050</v>
      </c>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2122</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2137</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2123</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2124</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2125</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8" t="s">
        <v>2126</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1275</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&amp;R
C-10</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42" sqref="A42:C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Johnston City CUSD 1</v>
      </c>
      <c r="C1" s="2617"/>
      <c r="D1" s="2617"/>
      <c r="E1" s="2617"/>
      <c r="F1" s="2617"/>
      <c r="G1" s="2617"/>
      <c r="H1" s="2617"/>
      <c r="I1" s="2617"/>
      <c r="J1" s="2617"/>
      <c r="K1" s="2617"/>
      <c r="L1" s="1221"/>
    </row>
    <row r="2" spans="1:12" ht="12.75" customHeight="1" x14ac:dyDescent="0.2">
      <c r="B2" s="2618">
        <f>'Single Audit Cover'!E7</f>
        <v>21100001026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oddFooter>&amp;R
C - 11</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42" sqref="A42:C4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Johnston City CUSD 1</v>
      </c>
      <c r="C1" s="2594"/>
      <c r="D1" s="2594"/>
      <c r="E1" s="1240"/>
    </row>
    <row r="2" spans="2:5" s="1058" customFormat="1" ht="12.75" customHeight="1" x14ac:dyDescent="0.2">
      <c r="B2" s="2596">
        <f>'Single Audit Cover'!E7</f>
        <v>21100001026</v>
      </c>
      <c r="C2" s="2596"/>
      <c r="D2" s="2596"/>
      <c r="E2" s="1241"/>
    </row>
    <row r="3" spans="2:5" ht="12.75" customHeight="1" x14ac:dyDescent="0.2">
      <c r="B3" s="2610" t="s">
        <v>1742</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1743</v>
      </c>
      <c r="C5" s="306"/>
      <c r="D5" s="306"/>
      <c r="E5" s="306"/>
    </row>
    <row r="6" spans="2:5" s="1058" customFormat="1" ht="13.5" customHeight="1" x14ac:dyDescent="0.2">
      <c r="B6" s="1244" t="s">
        <v>1304</v>
      </c>
      <c r="C6" s="1244" t="s">
        <v>1303</v>
      </c>
      <c r="D6" s="1244" t="s">
        <v>1744</v>
      </c>
    </row>
    <row r="7" spans="2:5" ht="13.5" customHeight="1" x14ac:dyDescent="0.2">
      <c r="B7" s="1245" t="s">
        <v>2127</v>
      </c>
      <c r="C7" s="302" t="s">
        <v>2129</v>
      </c>
      <c r="D7" s="302" t="s">
        <v>2128</v>
      </c>
      <c r="E7" s="302"/>
    </row>
    <row r="8" spans="2:5" ht="13.5" customHeight="1" x14ac:dyDescent="0.2">
      <c r="B8" s="1245"/>
      <c r="C8" s="302" t="s">
        <v>2130</v>
      </c>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&amp;R
C - 12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2" sqref="A42:C4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79088956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2.45136E-2</v>
      </c>
      <c r="E10" s="333" t="s">
        <v>998</v>
      </c>
      <c r="F10" s="332">
        <v>4.7790000000000003E-3</v>
      </c>
      <c r="G10" s="333" t="s">
        <v>998</v>
      </c>
      <c r="H10" s="332">
        <v>2.9797999999999999E-3</v>
      </c>
      <c r="I10" s="333" t="s">
        <v>999</v>
      </c>
      <c r="J10" s="1424">
        <f>ROUND(D10+F10+H10,5)</f>
        <v>3.227E-2</v>
      </c>
      <c r="K10" s="217"/>
      <c r="L10" s="332">
        <v>3.9350000000000002E-4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11315581</v>
      </c>
      <c r="E16" s="1547"/>
      <c r="F16" s="1546">
        <f>SUM('Acct Summary 7-8'!C17,'Acct Summary 7-8'!D17,'Acct Summary 7-8'!F17)</f>
        <v>10593892</v>
      </c>
      <c r="G16" s="1547"/>
      <c r="H16" s="1546">
        <f>SUM(D16-F16)</f>
        <v>721689</v>
      </c>
      <c r="I16" s="1548"/>
      <c r="J16" s="1546">
        <f>SUM('Acct Summary 7-8'!C81,'Acct Summary 7-8'!D81,'Acct Summary 7-8'!F81,'Acct Summary 7-8'!I81)</f>
        <v>4183774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10914275.928000001</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4866155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2" sqref="A42:C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Johnston City CUSD 1</v>
      </c>
      <c r="E7" s="368"/>
      <c r="G7" s="247"/>
      <c r="H7" s="364"/>
      <c r="I7" s="364"/>
      <c r="J7" s="364"/>
      <c r="K7" s="364"/>
      <c r="L7" s="307"/>
      <c r="M7" s="307"/>
      <c r="N7" s="307"/>
      <c r="O7" s="307"/>
      <c r="P7" s="307"/>
    </row>
    <row r="8" spans="1:18" ht="12.75" x14ac:dyDescent="0.2">
      <c r="A8" s="307"/>
      <c r="B8" s="307"/>
      <c r="C8" s="366" t="s">
        <v>1115</v>
      </c>
      <c r="D8" s="369">
        <f>COVER!A13</f>
        <v>21100001026</v>
      </c>
      <c r="E8" s="370"/>
      <c r="G8" s="307"/>
      <c r="H8" s="307"/>
      <c r="I8" s="307"/>
      <c r="J8" s="307"/>
      <c r="K8" s="307"/>
      <c r="L8" s="307"/>
      <c r="M8" s="307"/>
      <c r="N8" s="307"/>
      <c r="O8" s="307"/>
      <c r="P8" s="307"/>
    </row>
    <row r="9" spans="1:18" ht="12.75" x14ac:dyDescent="0.2">
      <c r="A9" s="307"/>
      <c r="B9" s="307"/>
      <c r="C9" s="366" t="s">
        <v>708</v>
      </c>
      <c r="D9" s="371" t="str">
        <f>COVER!A15</f>
        <v>Williamson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4183774</v>
      </c>
      <c r="I12" s="380"/>
      <c r="J12" s="380"/>
      <c r="K12" s="1559">
        <f>TRUNC((H12/H13*100000),5)/100000</f>
        <v>0.36973567680000002</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11315581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10593892</v>
      </c>
      <c r="I17" s="380"/>
      <c r="J17" s="389"/>
      <c r="K17" s="1559">
        <f>TRUNC((H17/H18*100000),5)/100000</f>
        <v>0.93622165749999997</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11315581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4180807</v>
      </c>
      <c r="I24" s="394"/>
      <c r="J24" s="394"/>
      <c r="K24" s="1555">
        <f>TRUNC(((H24/H25*100000)/100000),2)</f>
        <v>142.07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29427.477780000001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2169370.5186000001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4866155</v>
      </c>
      <c r="I32" s="392"/>
      <c r="J32" s="392"/>
      <c r="K32" s="1555">
        <f>TRUNC(100-((((H32/H33*100))*100)/100),2)</f>
        <v>55.41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10914275.928000001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2" sqref="A42:C42"/>
      <selection pane="bottomLeft" activeCell="A42" sqref="A42:C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2027197</v>
      </c>
      <c r="D4" s="1573">
        <v>610801</v>
      </c>
      <c r="E4" s="1573">
        <v>171254</v>
      </c>
      <c r="F4" s="1573">
        <v>404886</v>
      </c>
      <c r="G4" s="1573">
        <f>330184+112494</f>
        <v>442678</v>
      </c>
      <c r="H4" s="1573">
        <v>1216455</v>
      </c>
      <c r="I4" s="1573">
        <v>1137923</v>
      </c>
      <c r="J4" s="1574">
        <v>385351</v>
      </c>
      <c r="K4" s="1573">
        <v>29109</v>
      </c>
      <c r="L4" s="1573"/>
      <c r="M4" s="1575"/>
      <c r="N4" s="1576"/>
    </row>
    <row r="5" spans="1:14" x14ac:dyDescent="0.2">
      <c r="A5" s="427" t="s">
        <v>985</v>
      </c>
      <c r="B5" s="429">
        <v>120</v>
      </c>
      <c r="C5" s="1572"/>
      <c r="D5" s="1573"/>
      <c r="E5" s="1573"/>
      <c r="F5" s="1573"/>
      <c r="G5" s="1573"/>
      <c r="H5" s="1573">
        <v>774972</v>
      </c>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v>8967</v>
      </c>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2036164</v>
      </c>
      <c r="D13" s="1587">
        <f t="shared" ref="D13:L13" si="0">SUM(D4:D12)</f>
        <v>610801</v>
      </c>
      <c r="E13" s="1587">
        <f t="shared" si="0"/>
        <v>171254</v>
      </c>
      <c r="F13" s="1587">
        <f t="shared" si="0"/>
        <v>404886</v>
      </c>
      <c r="G13" s="1587">
        <f t="shared" si="0"/>
        <v>442678</v>
      </c>
      <c r="H13" s="1587">
        <f t="shared" si="0"/>
        <v>1991427</v>
      </c>
      <c r="I13" s="1587">
        <f t="shared" si="0"/>
        <v>1137923</v>
      </c>
      <c r="J13" s="1587">
        <f t="shared" si="0"/>
        <v>385351</v>
      </c>
      <c r="K13" s="1587">
        <f t="shared" si="0"/>
        <v>29109</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81746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12684081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12550577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2707787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89626</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171254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4694901</v>
      </c>
    </row>
    <row r="23" spans="1:14" ht="13.5" customHeight="1" thickBot="1" x14ac:dyDescent="0.25">
      <c r="A23" s="1426" t="s">
        <v>638</v>
      </c>
      <c r="B23" s="1429"/>
      <c r="C23" s="1575"/>
      <c r="D23" s="1575"/>
      <c r="E23" s="1575"/>
      <c r="F23" s="1575"/>
      <c r="G23" s="1575"/>
      <c r="H23" s="1575"/>
      <c r="I23" s="1575"/>
      <c r="J23" s="1575"/>
      <c r="K23" s="1575"/>
      <c r="L23" s="1575"/>
      <c r="M23" s="1594">
        <f>SUM(M15:M22)</f>
        <v>28113817</v>
      </c>
      <c r="N23" s="1594">
        <f>SUM(N21:N22)</f>
        <v>4866155</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6000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6000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4866155</v>
      </c>
    </row>
    <row r="37" spans="1:14" ht="13.5" thickBot="1" x14ac:dyDescent="0.25">
      <c r="A37" s="1426" t="s">
        <v>648</v>
      </c>
      <c r="B37" s="1429"/>
      <c r="C37" s="1582"/>
      <c r="D37" s="1582"/>
      <c r="E37" s="1582"/>
      <c r="F37" s="1582"/>
      <c r="G37" s="1582"/>
      <c r="H37" s="1582"/>
      <c r="I37" s="1582"/>
      <c r="J37" s="1582"/>
      <c r="K37" s="1582"/>
      <c r="L37" s="1585"/>
      <c r="M37" s="1575"/>
      <c r="N37" s="1594">
        <f>SUM(N36:N36)</f>
        <v>4866155</v>
      </c>
    </row>
    <row r="38" spans="1:14" s="307" customFormat="1" ht="13.5" customHeight="1" thickTop="1" x14ac:dyDescent="0.2">
      <c r="A38" s="438" t="s">
        <v>417</v>
      </c>
      <c r="B38" s="432">
        <v>714</v>
      </c>
      <c r="C38" s="1573"/>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2030164</v>
      </c>
      <c r="D39" s="1573">
        <v>560801</v>
      </c>
      <c r="E39" s="1573">
        <v>171254</v>
      </c>
      <c r="F39" s="1573">
        <v>404886</v>
      </c>
      <c r="G39" s="1573">
        <v>442678</v>
      </c>
      <c r="H39" s="1573">
        <v>1991427</v>
      </c>
      <c r="I39" s="1573">
        <v>1137923</v>
      </c>
      <c r="J39" s="1574">
        <v>385351</v>
      </c>
      <c r="K39" s="1573">
        <v>29109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28113817</v>
      </c>
      <c r="N40" s="1604"/>
    </row>
    <row r="41" spans="1:14" ht="13.5" customHeight="1" thickBot="1" x14ac:dyDescent="0.25">
      <c r="A41" s="1426" t="s">
        <v>650</v>
      </c>
      <c r="B41" s="1405"/>
      <c r="C41" s="1594">
        <f>(SUM(C34,C37,C38,C39))</f>
        <v>2036164</v>
      </c>
      <c r="D41" s="1594">
        <f t="shared" ref="D41:L41" si="2">SUM(D34,D37,D38:D39)</f>
        <v>610801</v>
      </c>
      <c r="E41" s="1594">
        <f t="shared" si="2"/>
        <v>171254</v>
      </c>
      <c r="F41" s="1594">
        <f t="shared" si="2"/>
        <v>404886</v>
      </c>
      <c r="G41" s="1594">
        <f t="shared" si="2"/>
        <v>442678</v>
      </c>
      <c r="H41" s="1594">
        <f t="shared" si="2"/>
        <v>1991427</v>
      </c>
      <c r="I41" s="1594">
        <f t="shared" si="2"/>
        <v>1137923</v>
      </c>
      <c r="J41" s="1594">
        <f t="shared" si="2"/>
        <v>385351</v>
      </c>
      <c r="K41" s="1594">
        <f t="shared" si="2"/>
        <v>29109</v>
      </c>
      <c r="L41" s="1594">
        <f t="shared" si="2"/>
        <v>0</v>
      </c>
      <c r="M41" s="1594">
        <f>SUM(M40)</f>
        <v>28113817</v>
      </c>
      <c r="N41" s="1594">
        <f>SUM(N37)</f>
        <v>4866155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5" activePane="bottomLeft" state="frozen"/>
      <selection activeCell="A42" sqref="A42:C42"/>
      <selection pane="bottomLeft" activeCell="A42" sqref="A42:C4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2866756</v>
      </c>
      <c r="D4" s="1606">
        <f>'Revenues 9-14'!D109</f>
        <v>400761</v>
      </c>
      <c r="E4" s="1606">
        <f>'Revenues 9-14'!E109</f>
        <v>1162831</v>
      </c>
      <c r="F4" s="1606">
        <f>'Revenues 9-14'!F109</f>
        <v>225684</v>
      </c>
      <c r="G4" s="1606">
        <f>'Revenues 9-14'!G109</f>
        <v>218308</v>
      </c>
      <c r="H4" s="1606">
        <f>'Revenues 9-14'!H109</f>
        <v>380641</v>
      </c>
      <c r="I4" s="1606">
        <f>'Revenues 9-14'!I109</f>
        <v>43327</v>
      </c>
      <c r="J4" s="1606">
        <f>'Revenues 9-14'!J109</f>
        <v>160507</v>
      </c>
      <c r="K4" s="1606">
        <f>'Revenues 9-14'!K109</f>
        <v>31722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5894841</v>
      </c>
      <c r="D6" s="1607">
        <f>'Revenues 9-14'!D170</f>
        <v>485636</v>
      </c>
      <c r="E6" s="1607">
        <f>'Revenues 9-14'!E170</f>
        <v>0</v>
      </c>
      <c r="F6" s="1607">
        <f>'Revenues 9-14'!F170</f>
        <v>380505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1018071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9779668</v>
      </c>
      <c r="D8" s="1594">
        <f t="shared" ref="D8:K8" si="0">SUM(D4:D7)</f>
        <v>886397</v>
      </c>
      <c r="E8" s="1594">
        <f t="shared" si="0"/>
        <v>1162831</v>
      </c>
      <c r="F8" s="1594">
        <f t="shared" si="0"/>
        <v>606189</v>
      </c>
      <c r="G8" s="1594">
        <f t="shared" si="0"/>
        <v>218308</v>
      </c>
      <c r="H8" s="1594">
        <f t="shared" si="0"/>
        <v>380641</v>
      </c>
      <c r="I8" s="1594">
        <f t="shared" si="0"/>
        <v>43327</v>
      </c>
      <c r="J8" s="1594">
        <f t="shared" si="0"/>
        <v>160507</v>
      </c>
      <c r="K8" s="1594">
        <f t="shared" si="0"/>
        <v>31722</v>
      </c>
      <c r="L8" s="325"/>
    </row>
    <row r="9" spans="1:13" ht="15.75" thickTop="1" x14ac:dyDescent="0.2">
      <c r="A9" s="449" t="s">
        <v>1634</v>
      </c>
      <c r="B9" s="450">
        <v>3998</v>
      </c>
      <c r="C9" s="1586">
        <v>3637599</v>
      </c>
      <c r="D9" s="1613"/>
      <c r="E9" s="1586"/>
      <c r="F9" s="1586"/>
      <c r="G9" s="1614"/>
      <c r="H9" s="1586"/>
      <c r="I9" s="1609" t="s">
        <v>1159</v>
      </c>
      <c r="J9" s="1583"/>
      <c r="K9" s="1586"/>
      <c r="L9" s="325"/>
    </row>
    <row r="10" spans="1:13" s="452" customFormat="1" ht="13.5" thickBot="1" x14ac:dyDescent="0.25">
      <c r="A10" s="1426" t="s">
        <v>1163</v>
      </c>
      <c r="B10" s="1407"/>
      <c r="C10" s="1594">
        <f>SUM(C8:C9)</f>
        <v>13417267</v>
      </c>
      <c r="D10" s="1594">
        <f t="shared" ref="D10:K10" si="1">SUM(D8:D9)</f>
        <v>886397</v>
      </c>
      <c r="E10" s="1594">
        <f t="shared" si="1"/>
        <v>1162831</v>
      </c>
      <c r="F10" s="1594">
        <f t="shared" si="1"/>
        <v>606189</v>
      </c>
      <c r="G10" s="1594">
        <f t="shared" si="1"/>
        <v>218308</v>
      </c>
      <c r="H10" s="1594">
        <f t="shared" si="1"/>
        <v>380641</v>
      </c>
      <c r="I10" s="1594">
        <f t="shared" si="1"/>
        <v>43327</v>
      </c>
      <c r="J10" s="1594">
        <f t="shared" si="1"/>
        <v>160507</v>
      </c>
      <c r="K10" s="1594">
        <f t="shared" si="1"/>
        <v>31722</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5197008</v>
      </c>
      <c r="D12" s="1616" t="s">
        <v>1159</v>
      </c>
      <c r="E12" s="1575" t="s">
        <v>1159</v>
      </c>
      <c r="F12" s="1575" t="s">
        <v>1159</v>
      </c>
      <c r="G12" s="1606">
        <f>'Expenditures 15-22'!K229</f>
        <v>76609</v>
      </c>
      <c r="H12" s="1617"/>
      <c r="I12" s="1575" t="s">
        <v>1159</v>
      </c>
      <c r="J12" s="1575" t="s">
        <v>1159</v>
      </c>
      <c r="K12" s="1617" t="s">
        <v>1159</v>
      </c>
      <c r="L12" s="325"/>
    </row>
    <row r="13" spans="1:13" ht="15.75" customHeight="1" x14ac:dyDescent="0.2">
      <c r="A13" s="1314" t="s">
        <v>454</v>
      </c>
      <c r="B13" s="1316">
        <v>2000</v>
      </c>
      <c r="C13" s="1607">
        <f>'Expenditures 15-22'!K74</f>
        <v>2731991</v>
      </c>
      <c r="D13" s="1607">
        <f>'Expenditures 15-22'!K129</f>
        <v>581602</v>
      </c>
      <c r="E13" s="1576" t="s">
        <v>1159</v>
      </c>
      <c r="F13" s="1607">
        <f>'Expenditures 15-22'!K184</f>
        <v>375486</v>
      </c>
      <c r="G13" s="1607">
        <f>'Expenditures 15-22'!K279</f>
        <v>156217</v>
      </c>
      <c r="H13" s="1607">
        <f>'Expenditures 15-22'!K303</f>
        <v>706356</v>
      </c>
      <c r="I13" s="1575" t="s">
        <v>1159</v>
      </c>
      <c r="J13" s="1607">
        <f>'Expenditures 15-22'!K330</f>
        <v>179455</v>
      </c>
      <c r="K13" s="1618">
        <f>'Expenditures 15-22'!K352</f>
        <v>34323</v>
      </c>
      <c r="L13" s="325"/>
    </row>
    <row r="14" spans="1:13" ht="15.75" customHeight="1" x14ac:dyDescent="0.2">
      <c r="A14" s="1314" t="s">
        <v>446</v>
      </c>
      <c r="B14" s="1316">
        <v>3000</v>
      </c>
      <c r="C14" s="1607">
        <f>'Expenditures 15-22'!K75</f>
        <v>285207</v>
      </c>
      <c r="D14" s="1607">
        <f>'Expenditures 15-22'!K130</f>
        <v>0</v>
      </c>
      <c r="E14" s="1616" t="s">
        <v>1159</v>
      </c>
      <c r="F14" s="1607">
        <f>'Expenditures 15-22'!K185</f>
        <v>0</v>
      </c>
      <c r="G14" s="1607">
        <f>'Expenditures 15-22'!K280</f>
        <v>4804</v>
      </c>
      <c r="H14" s="1612"/>
      <c r="I14" s="1575" t="s">
        <v>1159</v>
      </c>
      <c r="J14" s="1575" t="s">
        <v>1159</v>
      </c>
      <c r="K14" s="1612" t="s">
        <v>1159</v>
      </c>
      <c r="L14" s="325"/>
    </row>
    <row r="15" spans="1:13" ht="15.75" customHeight="1" x14ac:dyDescent="0.2">
      <c r="A15" s="1314" t="s">
        <v>107</v>
      </c>
      <c r="B15" s="1316">
        <v>4000</v>
      </c>
      <c r="C15" s="1607">
        <f>'Expenditures 15-22'!K102</f>
        <v>1339335</v>
      </c>
      <c r="D15" s="1607">
        <f>'Expenditures 15-22'!K139</f>
        <v>14005</v>
      </c>
      <c r="E15" s="1607">
        <f>'Expenditures 15-22'!K160</f>
        <v>0</v>
      </c>
      <c r="F15" s="1607">
        <f>'Expenditures 15-22'!K196</f>
        <v>69258</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1280090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9553541</v>
      </c>
      <c r="D17" s="1594">
        <f t="shared" si="2"/>
        <v>595607</v>
      </c>
      <c r="E17" s="1594">
        <f t="shared" si="2"/>
        <v>1280090</v>
      </c>
      <c r="F17" s="1594">
        <f t="shared" si="2"/>
        <v>444744</v>
      </c>
      <c r="G17" s="1594">
        <f t="shared" si="2"/>
        <v>237630</v>
      </c>
      <c r="H17" s="1594">
        <f t="shared" si="2"/>
        <v>706356</v>
      </c>
      <c r="I17" s="1575"/>
      <c r="J17" s="1594">
        <f>SUM(J12:J16)</f>
        <v>179455</v>
      </c>
      <c r="K17" s="1594">
        <f>SUM(K12:K16)</f>
        <v>34323</v>
      </c>
      <c r="L17" s="325"/>
    </row>
    <row r="18" spans="1:12" ht="15" customHeight="1" thickTop="1" x14ac:dyDescent="0.2">
      <c r="A18" s="1430" t="s">
        <v>1635</v>
      </c>
      <c r="B18" s="1431">
        <v>4180</v>
      </c>
      <c r="C18" s="1606">
        <f t="shared" ref="C18:H18" si="3">C9</f>
        <v>3637599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13191140</v>
      </c>
      <c r="D19" s="1594">
        <f t="shared" si="4"/>
        <v>595607</v>
      </c>
      <c r="E19" s="1594">
        <f t="shared" si="4"/>
        <v>1280090</v>
      </c>
      <c r="F19" s="1594">
        <f t="shared" si="4"/>
        <v>444744</v>
      </c>
      <c r="G19" s="1594">
        <f t="shared" si="4"/>
        <v>237630</v>
      </c>
      <c r="H19" s="1594">
        <f t="shared" si="4"/>
        <v>706356</v>
      </c>
      <c r="I19" s="1575"/>
      <c r="J19" s="1594">
        <f>SUM(J17:J18)</f>
        <v>179455</v>
      </c>
      <c r="K19" s="1594">
        <f>SUM(K17:K18)</f>
        <v>34323</v>
      </c>
      <c r="L19" s="325"/>
    </row>
    <row r="20" spans="1:12" ht="16.5" thickTop="1" thickBot="1" x14ac:dyDescent="0.25">
      <c r="A20" s="2232" t="s">
        <v>1636</v>
      </c>
      <c r="B20" s="2233"/>
      <c r="C20" s="1622">
        <f>C8-C17</f>
        <v>226127</v>
      </c>
      <c r="D20" s="1622">
        <f t="shared" ref="D20:K20" si="5">D8-D17</f>
        <v>290790</v>
      </c>
      <c r="E20" s="1622">
        <f t="shared" si="5"/>
        <v>-117259</v>
      </c>
      <c r="F20" s="1622">
        <f t="shared" si="5"/>
        <v>161445</v>
      </c>
      <c r="G20" s="1622">
        <f t="shared" si="5"/>
        <v>-19322</v>
      </c>
      <c r="H20" s="1622">
        <f t="shared" si="5"/>
        <v>-325715</v>
      </c>
      <c r="I20" s="1622">
        <f t="shared" si="5"/>
        <v>43327</v>
      </c>
      <c r="J20" s="1622">
        <f t="shared" si="5"/>
        <v>-18948</v>
      </c>
      <c r="K20" s="1622">
        <f t="shared" si="5"/>
        <v>-2601</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226127</v>
      </c>
      <c r="D78" s="1629">
        <f t="shared" si="9"/>
        <v>290790</v>
      </c>
      <c r="E78" s="1629">
        <f t="shared" si="9"/>
        <v>-117259</v>
      </c>
      <c r="F78" s="1629">
        <f t="shared" si="9"/>
        <v>161445</v>
      </c>
      <c r="G78" s="1629">
        <f t="shared" si="9"/>
        <v>-19322</v>
      </c>
      <c r="H78" s="1629">
        <f t="shared" si="9"/>
        <v>-325715</v>
      </c>
      <c r="I78" s="1629">
        <f t="shared" si="9"/>
        <v>43327</v>
      </c>
      <c r="J78" s="1629">
        <f t="shared" si="9"/>
        <v>-18948</v>
      </c>
      <c r="K78" s="1629">
        <f t="shared" si="9"/>
        <v>-2601</v>
      </c>
      <c r="L78" s="457"/>
    </row>
    <row r="79" spans="1:12" ht="13.5" thickTop="1" x14ac:dyDescent="0.2">
      <c r="A79" s="1844" t="str">
        <f>"Fund Balances - July 1, "&amp;'AFR20'!E2-1</f>
        <v>Fund Balances - July 1, 2019</v>
      </c>
      <c r="B79" s="458"/>
      <c r="C79" s="1583">
        <v>1541506</v>
      </c>
      <c r="D79" s="1630">
        <v>320011</v>
      </c>
      <c r="E79" s="1630">
        <v>288513</v>
      </c>
      <c r="F79" s="1630">
        <v>243441</v>
      </c>
      <c r="G79" s="1630">
        <v>462000</v>
      </c>
      <c r="H79" s="1630">
        <v>2317142</v>
      </c>
      <c r="I79" s="1630">
        <v>1094596</v>
      </c>
      <c r="J79" s="1630">
        <v>404299</v>
      </c>
      <c r="K79" s="1630">
        <v>31710</v>
      </c>
      <c r="L79" s="325"/>
    </row>
    <row r="80" spans="1:12" x14ac:dyDescent="0.2">
      <c r="A80" s="2234" t="s">
        <v>1771</v>
      </c>
      <c r="B80" s="2235"/>
      <c r="C80" s="1574">
        <v>262531</v>
      </c>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2030164</v>
      </c>
      <c r="D81" s="1594">
        <f>SUM(D78:D80)</f>
        <v>610801</v>
      </c>
      <c r="E81" s="1594">
        <f t="shared" ref="E81:K81" si="10">SUM(E78:E80)</f>
        <v>171254</v>
      </c>
      <c r="F81" s="1594">
        <f t="shared" si="10"/>
        <v>404886</v>
      </c>
      <c r="G81" s="1594">
        <f t="shared" si="10"/>
        <v>442678</v>
      </c>
      <c r="H81" s="1594">
        <f t="shared" si="10"/>
        <v>1991427</v>
      </c>
      <c r="I81" s="1594">
        <f t="shared" si="10"/>
        <v>1137923</v>
      </c>
      <c r="J81" s="1594">
        <f t="shared" si="10"/>
        <v>385351</v>
      </c>
      <c r="K81" s="1594">
        <f t="shared" si="10"/>
        <v>29109</v>
      </c>
      <c r="L81" s="325"/>
    </row>
    <row r="82" spans="1:12" ht="0.75" customHeight="1" thickTop="1" thickBot="1" x14ac:dyDescent="0.25">
      <c r="A82" s="459" t="s">
        <v>340</v>
      </c>
      <c r="B82" s="460"/>
      <c r="C82" s="461">
        <f>(C81-C79)</f>
        <v>488658</v>
      </c>
      <c r="D82" s="461">
        <f t="shared" ref="D82:K82" si="11">(D81-D79)</f>
        <v>290790</v>
      </c>
      <c r="E82" s="461">
        <f t="shared" si="11"/>
        <v>-117259</v>
      </c>
      <c r="F82" s="461">
        <f t="shared" si="11"/>
        <v>161445</v>
      </c>
      <c r="G82" s="461">
        <f t="shared" si="11"/>
        <v>-19322</v>
      </c>
      <c r="H82" s="461">
        <f t="shared" si="11"/>
        <v>-325715</v>
      </c>
      <c r="I82" s="461">
        <f t="shared" si="11"/>
        <v>43327</v>
      </c>
      <c r="J82" s="461">
        <f t="shared" si="11"/>
        <v>-18948</v>
      </c>
      <c r="K82" s="461">
        <f t="shared" si="11"/>
        <v>-2601</v>
      </c>
    </row>
    <row r="83" spans="1:12" ht="14.25" hidden="1" thickTop="1" thickBot="1" x14ac:dyDescent="0.25">
      <c r="A83" s="462" t="s">
        <v>341</v>
      </c>
      <c r="B83" s="428"/>
      <c r="C83" s="463">
        <f>C82/C81</f>
        <v>0.24069878098518149</v>
      </c>
      <c r="D83" s="463">
        <f t="shared" ref="D83:K83" si="12">D82/D81</f>
        <v>0.47607977066180313</v>
      </c>
      <c r="E83" s="463">
        <f t="shared" si="12"/>
        <v>-0.68470809440947367</v>
      </c>
      <c r="F83" s="463">
        <f t="shared" si="12"/>
        <v>0.3987418680813859</v>
      </c>
      <c r="G83" s="463">
        <f t="shared" si="12"/>
        <v>-4.3647978892106677E-2</v>
      </c>
      <c r="H83" s="463">
        <f t="shared" si="12"/>
        <v>-0.16355859391280725</v>
      </c>
      <c r="I83" s="463">
        <f t="shared" si="12"/>
        <v>3.8075511260427991E-2</v>
      </c>
      <c r="J83" s="463">
        <f t="shared" si="12"/>
        <v>-4.9170756012051349E-2</v>
      </c>
      <c r="K83" s="463">
        <f t="shared" si="12"/>
        <v>-8.9353808100587448E-2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8" activePane="bottomLeft" state="frozen"/>
      <selection activeCell="A42" sqref="A42:C42"/>
      <selection pane="bottomLeft" activeCell="A42" sqref="A42:C42"/>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1778</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f>1902580</f>
        <v>1902580</v>
      </c>
      <c r="D5" s="1586">
        <v>371088</v>
      </c>
      <c r="E5" s="1573">
        <v>687730</v>
      </c>
      <c r="F5" s="1631">
        <v>216533</v>
      </c>
      <c r="G5" s="1573">
        <f>98443</f>
        <v>98443</v>
      </c>
      <c r="H5" s="1573"/>
      <c r="I5" s="1573">
        <v>31126</v>
      </c>
      <c r="J5" s="1574">
        <v>155664</v>
      </c>
      <c r="K5" s="1573">
        <v>31126</v>
      </c>
    </row>
    <row r="6" spans="1:12" ht="15" x14ac:dyDescent="0.2">
      <c r="A6" s="427" t="s">
        <v>1643</v>
      </c>
      <c r="B6" s="429">
        <v>1130</v>
      </c>
      <c r="C6" s="1573"/>
      <c r="D6" s="1573">
        <v>7736</v>
      </c>
      <c r="E6" s="1580"/>
      <c r="F6" s="1580"/>
      <c r="G6" s="1575"/>
      <c r="H6" s="1575"/>
      <c r="I6" s="1575"/>
      <c r="J6" s="1575"/>
      <c r="K6" s="1575"/>
    </row>
    <row r="7" spans="1:12" x14ac:dyDescent="0.2">
      <c r="A7" s="427" t="s">
        <v>110</v>
      </c>
      <c r="B7" s="471">
        <v>1140</v>
      </c>
      <c r="C7" s="1573">
        <v>31126</v>
      </c>
      <c r="D7" s="1573"/>
      <c r="E7" s="1575"/>
      <c r="F7" s="1574"/>
      <c r="G7" s="1574"/>
      <c r="H7" s="1574"/>
      <c r="I7" s="1575"/>
      <c r="J7" s="1575"/>
      <c r="K7" s="1575"/>
    </row>
    <row r="8" spans="1:12" x14ac:dyDescent="0.2">
      <c r="A8" s="427" t="s">
        <v>410</v>
      </c>
      <c r="B8" s="429">
        <v>1150</v>
      </c>
      <c r="C8" s="1580"/>
      <c r="D8" s="1580"/>
      <c r="E8" s="1582"/>
      <c r="F8" s="1582"/>
      <c r="G8" s="1586">
        <v>98443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1933706</v>
      </c>
      <c r="D12" s="1633">
        <f t="shared" si="0"/>
        <v>378824</v>
      </c>
      <c r="E12" s="1633">
        <f t="shared" si="0"/>
        <v>687730</v>
      </c>
      <c r="F12" s="1633">
        <f t="shared" si="0"/>
        <v>216533</v>
      </c>
      <c r="G12" s="1633">
        <f t="shared" si="0"/>
        <v>196886</v>
      </c>
      <c r="H12" s="1633">
        <f t="shared" si="0"/>
        <v>0</v>
      </c>
      <c r="I12" s="1633">
        <f t="shared" si="0"/>
        <v>31126</v>
      </c>
      <c r="J12" s="1633">
        <f t="shared" si="0"/>
        <v>155664</v>
      </c>
      <c r="K12" s="1594">
        <f t="shared" si="0"/>
        <v>31126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10541</v>
      </c>
      <c r="D14" s="1573">
        <v>2065</v>
      </c>
      <c r="E14" s="1573">
        <v>3749</v>
      </c>
      <c r="F14" s="1573">
        <v>1180</v>
      </c>
      <c r="G14" s="1573">
        <f>537+537</f>
        <v>1074</v>
      </c>
      <c r="H14" s="1573"/>
      <c r="I14" s="1573">
        <v>170</v>
      </c>
      <c r="J14" s="1574">
        <v>849</v>
      </c>
      <c r="K14" s="1573">
        <v>170</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268350</v>
      </c>
      <c r="D16" s="1573"/>
      <c r="E16" s="1573"/>
      <c r="F16" s="1573"/>
      <c r="G16" s="1573">
        <f>7436+7436</f>
        <v>14872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278891</v>
      </c>
      <c r="D18" s="1635">
        <f t="shared" ref="D18:K18" si="1">SUM(D14:D17)</f>
        <v>2065</v>
      </c>
      <c r="E18" s="1635">
        <f t="shared" si="1"/>
        <v>3749</v>
      </c>
      <c r="F18" s="1635">
        <f t="shared" si="1"/>
        <v>1180</v>
      </c>
      <c r="G18" s="1635">
        <f t="shared" si="1"/>
        <v>15946</v>
      </c>
      <c r="H18" s="1635">
        <f t="shared" si="1"/>
        <v>0</v>
      </c>
      <c r="I18" s="1635">
        <f t="shared" si="1"/>
        <v>170</v>
      </c>
      <c r="J18" s="1635">
        <f t="shared" si="1"/>
        <v>849</v>
      </c>
      <c r="K18" s="1636">
        <f t="shared" si="1"/>
        <v>170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4591</v>
      </c>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4591</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21536-5</f>
        <v>21531</v>
      </c>
      <c r="D65" s="1573">
        <f>4465-1</f>
        <v>4464</v>
      </c>
      <c r="E65" s="1573">
        <f>3167-1</f>
        <v>3166</v>
      </c>
      <c r="F65" s="1574">
        <f>3383-3</f>
        <v>3380</v>
      </c>
      <c r="G65" s="1573">
        <f>3703+1738-5</f>
        <v>5436</v>
      </c>
      <c r="H65" s="1573">
        <v>25151</v>
      </c>
      <c r="I65" s="1573">
        <f>12032-1</f>
        <v>12031</v>
      </c>
      <c r="J65" s="1574">
        <v>3994</v>
      </c>
      <c r="K65" s="1573">
        <v>426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21531</v>
      </c>
      <c r="D67" s="1594">
        <f t="shared" ref="D67:K67" si="2">SUM(D65:D66)</f>
        <v>4464</v>
      </c>
      <c r="E67" s="1594">
        <f t="shared" si="2"/>
        <v>3166</v>
      </c>
      <c r="F67" s="1594">
        <f t="shared" si="2"/>
        <v>3380</v>
      </c>
      <c r="G67" s="1594">
        <f t="shared" si="2"/>
        <v>5436</v>
      </c>
      <c r="H67" s="1594">
        <f t="shared" si="2"/>
        <v>25151</v>
      </c>
      <c r="I67" s="1594">
        <f t="shared" si="2"/>
        <v>12031</v>
      </c>
      <c r="J67" s="1594">
        <f t="shared" si="2"/>
        <v>3994</v>
      </c>
      <c r="K67" s="1594">
        <f t="shared" si="2"/>
        <v>426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80699</v>
      </c>
      <c r="D69" s="1575"/>
      <c r="E69" s="1575"/>
      <c r="F69" s="1575"/>
      <c r="G69" s="1575"/>
      <c r="H69" s="1575"/>
      <c r="I69" s="1575"/>
      <c r="J69" s="1575"/>
      <c r="K69" s="1575"/>
    </row>
    <row r="70" spans="1:11" ht="12.75" customHeight="1" x14ac:dyDescent="0.2">
      <c r="A70" s="427" t="s">
        <v>990</v>
      </c>
      <c r="B70" s="429">
        <v>1612</v>
      </c>
      <c r="C70" s="1632">
        <v>86</v>
      </c>
      <c r="D70" s="1575"/>
      <c r="E70" s="1575"/>
      <c r="F70" s="1575"/>
      <c r="G70" s="1575"/>
      <c r="H70" s="1575"/>
      <c r="I70" s="1575"/>
      <c r="J70" s="1575"/>
      <c r="K70" s="1575"/>
    </row>
    <row r="71" spans="1:11" ht="12.75" customHeight="1" x14ac:dyDescent="0.2">
      <c r="A71" s="427" t="s">
        <v>271</v>
      </c>
      <c r="B71" s="429">
        <v>1613</v>
      </c>
      <c r="C71" s="1632">
        <v>34346</v>
      </c>
      <c r="D71" s="1575"/>
      <c r="E71" s="1575"/>
      <c r="F71" s="1575"/>
      <c r="G71" s="1575"/>
      <c r="H71" s="1575"/>
      <c r="I71" s="1575"/>
      <c r="J71" s="1575"/>
      <c r="K71" s="1575"/>
    </row>
    <row r="72" spans="1:11" ht="12.75" customHeight="1" x14ac:dyDescent="0.2">
      <c r="A72" s="427" t="s">
        <v>24</v>
      </c>
      <c r="B72" s="429">
        <v>1614</v>
      </c>
      <c r="C72" s="1632">
        <v>27061</v>
      </c>
      <c r="D72" s="1575"/>
      <c r="E72" s="1575"/>
      <c r="F72" s="1575"/>
      <c r="G72" s="1575"/>
      <c r="H72" s="1575"/>
      <c r="I72" s="1575"/>
      <c r="J72" s="1575"/>
      <c r="K72" s="1575"/>
    </row>
    <row r="73" spans="1:11" ht="12.75" customHeight="1" x14ac:dyDescent="0.2">
      <c r="A73" s="427" t="s">
        <v>991</v>
      </c>
      <c r="B73" s="429">
        <v>1620</v>
      </c>
      <c r="C73" s="1632">
        <v>4940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147132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34506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1290+1340+4752+3355</f>
        <v>10737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f>50+262163</f>
        <v>262213</v>
      </c>
      <c r="D81" s="1573"/>
      <c r="E81" s="1575"/>
      <c r="F81" s="1575"/>
      <c r="G81" s="1575"/>
      <c r="H81" s="1575"/>
      <c r="I81" s="1575"/>
      <c r="J81" s="1575"/>
      <c r="K81" s="1575"/>
    </row>
    <row r="82" spans="1:11" ht="12.75" customHeight="1" thickBot="1" x14ac:dyDescent="0.25">
      <c r="A82" s="1406" t="s">
        <v>239</v>
      </c>
      <c r="B82" s="1407"/>
      <c r="C82" s="1633">
        <f>SUM(C77:C81)</f>
        <v>307456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22164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22164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v>106074</v>
      </c>
      <c r="D100" s="1598"/>
      <c r="E100" s="1598"/>
      <c r="F100" s="1598"/>
      <c r="G100" s="1598"/>
      <c r="H100" s="1598"/>
      <c r="I100" s="1574"/>
      <c r="J100" s="1598"/>
      <c r="K100" s="1574"/>
    </row>
    <row r="101" spans="1:12" ht="12.75" customHeight="1" x14ac:dyDescent="0.2">
      <c r="A101" s="427" t="s">
        <v>244</v>
      </c>
      <c r="B101" s="429">
        <v>1970</v>
      </c>
      <c r="C101" s="1598">
        <v>10620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468186</v>
      </c>
      <c r="F103" s="1575"/>
      <c r="G103" s="1575"/>
      <c r="H103" s="1598">
        <v>290203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f>13872+855</f>
        <v>14727</v>
      </c>
      <c r="D106" s="1598"/>
      <c r="E106" s="1574"/>
      <c r="F106" s="1574"/>
      <c r="G106" s="1574"/>
      <c r="H106" s="1574"/>
      <c r="I106" s="1617"/>
      <c r="J106" s="1574"/>
      <c r="K106" s="1574"/>
    </row>
    <row r="107" spans="1:12" ht="12.75" customHeight="1" x14ac:dyDescent="0.2">
      <c r="A107" s="427" t="s">
        <v>78</v>
      </c>
      <c r="B107" s="429">
        <v>1999</v>
      </c>
      <c r="C107" s="1632">
        <v>24455</v>
      </c>
      <c r="D107" s="1573">
        <v>15408</v>
      </c>
      <c r="E107" s="1573"/>
      <c r="F107" s="1573"/>
      <c r="G107" s="1573">
        <v>40</v>
      </c>
      <c r="H107" s="1573">
        <v>65287</v>
      </c>
      <c r="I107" s="1573"/>
      <c r="J107" s="1574"/>
      <c r="K107" s="1573"/>
    </row>
    <row r="108" spans="1:12" ht="12.75" customHeight="1" thickBot="1" x14ac:dyDescent="0.25">
      <c r="A108" s="1406" t="s">
        <v>484</v>
      </c>
      <c r="B108" s="1408"/>
      <c r="C108" s="1633">
        <f>SUM(C95:C107)</f>
        <v>155876</v>
      </c>
      <c r="D108" s="1633">
        <f t="shared" ref="D108:K108" si="3">SUM(D95:D107)</f>
        <v>15408</v>
      </c>
      <c r="E108" s="1633">
        <f t="shared" si="3"/>
        <v>468186</v>
      </c>
      <c r="F108" s="1633">
        <f t="shared" si="3"/>
        <v>0</v>
      </c>
      <c r="G108" s="1633">
        <f t="shared" si="3"/>
        <v>40</v>
      </c>
      <c r="H108" s="1633">
        <f t="shared" si="3"/>
        <v>355490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2866756</v>
      </c>
      <c r="D109" s="1641">
        <f t="shared" si="4"/>
        <v>400761</v>
      </c>
      <c r="E109" s="1641">
        <f t="shared" si="4"/>
        <v>1162831</v>
      </c>
      <c r="F109" s="1641">
        <f t="shared" si="4"/>
        <v>225684</v>
      </c>
      <c r="G109" s="1641">
        <f t="shared" si="4"/>
        <v>218308</v>
      </c>
      <c r="H109" s="1641">
        <f t="shared" si="4"/>
        <v>380641</v>
      </c>
      <c r="I109" s="1641">
        <f t="shared" si="4"/>
        <v>43327</v>
      </c>
      <c r="J109" s="1641">
        <f t="shared" si="4"/>
        <v>160507</v>
      </c>
      <c r="K109" s="1629">
        <f t="shared" si="4"/>
        <v>31722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5808485</v>
      </c>
      <c r="D117" s="1586">
        <v>435636</v>
      </c>
      <c r="E117" s="1573"/>
      <c r="F117" s="1586">
        <v>145213</v>
      </c>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5808485</v>
      </c>
      <c r="D122" s="1633">
        <f t="shared" si="5"/>
        <v>435636</v>
      </c>
      <c r="E122" s="1633">
        <f t="shared" si="5"/>
        <v>0</v>
      </c>
      <c r="F122" s="1633">
        <f t="shared" si="5"/>
        <v>145213</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33891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33891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27225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4372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31597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4338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11187</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235292</v>
      </c>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235292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5343</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86356</v>
      </c>
      <c r="D169" s="1658">
        <f t="shared" si="6"/>
        <v>50000</v>
      </c>
      <c r="E169" s="1658">
        <f t="shared" si="6"/>
        <v>0</v>
      </c>
      <c r="F169" s="1658">
        <f t="shared" si="6"/>
        <v>235292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5894841</v>
      </c>
      <c r="D170" s="1641">
        <f t="shared" si="7"/>
        <v>485636</v>
      </c>
      <c r="E170" s="1641">
        <f t="shared" si="7"/>
        <v>0</v>
      </c>
      <c r="F170" s="1641">
        <f t="shared" si="7"/>
        <v>380505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1779</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210256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72922</v>
      </c>
      <c r="D193" s="1575"/>
      <c r="E193" s="1640"/>
      <c r="F193" s="1575"/>
      <c r="G193" s="1664"/>
      <c r="H193" s="1575"/>
      <c r="I193" s="1575"/>
      <c r="J193" s="1575"/>
      <c r="K193" s="1575"/>
    </row>
    <row r="194" spans="1:11" ht="12.75" customHeight="1" x14ac:dyDescent="0.2">
      <c r="A194" s="427" t="s">
        <v>1434</v>
      </c>
      <c r="B194" s="429">
        <v>4225</v>
      </c>
      <c r="C194" s="1632">
        <v>244578</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11337</v>
      </c>
      <c r="D197" s="1575"/>
      <c r="E197" s="1640"/>
      <c r="F197" s="1575"/>
      <c r="G197" s="1664"/>
      <c r="H197" s="1575"/>
      <c r="I197" s="1575"/>
      <c r="J197" s="1575"/>
      <c r="K197" s="1575"/>
    </row>
    <row r="198" spans="1:11" ht="12.75" customHeight="1" thickBot="1" x14ac:dyDescent="0.25">
      <c r="A198" s="1406" t="s">
        <v>544</v>
      </c>
      <c r="B198" s="1407"/>
      <c r="C198" s="1594">
        <f>SUM(C190:C197)</f>
        <v>539093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f>320751+118346+20024</f>
        <v>459121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459121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13284</v>
      </c>
      <c r="D263" s="1651"/>
      <c r="E263" s="1575"/>
      <c r="F263" s="1651"/>
      <c r="G263" s="1651"/>
      <c r="H263" s="1575"/>
      <c r="I263" s="1575"/>
      <c r="J263" s="1575"/>
      <c r="K263" s="1575"/>
    </row>
    <row r="264" spans="1:11" ht="12.75" customHeight="1" thickTop="1" thickBot="1" x14ac:dyDescent="0.25">
      <c r="A264" s="427" t="s">
        <v>374</v>
      </c>
      <c r="B264" s="429">
        <v>4992</v>
      </c>
      <c r="C264" s="1650">
        <v>6573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1018071</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1018071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9779668</v>
      </c>
      <c r="D268" s="1641">
        <f t="shared" si="12"/>
        <v>886397</v>
      </c>
      <c r="E268" s="1641">
        <f t="shared" si="12"/>
        <v>1162831</v>
      </c>
      <c r="F268" s="1641">
        <f t="shared" si="12"/>
        <v>606189</v>
      </c>
      <c r="G268" s="1641">
        <f t="shared" si="12"/>
        <v>218308</v>
      </c>
      <c r="H268" s="1641">
        <f t="shared" si="12"/>
        <v>380641</v>
      </c>
      <c r="I268" s="1641">
        <f t="shared" si="12"/>
        <v>43327</v>
      </c>
      <c r="J268" s="1641">
        <f t="shared" si="12"/>
        <v>160507</v>
      </c>
      <c r="K268" s="1629">
        <f t="shared" si="12"/>
        <v>31722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2" activePane="bottomLeft" state="frozen"/>
      <selection activeCell="A42" sqref="A42:C42"/>
      <selection pane="bottomLeft" activeCell="A42" sqref="A42:C4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1256632+888828+845941</f>
        <v>2991401</v>
      </c>
      <c r="D5" s="1573">
        <f>362841+269667+218994</f>
        <v>851502</v>
      </c>
      <c r="E5" s="1573">
        <f>50010+36648+41844</f>
        <v>128502</v>
      </c>
      <c r="F5" s="1573">
        <f>57582+46623+93081</f>
        <v>197286</v>
      </c>
      <c r="G5" s="1573">
        <f>9223+9583+7824</f>
        <v>26630</v>
      </c>
      <c r="H5" s="1573">
        <f>10083+6376+58451</f>
        <v>74910</v>
      </c>
      <c r="I5" s="1574"/>
      <c r="J5" s="1574"/>
      <c r="K5" s="1672">
        <f>SUM(C5:J5)</f>
        <v>4270231</v>
      </c>
      <c r="L5" s="1573">
        <v>4313314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167267</v>
      </c>
      <c r="D10" s="1573">
        <v>21182</v>
      </c>
      <c r="E10" s="1573">
        <v>35622</v>
      </c>
      <c r="F10" s="1573">
        <v>28955</v>
      </c>
      <c r="G10" s="1573">
        <v>2275</v>
      </c>
      <c r="H10" s="1573"/>
      <c r="I10" s="1574"/>
      <c r="J10" s="1574"/>
      <c r="K10" s="1672">
        <f t="shared" si="0"/>
        <v>255301</v>
      </c>
      <c r="L10" s="1573">
        <v>270925</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f>47708+65737+108102</f>
        <v>221547</v>
      </c>
      <c r="D13" s="1573">
        <f>15665+17806+34961</f>
        <v>68432</v>
      </c>
      <c r="E13" s="1573">
        <f>588+72+140</f>
        <v>800</v>
      </c>
      <c r="F13" s="1573"/>
      <c r="G13" s="1573"/>
      <c r="H13" s="1573"/>
      <c r="I13" s="1574"/>
      <c r="J13" s="1574"/>
      <c r="K13" s="1672">
        <f t="shared" si="0"/>
        <v>290779</v>
      </c>
      <c r="L13" s="1573">
        <v>289090</v>
      </c>
    </row>
    <row r="14" spans="1:14" x14ac:dyDescent="0.2">
      <c r="A14" s="1274" t="s">
        <v>957</v>
      </c>
      <c r="B14" s="503">
        <v>1500</v>
      </c>
      <c r="C14" s="1573">
        <f>6876+1000+6600+16760+18455+2200+6200+17570+9170+13381+8675+1625+45200</f>
        <v>153712</v>
      </c>
      <c r="D14" s="1573">
        <f>513+307+1286+1220+292+1331+1297+732+182+17044</f>
        <v>24204</v>
      </c>
      <c r="E14" s="1573">
        <f>2322+1628+42+3639+10745+17+31+7120+1062+879+4469+2+324</f>
        <v>32280</v>
      </c>
      <c r="F14" s="1573">
        <f>1637+268+20060+1238+1667+682+676+695+2499+1361+40+1074+92</f>
        <v>31989</v>
      </c>
      <c r="G14" s="1573">
        <f>-1686+350</f>
        <v>-1336</v>
      </c>
      <c r="H14" s="1573">
        <f>1220+905+42+245+460+850+140+485+2000+238+680</f>
        <v>7265</v>
      </c>
      <c r="I14" s="1574"/>
      <c r="J14" s="1574"/>
      <c r="K14" s="1672">
        <f t="shared" si="0"/>
        <v>248114</v>
      </c>
      <c r="L14" s="1573">
        <v>253768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66537</v>
      </c>
      <c r="D17" s="1574">
        <v>17721</v>
      </c>
      <c r="E17" s="1574">
        <v>4645</v>
      </c>
      <c r="F17" s="1574">
        <v>652</v>
      </c>
      <c r="G17" s="1574"/>
      <c r="H17" s="1574">
        <v>20</v>
      </c>
      <c r="I17" s="1574"/>
      <c r="J17" s="1574"/>
      <c r="K17" s="1672">
        <f t="shared" si="0"/>
        <v>89575</v>
      </c>
      <c r="L17" s="1573">
        <v>89969</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v>43008</v>
      </c>
      <c r="I19" s="1574"/>
      <c r="J19" s="1574"/>
      <c r="K19" s="1672">
        <f t="shared" si="0"/>
        <v>43008</v>
      </c>
      <c r="L19" s="1573">
        <v>43350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3600464</v>
      </c>
      <c r="D33" s="1674">
        <f t="shared" ref="D33:L33" si="1">SUM(D5:D32)</f>
        <v>983041</v>
      </c>
      <c r="E33" s="1674">
        <f t="shared" si="1"/>
        <v>201849</v>
      </c>
      <c r="F33" s="1674">
        <f t="shared" si="1"/>
        <v>258882</v>
      </c>
      <c r="G33" s="1674">
        <f t="shared" si="1"/>
        <v>27569</v>
      </c>
      <c r="H33" s="1674">
        <f t="shared" si="1"/>
        <v>125203</v>
      </c>
      <c r="I33" s="1674">
        <f t="shared" si="1"/>
        <v>0</v>
      </c>
      <c r="J33" s="1674">
        <f t="shared" si="1"/>
        <v>0</v>
      </c>
      <c r="K33" s="1674">
        <f t="shared" si="1"/>
        <v>5197008</v>
      </c>
      <c r="L33" s="1674">
        <f t="shared" si="1"/>
        <v>5260416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54810</v>
      </c>
      <c r="D36" s="1586">
        <v>16423</v>
      </c>
      <c r="E36" s="1586">
        <v>287</v>
      </c>
      <c r="F36" s="1586">
        <v>951</v>
      </c>
      <c r="G36" s="1586">
        <v>1009</v>
      </c>
      <c r="H36" s="1586"/>
      <c r="I36" s="1574"/>
      <c r="J36" s="1574"/>
      <c r="K36" s="1672">
        <f t="shared" ref="K36:K41" si="2">SUM(C36:J36)</f>
        <v>73480</v>
      </c>
      <c r="L36" s="1573">
        <v>133533</v>
      </c>
    </row>
    <row r="37" spans="1:14" x14ac:dyDescent="0.2">
      <c r="A37" s="1274" t="s">
        <v>1081</v>
      </c>
      <c r="B37" s="503">
        <v>2120</v>
      </c>
      <c r="C37" s="1573">
        <v>71596</v>
      </c>
      <c r="D37" s="1573">
        <v>18574</v>
      </c>
      <c r="E37" s="1573">
        <v>74</v>
      </c>
      <c r="F37" s="1573"/>
      <c r="G37" s="1573"/>
      <c r="H37" s="1573"/>
      <c r="I37" s="1574"/>
      <c r="J37" s="1574"/>
      <c r="K37" s="1672">
        <f t="shared" si="2"/>
        <v>90244</v>
      </c>
      <c r="L37" s="1573">
        <v>90459</v>
      </c>
    </row>
    <row r="38" spans="1:14" x14ac:dyDescent="0.2">
      <c r="A38" s="1274" t="s">
        <v>196</v>
      </c>
      <c r="B38" s="503">
        <v>2130</v>
      </c>
      <c r="C38" s="1573">
        <v>55268</v>
      </c>
      <c r="D38" s="1573">
        <v>9564</v>
      </c>
      <c r="E38" s="1573">
        <v>785</v>
      </c>
      <c r="F38" s="1573">
        <v>1435</v>
      </c>
      <c r="G38" s="1573"/>
      <c r="H38" s="1573">
        <v>130</v>
      </c>
      <c r="I38" s="1574"/>
      <c r="J38" s="1574"/>
      <c r="K38" s="1672">
        <f t="shared" si="2"/>
        <v>67182</v>
      </c>
      <c r="L38" s="1573">
        <v>77870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f>6172+74689</f>
        <v>80861</v>
      </c>
      <c r="D41" s="1573">
        <v>6233</v>
      </c>
      <c r="E41" s="1573">
        <f>38+252</f>
        <v>290</v>
      </c>
      <c r="F41" s="1573"/>
      <c r="G41" s="1573"/>
      <c r="H41" s="1573"/>
      <c r="I41" s="1574"/>
      <c r="J41" s="1574"/>
      <c r="K41" s="1672">
        <f t="shared" si="2"/>
        <v>87384</v>
      </c>
      <c r="L41" s="1573">
        <v>90744</v>
      </c>
    </row>
    <row r="42" spans="1:14" ht="12.75" customHeight="1" thickBot="1" x14ac:dyDescent="0.25">
      <c r="A42" s="1380" t="s">
        <v>556</v>
      </c>
      <c r="B42" s="1381" t="s">
        <v>711</v>
      </c>
      <c r="C42" s="1674">
        <f>SUM(C36:C41)</f>
        <v>262535</v>
      </c>
      <c r="D42" s="1674">
        <f t="shared" ref="D42:L42" si="3">SUM(D36:D41)</f>
        <v>50794</v>
      </c>
      <c r="E42" s="1674">
        <f t="shared" si="3"/>
        <v>1436</v>
      </c>
      <c r="F42" s="1674">
        <f t="shared" si="3"/>
        <v>2386</v>
      </c>
      <c r="G42" s="1674">
        <f t="shared" si="3"/>
        <v>1009</v>
      </c>
      <c r="H42" s="1674">
        <f t="shared" si="3"/>
        <v>130</v>
      </c>
      <c r="I42" s="1674">
        <f t="shared" si="3"/>
        <v>0</v>
      </c>
      <c r="J42" s="1674">
        <f t="shared" si="3"/>
        <v>0</v>
      </c>
      <c r="K42" s="1674">
        <f t="shared" si="3"/>
        <v>318290</v>
      </c>
      <c r="L42" s="1674">
        <f t="shared" si="3"/>
        <v>392606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11563+87279</f>
        <v>98842</v>
      </c>
      <c r="D44" s="1586">
        <f>16254+7978</f>
        <v>24232</v>
      </c>
      <c r="E44" s="1586">
        <f>32265+58</f>
        <v>32323</v>
      </c>
      <c r="F44" s="1586">
        <v>1310</v>
      </c>
      <c r="G44" s="1586"/>
      <c r="H44" s="1586"/>
      <c r="I44" s="1574"/>
      <c r="J44" s="1574"/>
      <c r="K44" s="1678">
        <f>SUM(C44:J44)</f>
        <v>156707</v>
      </c>
      <c r="L44" s="1586">
        <v>179177</v>
      </c>
    </row>
    <row r="45" spans="1:14" x14ac:dyDescent="0.2">
      <c r="A45" s="1274" t="s">
        <v>810</v>
      </c>
      <c r="B45" s="503">
        <v>2220</v>
      </c>
      <c r="C45" s="1573">
        <v>22585</v>
      </c>
      <c r="D45" s="1573">
        <v>170</v>
      </c>
      <c r="E45" s="1573"/>
      <c r="F45" s="1573">
        <v>3949</v>
      </c>
      <c r="G45" s="1573"/>
      <c r="H45" s="1573">
        <v>3846</v>
      </c>
      <c r="I45" s="1574"/>
      <c r="J45" s="1574"/>
      <c r="K45" s="1678">
        <f>SUM(C45:J45)</f>
        <v>30550</v>
      </c>
      <c r="L45" s="1573">
        <v>30754</v>
      </c>
    </row>
    <row r="46" spans="1:14" x14ac:dyDescent="0.2">
      <c r="A46" s="1274" t="s">
        <v>811</v>
      </c>
      <c r="B46" s="503">
        <v>2230</v>
      </c>
      <c r="C46" s="1573"/>
      <c r="D46" s="1573"/>
      <c r="E46" s="1573"/>
      <c r="F46" s="1573"/>
      <c r="G46" s="1573"/>
      <c r="H46" s="1573">
        <v>30988</v>
      </c>
      <c r="I46" s="1574"/>
      <c r="J46" s="1574"/>
      <c r="K46" s="1678">
        <f>SUM(C46:J46)</f>
        <v>30988</v>
      </c>
      <c r="L46" s="1573">
        <v>31600</v>
      </c>
    </row>
    <row r="47" spans="1:14" ht="12.75" customHeight="1" thickBot="1" x14ac:dyDescent="0.25">
      <c r="A47" s="1380" t="s">
        <v>557</v>
      </c>
      <c r="B47" s="1381" t="s">
        <v>32</v>
      </c>
      <c r="C47" s="1674">
        <f>SUM(C44:C46)</f>
        <v>121427</v>
      </c>
      <c r="D47" s="1674">
        <f t="shared" ref="D47:K47" si="4">SUM(D44:D46)</f>
        <v>24402</v>
      </c>
      <c r="E47" s="1674">
        <f t="shared" si="4"/>
        <v>32323</v>
      </c>
      <c r="F47" s="1674">
        <f t="shared" si="4"/>
        <v>5259</v>
      </c>
      <c r="G47" s="1674">
        <f t="shared" si="4"/>
        <v>0</v>
      </c>
      <c r="H47" s="1674">
        <f t="shared" si="4"/>
        <v>34834</v>
      </c>
      <c r="I47" s="1674">
        <f t="shared" si="4"/>
        <v>0</v>
      </c>
      <c r="J47" s="1674">
        <f t="shared" si="4"/>
        <v>0</v>
      </c>
      <c r="K47" s="1674">
        <f t="shared" si="4"/>
        <v>218245</v>
      </c>
      <c r="L47" s="1674">
        <f>SUM(L44:L46)</f>
        <v>241531</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f>1210+9837-13327</f>
        <v>-2280</v>
      </c>
      <c r="D49" s="1586">
        <v>47</v>
      </c>
      <c r="E49" s="1586">
        <f>5+73+28820</f>
        <v>28898</v>
      </c>
      <c r="F49" s="1586">
        <v>422</v>
      </c>
      <c r="G49" s="1586">
        <v>612</v>
      </c>
      <c r="H49" s="1586">
        <v>19671</v>
      </c>
      <c r="I49" s="1574"/>
      <c r="J49" s="1574"/>
      <c r="K49" s="1678">
        <f>SUM(C49:J49)</f>
        <v>47370</v>
      </c>
      <c r="L49" s="1586">
        <v>67742</v>
      </c>
    </row>
    <row r="50" spans="1:14" x14ac:dyDescent="0.2">
      <c r="A50" s="1274" t="s">
        <v>813</v>
      </c>
      <c r="B50" s="503">
        <v>2320</v>
      </c>
      <c r="C50" s="1573">
        <v>109796</v>
      </c>
      <c r="D50" s="1573">
        <v>22906</v>
      </c>
      <c r="E50" s="1573">
        <v>7390</v>
      </c>
      <c r="F50" s="1573">
        <v>2422</v>
      </c>
      <c r="G50" s="1573"/>
      <c r="H50" s="1573">
        <v>2187</v>
      </c>
      <c r="I50" s="1574"/>
      <c r="J50" s="1574"/>
      <c r="K50" s="1678">
        <f>SUM(C50:J50)</f>
        <v>144701</v>
      </c>
      <c r="L50" s="1573">
        <v>142369</v>
      </c>
    </row>
    <row r="51" spans="1:14" x14ac:dyDescent="0.2">
      <c r="A51" s="1274" t="s">
        <v>42</v>
      </c>
      <c r="B51" s="503">
        <v>2330</v>
      </c>
      <c r="C51" s="1573"/>
      <c r="D51" s="1573"/>
      <c r="E51" s="1573">
        <v>1000</v>
      </c>
      <c r="F51" s="1573"/>
      <c r="G51" s="1573"/>
      <c r="H51" s="1573"/>
      <c r="I51" s="1574"/>
      <c r="J51" s="1574"/>
      <c r="K51" s="1678">
        <f>SUM(C51:J51)</f>
        <v>1000</v>
      </c>
      <c r="L51" s="1573">
        <v>1000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107516</v>
      </c>
      <c r="D53" s="1674">
        <f t="shared" ref="D53:L53" si="5">SUM(D49:D52)</f>
        <v>22953</v>
      </c>
      <c r="E53" s="1674">
        <f t="shared" si="5"/>
        <v>37288</v>
      </c>
      <c r="F53" s="1674">
        <f t="shared" si="5"/>
        <v>2844</v>
      </c>
      <c r="G53" s="1674">
        <f t="shared" si="5"/>
        <v>612</v>
      </c>
      <c r="H53" s="1674">
        <f t="shared" si="5"/>
        <v>21858</v>
      </c>
      <c r="I53" s="1674">
        <f t="shared" si="5"/>
        <v>0</v>
      </c>
      <c r="J53" s="1674">
        <f t="shared" si="5"/>
        <v>0</v>
      </c>
      <c r="K53" s="1674">
        <f t="shared" si="5"/>
        <v>193071</v>
      </c>
      <c r="L53" s="1674">
        <f t="shared" si="5"/>
        <v>211111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524947</v>
      </c>
      <c r="D55" s="1586">
        <v>150020</v>
      </c>
      <c r="E55" s="1586">
        <v>7423</v>
      </c>
      <c r="F55" s="1586">
        <v>9518</v>
      </c>
      <c r="G55" s="1586"/>
      <c r="H55" s="1586">
        <v>2211</v>
      </c>
      <c r="I55" s="1574"/>
      <c r="J55" s="1574"/>
      <c r="K55" s="1678">
        <f>SUM(C55:J55)</f>
        <v>694119</v>
      </c>
      <c r="L55" s="1586">
        <v>696871</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524947</v>
      </c>
      <c r="D57" s="1679">
        <f t="shared" ref="D57:K57" si="6">SUM(D55:D56)</f>
        <v>150020</v>
      </c>
      <c r="E57" s="1679">
        <f t="shared" si="6"/>
        <v>7423</v>
      </c>
      <c r="F57" s="1679">
        <f t="shared" si="6"/>
        <v>9518</v>
      </c>
      <c r="G57" s="1679">
        <f t="shared" si="6"/>
        <v>0</v>
      </c>
      <c r="H57" s="1679">
        <f t="shared" si="6"/>
        <v>2211</v>
      </c>
      <c r="I57" s="1679">
        <f t="shared" si="6"/>
        <v>0</v>
      </c>
      <c r="J57" s="1679">
        <f t="shared" si="6"/>
        <v>0</v>
      </c>
      <c r="K57" s="1679">
        <f t="shared" si="6"/>
        <v>694119</v>
      </c>
      <c r="L57" s="1674">
        <f>SUM(L55:L56)</f>
        <v>696871</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99531</v>
      </c>
      <c r="D60" s="1573">
        <v>20166</v>
      </c>
      <c r="E60" s="1573">
        <v>22154</v>
      </c>
      <c r="F60" s="1573">
        <v>2297</v>
      </c>
      <c r="G60" s="1573"/>
      <c r="H60" s="1573">
        <v>170</v>
      </c>
      <c r="I60" s="1574"/>
      <c r="J60" s="1574"/>
      <c r="K60" s="1678">
        <f t="shared" si="7"/>
        <v>144318</v>
      </c>
      <c r="L60" s="1573">
        <v>145303</v>
      </c>
      <c r="M60" s="501"/>
      <c r="N60" s="501"/>
    </row>
    <row r="61" spans="1:14" s="321" customFormat="1" x14ac:dyDescent="0.2">
      <c r="A61" s="1274" t="s">
        <v>195</v>
      </c>
      <c r="B61" s="503">
        <v>2540</v>
      </c>
      <c r="C61" s="1573">
        <f>475503</f>
        <v>475503</v>
      </c>
      <c r="D61" s="1573">
        <v>82231</v>
      </c>
      <c r="E61" s="1573">
        <f>1935+7074+340</f>
        <v>9349</v>
      </c>
      <c r="F61" s="1573">
        <f>30975+3142</f>
        <v>34117</v>
      </c>
      <c r="G61" s="1573">
        <v>1089</v>
      </c>
      <c r="H61" s="1573">
        <f>660+101</f>
        <v>761</v>
      </c>
      <c r="I61" s="1574"/>
      <c r="J61" s="1574"/>
      <c r="K61" s="1678">
        <f t="shared" si="7"/>
        <v>603050</v>
      </c>
      <c r="L61" s="1573">
        <v>609909</v>
      </c>
      <c r="M61" s="501"/>
      <c r="N61" s="501"/>
    </row>
    <row r="62" spans="1:14" s="321" customFormat="1" x14ac:dyDescent="0.2">
      <c r="A62" s="1274" t="s">
        <v>947</v>
      </c>
      <c r="B62" s="503">
        <v>2550</v>
      </c>
      <c r="C62" s="1573">
        <v>18808</v>
      </c>
      <c r="D62" s="1573">
        <v>1097</v>
      </c>
      <c r="E62" s="1573">
        <v>65</v>
      </c>
      <c r="F62" s="1573"/>
      <c r="G62" s="1573"/>
      <c r="H62" s="1573"/>
      <c r="I62" s="1574"/>
      <c r="J62" s="1574"/>
      <c r="K62" s="1678">
        <f t="shared" si="7"/>
        <v>19970</v>
      </c>
      <c r="L62" s="1573">
        <v>20553</v>
      </c>
      <c r="M62" s="501"/>
      <c r="N62" s="501"/>
    </row>
    <row r="63" spans="1:14" s="501" customFormat="1" x14ac:dyDescent="0.2">
      <c r="A63" s="1274" t="s">
        <v>100</v>
      </c>
      <c r="B63" s="503">
        <v>2560</v>
      </c>
      <c r="C63" s="1573">
        <v>23166</v>
      </c>
      <c r="D63" s="1573">
        <v>9165</v>
      </c>
      <c r="E63" s="1573">
        <f>494317+76</f>
        <v>494393</v>
      </c>
      <c r="F63" s="1573">
        <v>87</v>
      </c>
      <c r="G63" s="1573">
        <v>11012</v>
      </c>
      <c r="H63" s="1573"/>
      <c r="I63" s="1574"/>
      <c r="J63" s="1574"/>
      <c r="K63" s="1678">
        <f t="shared" si="7"/>
        <v>537823</v>
      </c>
      <c r="L63" s="1573">
        <v>545541</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617008</v>
      </c>
      <c r="D65" s="1674">
        <f t="shared" ref="D65:L65" si="8">SUM(D59:D64)</f>
        <v>112659</v>
      </c>
      <c r="E65" s="1674">
        <f t="shared" si="8"/>
        <v>525961</v>
      </c>
      <c r="F65" s="1674">
        <f t="shared" si="8"/>
        <v>36501</v>
      </c>
      <c r="G65" s="1674">
        <f t="shared" si="8"/>
        <v>12101</v>
      </c>
      <c r="H65" s="1674">
        <f t="shared" si="8"/>
        <v>931</v>
      </c>
      <c r="I65" s="1674">
        <f t="shared" si="8"/>
        <v>0</v>
      </c>
      <c r="J65" s="1674">
        <f t="shared" si="8"/>
        <v>0</v>
      </c>
      <c r="K65" s="1674">
        <f t="shared" si="8"/>
        <v>1305161</v>
      </c>
      <c r="L65" s="1674">
        <f t="shared" si="8"/>
        <v>1321306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3105</v>
      </c>
      <c r="F71" s="1573"/>
      <c r="G71" s="1573"/>
      <c r="H71" s="1573"/>
      <c r="I71" s="1574"/>
      <c r="J71" s="1574"/>
      <c r="K71" s="1678">
        <f>SUM(C71:J71)</f>
        <v>3105</v>
      </c>
      <c r="L71" s="1573">
        <v>7439</v>
      </c>
      <c r="M71" s="501"/>
      <c r="N71" s="501"/>
    </row>
    <row r="72" spans="1:14" s="321" customFormat="1" ht="12.75" customHeight="1" thickBot="1" x14ac:dyDescent="0.25">
      <c r="A72" s="1380" t="s">
        <v>37</v>
      </c>
      <c r="B72" s="1383" t="s">
        <v>36</v>
      </c>
      <c r="C72" s="1674">
        <f>SUM(C67:C71)</f>
        <v>0</v>
      </c>
      <c r="D72" s="1674">
        <f t="shared" ref="D72:K72" si="9">SUM(D67:D71)</f>
        <v>0</v>
      </c>
      <c r="E72" s="1674">
        <f t="shared" si="9"/>
        <v>3105</v>
      </c>
      <c r="F72" s="1674">
        <f t="shared" si="9"/>
        <v>0</v>
      </c>
      <c r="G72" s="1674">
        <f t="shared" si="9"/>
        <v>0</v>
      </c>
      <c r="H72" s="1674">
        <f t="shared" si="9"/>
        <v>0</v>
      </c>
      <c r="I72" s="1674">
        <f t="shared" si="9"/>
        <v>0</v>
      </c>
      <c r="J72" s="1674">
        <f t="shared" si="9"/>
        <v>0</v>
      </c>
      <c r="K72" s="1674">
        <f t="shared" si="9"/>
        <v>3105</v>
      </c>
      <c r="L72" s="1674">
        <f>SUM(L67:L71)</f>
        <v>7439</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1061</v>
      </c>
      <c r="M73" s="501"/>
      <c r="N73" s="501"/>
    </row>
    <row r="74" spans="1:14" ht="12.75" customHeight="1" thickTop="1" thickBot="1" x14ac:dyDescent="0.25">
      <c r="A74" s="1380" t="s">
        <v>806</v>
      </c>
      <c r="B74" s="1384">
        <v>2000</v>
      </c>
      <c r="C74" s="1681">
        <f>SUM(C42,C47,C53,C57,C65,C72,C73)</f>
        <v>1633433</v>
      </c>
      <c r="D74" s="1681">
        <f t="shared" ref="D74:K74" si="10">SUM(D42,D47,D53,D57,D65,D72,D73)</f>
        <v>360828</v>
      </c>
      <c r="E74" s="1681">
        <f t="shared" si="10"/>
        <v>607536</v>
      </c>
      <c r="F74" s="1681">
        <f t="shared" si="10"/>
        <v>56508</v>
      </c>
      <c r="G74" s="1681">
        <f t="shared" si="10"/>
        <v>13722</v>
      </c>
      <c r="H74" s="1681">
        <f t="shared" si="10"/>
        <v>59964</v>
      </c>
      <c r="I74" s="1681">
        <f t="shared" si="10"/>
        <v>0</v>
      </c>
      <c r="J74" s="1681">
        <f t="shared" si="10"/>
        <v>0</v>
      </c>
      <c r="K74" s="1681">
        <f t="shared" si="10"/>
        <v>2731991</v>
      </c>
      <c r="L74" s="1681">
        <f>SUM(L42,L47,L53,L57,L65,L72,L73)</f>
        <v>2871925</v>
      </c>
    </row>
    <row r="75" spans="1:14" s="254" customFormat="1" ht="15.75" customHeight="1" thickTop="1" thickBot="1" x14ac:dyDescent="0.25">
      <c r="A75" s="1348" t="s">
        <v>47</v>
      </c>
      <c r="B75" s="1349" t="s">
        <v>571</v>
      </c>
      <c r="C75" s="1649">
        <v>33343</v>
      </c>
      <c r="D75" s="1649"/>
      <c r="E75" s="1649">
        <v>238</v>
      </c>
      <c r="F75" s="1649">
        <f>1736+249890</f>
        <v>251626</v>
      </c>
      <c r="G75" s="1649"/>
      <c r="H75" s="1649"/>
      <c r="I75" s="1627"/>
      <c r="J75" s="1627"/>
      <c r="K75" s="1674">
        <f>SUM(C75:J75)</f>
        <v>285207</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0</v>
      </c>
      <c r="I78" s="1582"/>
      <c r="J78" s="1582"/>
      <c r="K78" s="1672">
        <f t="shared" ref="K78:K83" si="11">SUM(C78:J78)</f>
        <v>0</v>
      </c>
      <c r="L78" s="1586"/>
    </row>
    <row r="79" spans="1:14" x14ac:dyDescent="0.2">
      <c r="A79" s="1274" t="s">
        <v>301</v>
      </c>
      <c r="B79" s="503">
        <v>4120</v>
      </c>
      <c r="C79" s="1673"/>
      <c r="D79" s="1673"/>
      <c r="E79" s="1573"/>
      <c r="F79" s="1673"/>
      <c r="G79" s="1673"/>
      <c r="H79" s="1573">
        <v>1321945</v>
      </c>
      <c r="I79" s="1582"/>
      <c r="J79" s="1582"/>
      <c r="K79" s="1672">
        <f t="shared" si="11"/>
        <v>1321945</v>
      </c>
      <c r="L79" s="1573">
        <v>1266566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11750</v>
      </c>
      <c r="F83" s="1673"/>
      <c r="G83" s="1673"/>
      <c r="H83" s="1573"/>
      <c r="I83" s="1582"/>
      <c r="J83" s="1582"/>
      <c r="K83" s="1672">
        <f t="shared" si="11"/>
        <v>11750</v>
      </c>
      <c r="L83" s="1573">
        <v>11750</v>
      </c>
    </row>
    <row r="84" spans="1:12" ht="13.5" thickBot="1" x14ac:dyDescent="0.25">
      <c r="A84" s="1380" t="s">
        <v>1468</v>
      </c>
      <c r="B84" s="1385">
        <v>4100</v>
      </c>
      <c r="C84" s="1673"/>
      <c r="D84" s="1673"/>
      <c r="E84" s="1674">
        <f>SUM(E78:E83)</f>
        <v>11750</v>
      </c>
      <c r="F84" s="1673"/>
      <c r="G84" s="1673"/>
      <c r="H84" s="1674">
        <f>SUM(H78:H83)</f>
        <v>1321945</v>
      </c>
      <c r="I84" s="1582"/>
      <c r="J84" s="1582"/>
      <c r="K84" s="1674">
        <f>SUM(K78:K83)</f>
        <v>1333695</v>
      </c>
      <c r="L84" s="1674">
        <f>SUM(L78:L83)</f>
        <v>1278316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v>5640</v>
      </c>
      <c r="I90" s="1582"/>
      <c r="J90" s="1582"/>
      <c r="K90" s="1681">
        <f t="shared" si="12"/>
        <v>5640</v>
      </c>
      <c r="L90" s="1626">
        <v>5720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5640</v>
      </c>
      <c r="I92" s="1582"/>
      <c r="J92" s="1582"/>
      <c r="K92" s="1681">
        <f t="shared" si="12"/>
        <v>5640</v>
      </c>
      <c r="L92" s="1674">
        <f>SUM(L85:L91)</f>
        <v>5720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11750</v>
      </c>
      <c r="F102" s="1673"/>
      <c r="G102" s="1673"/>
      <c r="H102" s="1681">
        <f>SUM(H84,H92,H100,H101)</f>
        <v>1327585</v>
      </c>
      <c r="I102" s="1582"/>
      <c r="J102" s="1582"/>
      <c r="K102" s="1681">
        <f>SUM(K84,K92,K100,K101)</f>
        <v>1339335</v>
      </c>
      <c r="L102" s="1681">
        <f>SUM(L84,L92,L100,L101)</f>
        <v>1284036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5267240</v>
      </c>
      <c r="D114" s="1674">
        <f t="shared" ref="D114:K114" si="13">SUM(D33,D74,D75,D102,D112,D113)</f>
        <v>1343869</v>
      </c>
      <c r="E114" s="1674">
        <f t="shared" si="13"/>
        <v>821373</v>
      </c>
      <c r="F114" s="1674">
        <f t="shared" si="13"/>
        <v>567016</v>
      </c>
      <c r="G114" s="1674">
        <f t="shared" si="13"/>
        <v>41291</v>
      </c>
      <c r="H114" s="1674">
        <f>SUM(H33,H74,H75,H102,H112,H113)</f>
        <v>1512752</v>
      </c>
      <c r="I114" s="1674">
        <f t="shared" si="13"/>
        <v>0</v>
      </c>
      <c r="J114" s="1674">
        <f t="shared" si="13"/>
        <v>0</v>
      </c>
      <c r="K114" s="1674">
        <f t="shared" si="13"/>
        <v>9553541</v>
      </c>
      <c r="L114" s="1674">
        <f>SUM(L33,L74,L75,L102,L112,L113)</f>
        <v>9416377</v>
      </c>
    </row>
    <row r="115" spans="1:14" ht="13.5" thickTop="1" x14ac:dyDescent="0.2">
      <c r="A115" s="2287" t="s">
        <v>989</v>
      </c>
      <c r="B115" s="2288"/>
      <c r="C115" s="1675"/>
      <c r="D115" s="1675"/>
      <c r="E115" s="1675"/>
      <c r="F115" s="1675"/>
      <c r="G115" s="1675"/>
      <c r="H115" s="1675"/>
      <c r="I115" s="1675"/>
      <c r="J115" s="1675"/>
      <c r="K115" s="1689">
        <f>'Revenues 9-14'!C268-'Expenditures 15-22'!K114</f>
        <v>226127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372631</v>
      </c>
      <c r="F124" s="1573">
        <v>180671</v>
      </c>
      <c r="G124" s="1573">
        <v>28300</v>
      </c>
      <c r="H124" s="1573"/>
      <c r="I124" s="1574"/>
      <c r="J124" s="1574"/>
      <c r="K124" s="1674">
        <f>SUM(C124:J124)</f>
        <v>581602</v>
      </c>
      <c r="L124" s="1573">
        <v>599905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372631</v>
      </c>
      <c r="F127" s="1674">
        <f t="shared" si="14"/>
        <v>180671</v>
      </c>
      <c r="G127" s="1674">
        <f t="shared" si="14"/>
        <v>28300</v>
      </c>
      <c r="H127" s="1674">
        <f t="shared" si="14"/>
        <v>0</v>
      </c>
      <c r="I127" s="1674">
        <f t="shared" si="14"/>
        <v>0</v>
      </c>
      <c r="J127" s="1674">
        <f t="shared" si="14"/>
        <v>0</v>
      </c>
      <c r="K127" s="1674">
        <f t="shared" si="14"/>
        <v>581602</v>
      </c>
      <c r="L127" s="1674">
        <f t="shared" si="14"/>
        <v>599905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372631</v>
      </c>
      <c r="F129" s="1681">
        <f t="shared" si="15"/>
        <v>180671</v>
      </c>
      <c r="G129" s="1681">
        <f t="shared" si="15"/>
        <v>28300</v>
      </c>
      <c r="H129" s="1681">
        <f t="shared" si="15"/>
        <v>0</v>
      </c>
      <c r="I129" s="1681">
        <f t="shared" si="15"/>
        <v>0</v>
      </c>
      <c r="J129" s="1681">
        <f t="shared" si="15"/>
        <v>0</v>
      </c>
      <c r="K129" s="1681">
        <f t="shared" si="15"/>
        <v>581602</v>
      </c>
      <c r="L129" s="1681">
        <f t="shared" si="15"/>
        <v>599905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v>14005</v>
      </c>
      <c r="I134" s="1582"/>
      <c r="J134" s="1673"/>
      <c r="K134" s="1678">
        <f>SUM(E134,H134)</f>
        <v>14005</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14005</v>
      </c>
      <c r="I137" s="1582"/>
      <c r="J137" s="1673"/>
      <c r="K137" s="1674">
        <f>SUM(K133:K136)</f>
        <v>14005</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14005</v>
      </c>
      <c r="I139" s="1582"/>
      <c r="J139" s="1673"/>
      <c r="K139" s="1678">
        <f>SUM(K137,K138)</f>
        <v>14005</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0</v>
      </c>
      <c r="D151" s="1674">
        <f t="shared" ref="D151:K151" si="16">SUM(D129,D130,D139,D149,D150)</f>
        <v>0</v>
      </c>
      <c r="E151" s="1674">
        <f t="shared" si="16"/>
        <v>372631</v>
      </c>
      <c r="F151" s="1674">
        <f t="shared" si="16"/>
        <v>180671</v>
      </c>
      <c r="G151" s="1674">
        <f t="shared" si="16"/>
        <v>28300</v>
      </c>
      <c r="H151" s="1674">
        <f t="shared" si="16"/>
        <v>14005</v>
      </c>
      <c r="I151" s="1674">
        <f t="shared" si="16"/>
        <v>0</v>
      </c>
      <c r="J151" s="1674">
        <f t="shared" si="16"/>
        <v>0</v>
      </c>
      <c r="K151" s="1674">
        <f t="shared" si="16"/>
        <v>595607</v>
      </c>
      <c r="L151" s="1674">
        <f>SUM(L129,L130,L139,L149,L150)</f>
        <v>599905</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290790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65090+197815</f>
        <v>262905</v>
      </c>
      <c r="I169" s="1673"/>
      <c r="J169" s="1673"/>
      <c r="K169" s="1672">
        <f>SUM(C169:H169)</f>
        <v>262905</v>
      </c>
      <c r="L169" s="1695">
        <v>65090</v>
      </c>
    </row>
    <row r="170" spans="1:14" ht="33.75" customHeight="1" x14ac:dyDescent="0.2">
      <c r="A170" s="543" t="s">
        <v>1651</v>
      </c>
      <c r="B170" s="545" t="s">
        <v>31</v>
      </c>
      <c r="C170" s="1673"/>
      <c r="D170" s="1673"/>
      <c r="E170" s="1673"/>
      <c r="F170" s="1673"/>
      <c r="G170" s="1673"/>
      <c r="H170" s="1646">
        <f>625000+392185</f>
        <v>1017185</v>
      </c>
      <c r="I170" s="1673"/>
      <c r="J170" s="1673"/>
      <c r="K170" s="1672">
        <f>SUM(C170:J170)</f>
        <v>1017185</v>
      </c>
      <c r="L170" s="1646">
        <v>625000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1280090</v>
      </c>
      <c r="I172" s="1684"/>
      <c r="J172" s="1673"/>
      <c r="K172" s="1681">
        <f>SUM(K168,K169,K170,K171)</f>
        <v>1280090</v>
      </c>
      <c r="L172" s="1681">
        <f>SUM(L168,L169,L170,L171)</f>
        <v>690090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1280090</v>
      </c>
      <c r="I174" s="1684"/>
      <c r="J174" s="1673"/>
      <c r="K174" s="1681">
        <f>SUM(K160,K172,K173)</f>
        <v>1280090</v>
      </c>
      <c r="L174" s="1681">
        <f>SUM(L160,L172,L173)</f>
        <v>690090</v>
      </c>
    </row>
    <row r="175" spans="1:14" ht="13.5" thickTop="1" x14ac:dyDescent="0.2">
      <c r="A175" s="2287" t="s">
        <v>989</v>
      </c>
      <c r="B175" s="2288"/>
      <c r="C175" s="1673"/>
      <c r="D175" s="1673"/>
      <c r="E175" s="1673"/>
      <c r="F175" s="1673"/>
      <c r="G175" s="1673"/>
      <c r="H175" s="1675"/>
      <c r="I175" s="1673"/>
      <c r="J175" s="1673"/>
      <c r="K175" s="1689">
        <f>'Revenues 9-14'!E268-'Expenditures 15-22'!K174</f>
        <v>-117259</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5266</v>
      </c>
      <c r="D182" s="1573">
        <v>758</v>
      </c>
      <c r="E182" s="1573">
        <v>344361</v>
      </c>
      <c r="F182" s="1573"/>
      <c r="G182" s="1573"/>
      <c r="H182" s="1573">
        <v>7264</v>
      </c>
      <c r="I182" s="1574"/>
      <c r="J182" s="1574"/>
      <c r="K182" s="1672">
        <f>SUM(C182:J182)</f>
        <v>357649</v>
      </c>
      <c r="L182" s="1573">
        <v>358399</v>
      </c>
    </row>
    <row r="183" spans="1:14" ht="12.75" customHeight="1" thickBot="1" x14ac:dyDescent="0.25">
      <c r="A183" s="1279" t="s">
        <v>973</v>
      </c>
      <c r="B183" s="551">
        <v>2900</v>
      </c>
      <c r="C183" s="1649"/>
      <c r="D183" s="1649"/>
      <c r="E183" s="1649">
        <f>1886+5750+2648+1911+1150+3534+872+86</f>
        <v>17837</v>
      </c>
      <c r="F183" s="1649"/>
      <c r="G183" s="1649"/>
      <c r="H183" s="1649"/>
      <c r="I183" s="1628"/>
      <c r="J183" s="1628"/>
      <c r="K183" s="1681">
        <f>SUM(C183:J183)</f>
        <v>17837</v>
      </c>
      <c r="L183" s="1649">
        <v>17955</v>
      </c>
    </row>
    <row r="184" spans="1:14" ht="12.75" customHeight="1" thickTop="1" thickBot="1" x14ac:dyDescent="0.25">
      <c r="A184" s="1393" t="s">
        <v>806</v>
      </c>
      <c r="B184" s="1381" t="s">
        <v>565</v>
      </c>
      <c r="C184" s="1681">
        <f>SUM(C180,C182,C183)</f>
        <v>5266</v>
      </c>
      <c r="D184" s="1681">
        <f t="shared" ref="D184:J184" si="17">SUM(D180,D182,D183)</f>
        <v>758</v>
      </c>
      <c r="E184" s="1681">
        <f t="shared" si="17"/>
        <v>362198</v>
      </c>
      <c r="F184" s="1681">
        <f t="shared" si="17"/>
        <v>0</v>
      </c>
      <c r="G184" s="1681">
        <f t="shared" si="17"/>
        <v>0</v>
      </c>
      <c r="H184" s="1681">
        <f t="shared" si="17"/>
        <v>7264</v>
      </c>
      <c r="I184" s="1681">
        <f t="shared" si="17"/>
        <v>0</v>
      </c>
      <c r="J184" s="1681">
        <f t="shared" si="17"/>
        <v>0</v>
      </c>
      <c r="K184" s="1681">
        <f>SUM(K180,K182,K183)</f>
        <v>375486</v>
      </c>
      <c r="L184" s="1681">
        <f>SUM(L180, L182:L183)</f>
        <v>376354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v>69258</v>
      </c>
      <c r="F189" s="1673"/>
      <c r="G189" s="1673"/>
      <c r="H189" s="1573"/>
      <c r="I189" s="1582"/>
      <c r="J189" s="1673"/>
      <c r="K189" s="1672">
        <f t="shared" si="18"/>
        <v>69258</v>
      </c>
      <c r="L189" s="1573">
        <v>69259</v>
      </c>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69258</v>
      </c>
      <c r="F194" s="1673"/>
      <c r="G194" s="1673"/>
      <c r="H194" s="1674">
        <f>SUM(H188:H193)</f>
        <v>0</v>
      </c>
      <c r="I194" s="1582"/>
      <c r="J194" s="1673"/>
      <c r="K194" s="1674">
        <f>SUM(K188:K193)</f>
        <v>69258</v>
      </c>
      <c r="L194" s="1674">
        <f>SUM(L188:L193)</f>
        <v>69259</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69258</v>
      </c>
      <c r="F196" s="1673"/>
      <c r="G196" s="1673"/>
      <c r="H196" s="1681">
        <f>SUM(H194,H195)</f>
        <v>0</v>
      </c>
      <c r="I196" s="1582"/>
      <c r="J196" s="1673"/>
      <c r="K196" s="1681">
        <f>SUM(K194,K195)</f>
        <v>69258</v>
      </c>
      <c r="L196" s="1681">
        <f>SUM(L194,L195)</f>
        <v>69259</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5266</v>
      </c>
      <c r="D210" s="1674">
        <f>SUM(D184,D185)</f>
        <v>758</v>
      </c>
      <c r="E210" s="1674">
        <f>SUM(E184,E185,E196)</f>
        <v>431456</v>
      </c>
      <c r="F210" s="1674">
        <f>SUM(F184,F185)</f>
        <v>0</v>
      </c>
      <c r="G210" s="1674">
        <f>SUM(G184,G185)</f>
        <v>0</v>
      </c>
      <c r="H210" s="1674">
        <f>SUM(H184,H185,H196,H208,H209)</f>
        <v>7264</v>
      </c>
      <c r="I210" s="1674">
        <f>SUM(I184,I185)</f>
        <v>0</v>
      </c>
      <c r="J210" s="1674">
        <f>SUM(J184,J185)</f>
        <v>0</v>
      </c>
      <c r="K210" s="1672">
        <f>SUM(K184,K185,K196,K208,K209)</f>
        <v>444744</v>
      </c>
      <c r="L210" s="1674">
        <f>SUM(L184,L185,L196,L208,L209)</f>
        <v>445613</v>
      </c>
    </row>
    <row r="211" spans="1:14" ht="13.5" thickTop="1" x14ac:dyDescent="0.2">
      <c r="A211" s="2287" t="s">
        <v>989</v>
      </c>
      <c r="B211" s="2288"/>
      <c r="C211" s="1675"/>
      <c r="D211" s="1675"/>
      <c r="E211" s="1675"/>
      <c r="F211" s="1675"/>
      <c r="G211" s="1675"/>
      <c r="H211" s="1675"/>
      <c r="I211" s="1673"/>
      <c r="J211" s="1673"/>
      <c r="K211" s="1689">
        <f>'Revenues 9-14'!F268-'Expenditures 15-22'!K210</f>
        <v>161445</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449+499+1601+18126+13002+13578</f>
        <v>47255</v>
      </c>
      <c r="E215" s="1673"/>
      <c r="F215" s="1673"/>
      <c r="G215" s="1673"/>
      <c r="H215" s="1673"/>
      <c r="I215" s="1673"/>
      <c r="J215" s="1673"/>
      <c r="K215" s="1672">
        <f>D215</f>
        <v>47255</v>
      </c>
      <c r="L215" s="1573">
        <v>47931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f>9694+9711</f>
        <v>19405</v>
      </c>
      <c r="E219" s="1673"/>
      <c r="F219" s="1673"/>
      <c r="G219" s="1673"/>
      <c r="H219" s="1673"/>
      <c r="I219" s="1673"/>
      <c r="J219" s="1673"/>
      <c r="K219" s="1672">
        <f t="shared" si="19"/>
        <v>19405</v>
      </c>
      <c r="L219" s="1573">
        <v>19630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f>677+953+1389</f>
        <v>3019</v>
      </c>
      <c r="E222" s="1673"/>
      <c r="F222" s="1673"/>
      <c r="G222" s="1673"/>
      <c r="H222" s="1673"/>
      <c r="I222" s="1673"/>
      <c r="J222" s="1673"/>
      <c r="K222" s="1672">
        <f t="shared" si="19"/>
        <v>3019</v>
      </c>
      <c r="L222" s="1573">
        <v>3040</v>
      </c>
    </row>
    <row r="223" spans="1:14" x14ac:dyDescent="0.2">
      <c r="A223" s="1274" t="s">
        <v>957</v>
      </c>
      <c r="B223" s="503">
        <v>1500</v>
      </c>
      <c r="C223" s="1673"/>
      <c r="D223" s="1573">
        <f>45+88+571+53+159+100+77+300+535+895+168+497+572+702+309+339+24+551</f>
        <v>5985</v>
      </c>
      <c r="E223" s="1673"/>
      <c r="F223" s="1673"/>
      <c r="G223" s="1673"/>
      <c r="H223" s="1673"/>
      <c r="I223" s="1673"/>
      <c r="J223" s="1673"/>
      <c r="K223" s="1672">
        <f t="shared" si="19"/>
        <v>5985</v>
      </c>
      <c r="L223" s="1573">
        <v>6178</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945</v>
      </c>
      <c r="E226" s="1673"/>
      <c r="F226" s="1673"/>
      <c r="G226" s="1673"/>
      <c r="H226" s="1673"/>
      <c r="I226" s="1673"/>
      <c r="J226" s="1673"/>
      <c r="K226" s="1672">
        <f t="shared" si="19"/>
        <v>945</v>
      </c>
      <c r="L226" s="1573">
        <v>1050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76609</v>
      </c>
      <c r="E229" s="1673"/>
      <c r="F229" s="1673"/>
      <c r="G229" s="1673"/>
      <c r="H229" s="1673"/>
      <c r="I229" s="1673"/>
      <c r="J229" s="1673"/>
      <c r="K229" s="1674">
        <f>SUM(K215:K228)</f>
        <v>76609</v>
      </c>
      <c r="L229" s="1674">
        <f>SUM(L215:L228)</f>
        <v>77829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795</v>
      </c>
      <c r="E232" s="1673"/>
      <c r="F232" s="1673"/>
      <c r="G232" s="1673"/>
      <c r="H232" s="1673"/>
      <c r="I232" s="1673"/>
      <c r="J232" s="1673"/>
      <c r="K232" s="1672">
        <f t="shared" ref="K232:K237" si="20">D232</f>
        <v>795</v>
      </c>
      <c r="L232" s="1573">
        <v>800</v>
      </c>
    </row>
    <row r="233" spans="1:12" x14ac:dyDescent="0.2">
      <c r="A233" s="1274" t="s">
        <v>1081</v>
      </c>
      <c r="B233" s="503">
        <v>2120</v>
      </c>
      <c r="C233" s="1673"/>
      <c r="D233" s="1573">
        <v>1033</v>
      </c>
      <c r="E233" s="1673"/>
      <c r="F233" s="1673"/>
      <c r="G233" s="1673"/>
      <c r="H233" s="1673"/>
      <c r="I233" s="1673"/>
      <c r="J233" s="1673"/>
      <c r="K233" s="1672">
        <f t="shared" si="20"/>
        <v>1033</v>
      </c>
      <c r="L233" s="1573">
        <v>1050</v>
      </c>
    </row>
    <row r="234" spans="1:12" x14ac:dyDescent="0.2">
      <c r="A234" s="1274" t="s">
        <v>196</v>
      </c>
      <c r="B234" s="503">
        <v>2130</v>
      </c>
      <c r="C234" s="1673"/>
      <c r="D234" s="1573">
        <f>4334+4091</f>
        <v>8425</v>
      </c>
      <c r="E234" s="1673"/>
      <c r="F234" s="1673"/>
      <c r="G234" s="1673"/>
      <c r="H234" s="1673"/>
      <c r="I234" s="1673"/>
      <c r="J234" s="1673"/>
      <c r="K234" s="1672">
        <f t="shared" si="20"/>
        <v>8425</v>
      </c>
      <c r="L234" s="1573">
        <v>8650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f>211+570+472+1736</f>
        <v>2989</v>
      </c>
      <c r="E237" s="1673"/>
      <c r="F237" s="1673"/>
      <c r="G237" s="1673"/>
      <c r="H237" s="1673"/>
      <c r="I237" s="1673"/>
      <c r="J237" s="1673"/>
      <c r="K237" s="1672">
        <f t="shared" si="20"/>
        <v>2989</v>
      </c>
      <c r="L237" s="1573">
        <v>3240</v>
      </c>
    </row>
    <row r="238" spans="1:12" ht="12.75" customHeight="1" thickBot="1" x14ac:dyDescent="0.25">
      <c r="A238" s="1380" t="s">
        <v>556</v>
      </c>
      <c r="B238" s="1383" t="s">
        <v>711</v>
      </c>
      <c r="C238" s="1673"/>
      <c r="D238" s="1674">
        <f>SUM(D232:D237)</f>
        <v>13242</v>
      </c>
      <c r="E238" s="1673"/>
      <c r="F238" s="1673"/>
      <c r="G238" s="1673"/>
      <c r="H238" s="1673"/>
      <c r="I238" s="1673"/>
      <c r="J238" s="1673"/>
      <c r="K238" s="1674">
        <f>SUM(K232:K237)</f>
        <v>13242</v>
      </c>
      <c r="L238" s="1674">
        <f>SUM(L232:L237)</f>
        <v>13740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168+1241</f>
        <v>1409</v>
      </c>
      <c r="E240" s="1673"/>
      <c r="F240" s="1673"/>
      <c r="G240" s="1673"/>
      <c r="H240" s="1673"/>
      <c r="I240" s="1673"/>
      <c r="J240" s="1673"/>
      <c r="K240" s="1678">
        <f>D240</f>
        <v>1409</v>
      </c>
      <c r="L240" s="1586">
        <v>1415</v>
      </c>
    </row>
    <row r="241" spans="1:12" x14ac:dyDescent="0.2">
      <c r="A241" s="1274" t="s">
        <v>810</v>
      </c>
      <c r="B241" s="503">
        <v>2220</v>
      </c>
      <c r="C241" s="1673"/>
      <c r="D241" s="1573">
        <f>1253+1804</f>
        <v>3057</v>
      </c>
      <c r="E241" s="1673"/>
      <c r="F241" s="1673"/>
      <c r="G241" s="1673"/>
      <c r="H241" s="1673"/>
      <c r="I241" s="1673"/>
      <c r="J241" s="1673"/>
      <c r="K241" s="1678">
        <f>D241</f>
        <v>3057</v>
      </c>
      <c r="L241" s="1573">
        <v>3135</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4466</v>
      </c>
      <c r="E243" s="1673"/>
      <c r="F243" s="1673"/>
      <c r="G243" s="1673"/>
      <c r="H243" s="1673"/>
      <c r="I243" s="1673"/>
      <c r="J243" s="1673"/>
      <c r="K243" s="1674">
        <f>SUM(K240:K242)</f>
        <v>4466</v>
      </c>
      <c r="L243" s="1674">
        <f>SUM(L240:L242)</f>
        <v>4550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80+80+752</f>
        <v>912</v>
      </c>
      <c r="E245" s="1673"/>
      <c r="F245" s="1673"/>
      <c r="G245" s="1673"/>
      <c r="H245" s="1673"/>
      <c r="I245" s="1673"/>
      <c r="J245" s="1673"/>
      <c r="K245" s="1678">
        <f>D245</f>
        <v>912</v>
      </c>
      <c r="L245" s="1586">
        <v>945</v>
      </c>
    </row>
    <row r="246" spans="1:12" x14ac:dyDescent="0.2">
      <c r="A246" s="1274" t="s">
        <v>813</v>
      </c>
      <c r="B246" s="503">
        <v>2320</v>
      </c>
      <c r="C246" s="1673"/>
      <c r="D246" s="1573">
        <f>2598+3703</f>
        <v>6301</v>
      </c>
      <c r="E246" s="1673"/>
      <c r="F246" s="1673"/>
      <c r="G246" s="1673"/>
      <c r="H246" s="1673"/>
      <c r="I246" s="1673"/>
      <c r="J246" s="1673"/>
      <c r="K246" s="1678">
        <f t="shared" ref="K246:K256" si="21">D246</f>
        <v>6301</v>
      </c>
      <c r="L246" s="1573">
        <v>6400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1781</v>
      </c>
      <c r="B249" s="557" t="s">
        <v>280</v>
      </c>
      <c r="C249" s="1673"/>
      <c r="D249" s="1579"/>
      <c r="E249" s="1673"/>
      <c r="F249" s="1673"/>
      <c r="G249" s="1673"/>
      <c r="H249" s="1673"/>
      <c r="I249" s="1673"/>
      <c r="J249" s="1673"/>
      <c r="K249" s="1678">
        <f t="shared" si="21"/>
        <v>0</v>
      </c>
      <c r="L249" s="1573"/>
    </row>
    <row r="250" spans="1:12" x14ac:dyDescent="0.2">
      <c r="A250" s="1275" t="s">
        <v>1782</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7213</v>
      </c>
      <c r="E257" s="1673"/>
      <c r="F257" s="1673"/>
      <c r="G257" s="1673"/>
      <c r="H257" s="1673"/>
      <c r="I257" s="1673"/>
      <c r="J257" s="1673"/>
      <c r="K257" s="1674">
        <f>SUM(K245:K256)</f>
        <v>7213</v>
      </c>
      <c r="L257" s="1674">
        <f>SUM(L245:L256)</f>
        <v>7345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12727+17176</f>
        <v>29903</v>
      </c>
      <c r="E259" s="1673"/>
      <c r="F259" s="1673"/>
      <c r="G259" s="1673"/>
      <c r="H259" s="1673"/>
      <c r="I259" s="1673"/>
      <c r="J259" s="1673"/>
      <c r="K259" s="1678">
        <f>D259</f>
        <v>29903</v>
      </c>
      <c r="L259" s="1586">
        <v>30615</v>
      </c>
    </row>
    <row r="260" spans="1:14" s="493" customFormat="1" x14ac:dyDescent="0.2">
      <c r="A260" s="1292" t="s">
        <v>1780</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29903</v>
      </c>
      <c r="E261" s="1673"/>
      <c r="F261" s="1673"/>
      <c r="G261" s="1673"/>
      <c r="H261" s="1673"/>
      <c r="I261" s="1673"/>
      <c r="J261" s="1673"/>
      <c r="K261" s="1674">
        <f>SUM(K259:K260)</f>
        <v>29903</v>
      </c>
      <c r="L261" s="1674">
        <f>SUM(L259:L260)</f>
        <v>30615</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f>8278+7818</f>
        <v>16096</v>
      </c>
      <c r="E264" s="1673"/>
      <c r="F264" s="1673"/>
      <c r="G264" s="1673"/>
      <c r="H264" s="1673"/>
      <c r="I264" s="1673"/>
      <c r="J264" s="1673"/>
      <c r="K264" s="1678">
        <f t="shared" ref="K264:K269" si="22">D264</f>
        <v>16096</v>
      </c>
      <c r="L264" s="1573">
        <v>16155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43128+37511</f>
        <v>80639</v>
      </c>
      <c r="E266" s="1673"/>
      <c r="F266" s="1673"/>
      <c r="G266" s="1673"/>
      <c r="H266" s="1673"/>
      <c r="I266" s="1673"/>
      <c r="J266" s="1673"/>
      <c r="K266" s="1678">
        <f t="shared" si="22"/>
        <v>80639</v>
      </c>
      <c r="L266" s="1573">
        <v>81410</v>
      </c>
    </row>
    <row r="267" spans="1:14" x14ac:dyDescent="0.2">
      <c r="A267" s="1274" t="s">
        <v>947</v>
      </c>
      <c r="B267" s="503">
        <v>2550</v>
      </c>
      <c r="C267" s="1673"/>
      <c r="D267" s="1573">
        <f>197+411</f>
        <v>608</v>
      </c>
      <c r="E267" s="1673"/>
      <c r="F267" s="1673"/>
      <c r="G267" s="1673"/>
      <c r="H267" s="1673"/>
      <c r="I267" s="1673"/>
      <c r="J267" s="1673"/>
      <c r="K267" s="1678">
        <f t="shared" si="22"/>
        <v>608</v>
      </c>
      <c r="L267" s="1573">
        <v>666</v>
      </c>
    </row>
    <row r="268" spans="1:14" x14ac:dyDescent="0.2">
      <c r="A268" s="1274" t="s">
        <v>100</v>
      </c>
      <c r="B268" s="503">
        <v>2560</v>
      </c>
      <c r="C268" s="1673"/>
      <c r="D268" s="1573">
        <f>2112+1938</f>
        <v>4050</v>
      </c>
      <c r="E268" s="1673"/>
      <c r="F268" s="1673"/>
      <c r="G268" s="1673"/>
      <c r="H268" s="1673"/>
      <c r="I268" s="1673"/>
      <c r="J268" s="1673"/>
      <c r="K268" s="1678">
        <f t="shared" si="22"/>
        <v>4050</v>
      </c>
      <c r="L268" s="1573">
        <v>4200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101393</v>
      </c>
      <c r="E270" s="1673"/>
      <c r="F270" s="1673"/>
      <c r="G270" s="1673"/>
      <c r="H270" s="1673"/>
      <c r="I270" s="1673"/>
      <c r="J270" s="1673"/>
      <c r="K270" s="1674">
        <f>SUM(K263:K269)</f>
        <v>101393</v>
      </c>
      <c r="L270" s="1674">
        <f>SUM(L263:L269)</f>
        <v>102431</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156217</v>
      </c>
      <c r="E279" s="1673"/>
      <c r="F279" s="1673"/>
      <c r="G279" s="1673"/>
      <c r="H279" s="1673"/>
      <c r="I279" s="1673"/>
      <c r="J279" s="1673"/>
      <c r="K279" s="1681">
        <f>SUM(K238,K243,K257,K261,K270,K277,K278)</f>
        <v>156217</v>
      </c>
      <c r="L279" s="1681">
        <f>SUM(L238,L243,L257,L261,L270,L277,L278)</f>
        <v>158681</v>
      </c>
    </row>
    <row r="280" spans="1:12" ht="15.75" customHeight="1" thickTop="1" thickBot="1" x14ac:dyDescent="0.25">
      <c r="A280" s="1362" t="s">
        <v>870</v>
      </c>
      <c r="B280" s="1351">
        <v>3000</v>
      </c>
      <c r="C280" s="1673"/>
      <c r="D280" s="1651">
        <f>2253+2551</f>
        <v>4804</v>
      </c>
      <c r="E280" s="1673"/>
      <c r="F280" s="1673"/>
      <c r="G280" s="1673"/>
      <c r="H280" s="1673"/>
      <c r="I280" s="1673"/>
      <c r="J280" s="1673"/>
      <c r="K280" s="1687">
        <f>D280</f>
        <v>4804</v>
      </c>
      <c r="L280" s="1651">
        <v>5624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237630</v>
      </c>
      <c r="E295" s="1673"/>
      <c r="F295" s="1673"/>
      <c r="G295" s="1673"/>
      <c r="H295" s="1674">
        <f>H293</f>
        <v>0</v>
      </c>
      <c r="I295" s="1673"/>
      <c r="J295" s="1673"/>
      <c r="K295" s="1674">
        <f>SUM(K229,K279,K280,K285,K293,K294)</f>
        <v>237630</v>
      </c>
      <c r="L295" s="1674">
        <f>SUM(L229,L279,L280,L285,L293,L294)</f>
        <v>242134</v>
      </c>
    </row>
    <row r="296" spans="1:14" ht="13.5" thickTop="1" x14ac:dyDescent="0.2">
      <c r="A296" s="2287" t="s">
        <v>989</v>
      </c>
      <c r="B296" s="2288"/>
      <c r="C296" s="1673"/>
      <c r="D296" s="1675"/>
      <c r="E296" s="1673"/>
      <c r="F296" s="1673"/>
      <c r="G296" s="1673"/>
      <c r="H296" s="1707"/>
      <c r="I296" s="1673"/>
      <c r="J296" s="1673"/>
      <c r="K296" s="1689">
        <f>'Revenues 9-14'!G268-'Expenditures 15-22'!K295</f>
        <v>-19322</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f>1834+105236</f>
        <v>107070</v>
      </c>
      <c r="F301" s="1573"/>
      <c r="G301" s="1573">
        <v>599286</v>
      </c>
      <c r="H301" s="1573"/>
      <c r="I301" s="1574"/>
      <c r="J301" s="1574"/>
      <c r="K301" s="1672">
        <f>SUM(C301:J301)</f>
        <v>706356</v>
      </c>
      <c r="L301" s="1574">
        <v>760410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107070</v>
      </c>
      <c r="F303" s="1681">
        <f t="shared" si="23"/>
        <v>0</v>
      </c>
      <c r="G303" s="1681">
        <f t="shared" si="23"/>
        <v>599286</v>
      </c>
      <c r="H303" s="1681">
        <f t="shared" si="23"/>
        <v>0</v>
      </c>
      <c r="I303" s="1681">
        <f t="shared" si="23"/>
        <v>0</v>
      </c>
      <c r="J303" s="1681">
        <f t="shared" si="23"/>
        <v>0</v>
      </c>
      <c r="K303" s="1681">
        <f t="shared" si="23"/>
        <v>706356</v>
      </c>
      <c r="L303" s="1681">
        <f t="shared" si="23"/>
        <v>760410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107070</v>
      </c>
      <c r="F312" s="1674">
        <f>SUM(F303)</f>
        <v>0</v>
      </c>
      <c r="G312" s="1674">
        <f>SUM(G303)</f>
        <v>599286</v>
      </c>
      <c r="H312" s="1674">
        <f>SUM(H303,H310)</f>
        <v>0</v>
      </c>
      <c r="I312" s="1674">
        <f>SUM(I303)</f>
        <v>0</v>
      </c>
      <c r="J312" s="1674">
        <f>SUM(J303)</f>
        <v>0</v>
      </c>
      <c r="K312" s="1674">
        <f>SUM(K303,K310,K311)</f>
        <v>706356</v>
      </c>
      <c r="L312" s="1674">
        <f>SUM(L303,L310,L311)</f>
        <v>760410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-325715</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130542</v>
      </c>
      <c r="F322" s="1574"/>
      <c r="G322" s="1574"/>
      <c r="H322" s="1574"/>
      <c r="I322" s="1574"/>
      <c r="J322" s="1574"/>
      <c r="K322" s="1672">
        <f t="shared" si="24"/>
        <v>130542</v>
      </c>
      <c r="L322" s="1574">
        <v>130542</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48913</v>
      </c>
      <c r="F327" s="1574"/>
      <c r="G327" s="1574"/>
      <c r="H327" s="1574"/>
      <c r="I327" s="1574"/>
      <c r="J327" s="1574"/>
      <c r="K327" s="1672">
        <f t="shared" si="24"/>
        <v>48913</v>
      </c>
      <c r="L327" s="1574">
        <v>48913</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179455</v>
      </c>
      <c r="F330" s="1674">
        <f t="shared" si="25"/>
        <v>0</v>
      </c>
      <c r="G330" s="1674">
        <f t="shared" si="25"/>
        <v>0</v>
      </c>
      <c r="H330" s="1674">
        <f t="shared" si="25"/>
        <v>0</v>
      </c>
      <c r="I330" s="1674">
        <f t="shared" si="25"/>
        <v>0</v>
      </c>
      <c r="J330" s="1674">
        <f t="shared" si="25"/>
        <v>0</v>
      </c>
      <c r="K330" s="1674">
        <f>SUM(K319:K329)</f>
        <v>179455</v>
      </c>
      <c r="L330" s="1674">
        <f>SUM(L319:L329)</f>
        <v>179455</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179455</v>
      </c>
      <c r="F342" s="1674">
        <f>SUM(F330)</f>
        <v>0</v>
      </c>
      <c r="G342" s="1674">
        <f>SUM(G330)</f>
        <v>0</v>
      </c>
      <c r="H342" s="1674">
        <f>SUM(H330,H334,H340)</f>
        <v>0</v>
      </c>
      <c r="I342" s="1674">
        <f>SUM(I330)</f>
        <v>0</v>
      </c>
      <c r="J342" s="1674">
        <f>SUM(J330)</f>
        <v>0</v>
      </c>
      <c r="K342" s="1674">
        <f>SUM(K330,K334,K340)</f>
        <v>179455</v>
      </c>
      <c r="L342" s="1681">
        <f>SUM(L330,L334,L340,L341)</f>
        <v>179455</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-18948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34323</v>
      </c>
      <c r="F349" s="1573"/>
      <c r="G349" s="1573"/>
      <c r="H349" s="1573"/>
      <c r="I349" s="1574"/>
      <c r="J349" s="1574"/>
      <c r="K349" s="1672">
        <f>SUM(C349:J349)</f>
        <v>34323</v>
      </c>
      <c r="L349" s="1573">
        <v>35140</v>
      </c>
    </row>
    <row r="350" spans="1:14" ht="12.75" customHeight="1" thickBot="1" x14ac:dyDescent="0.25">
      <c r="A350" s="1380" t="s">
        <v>714</v>
      </c>
      <c r="B350" s="1381" t="s">
        <v>35</v>
      </c>
      <c r="C350" s="1674">
        <f>SUM(C348:C349)</f>
        <v>0</v>
      </c>
      <c r="D350" s="1674">
        <f t="shared" ref="D350:L350" si="26">SUM(D348:D349)</f>
        <v>0</v>
      </c>
      <c r="E350" s="1674">
        <f t="shared" si="26"/>
        <v>34323</v>
      </c>
      <c r="F350" s="1674">
        <f t="shared" si="26"/>
        <v>0</v>
      </c>
      <c r="G350" s="1674">
        <f t="shared" si="26"/>
        <v>0</v>
      </c>
      <c r="H350" s="1674">
        <f t="shared" si="26"/>
        <v>0</v>
      </c>
      <c r="I350" s="1674">
        <f t="shared" si="26"/>
        <v>0</v>
      </c>
      <c r="J350" s="1674">
        <f t="shared" si="26"/>
        <v>0</v>
      </c>
      <c r="K350" s="1674">
        <f t="shared" si="26"/>
        <v>34323</v>
      </c>
      <c r="L350" s="1674">
        <f t="shared" si="26"/>
        <v>35140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34323</v>
      </c>
      <c r="F352" s="1674">
        <f t="shared" si="27"/>
        <v>0</v>
      </c>
      <c r="G352" s="1674">
        <f t="shared" si="27"/>
        <v>0</v>
      </c>
      <c r="H352" s="1674">
        <f t="shared" si="27"/>
        <v>0</v>
      </c>
      <c r="I352" s="1674">
        <f t="shared" si="27"/>
        <v>0</v>
      </c>
      <c r="J352" s="1674">
        <f t="shared" si="27"/>
        <v>0</v>
      </c>
      <c r="K352" s="1674">
        <f t="shared" si="27"/>
        <v>34323</v>
      </c>
      <c r="L352" s="1674">
        <f t="shared" si="27"/>
        <v>35140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34323</v>
      </c>
      <c r="F367" s="1674">
        <f t="shared" si="28"/>
        <v>0</v>
      </c>
      <c r="G367" s="1674">
        <f t="shared" si="28"/>
        <v>0</v>
      </c>
      <c r="H367" s="1674">
        <f t="shared" si="28"/>
        <v>0</v>
      </c>
      <c r="I367" s="1674">
        <f t="shared" si="28"/>
        <v>0</v>
      </c>
      <c r="J367" s="1674">
        <f t="shared" si="28"/>
        <v>0</v>
      </c>
      <c r="K367" s="1674">
        <f t="shared" si="28"/>
        <v>34323</v>
      </c>
      <c r="L367" s="1674">
        <f t="shared" si="28"/>
        <v>35140</v>
      </c>
    </row>
    <row r="368" spans="1:14" ht="13.5" thickTop="1" x14ac:dyDescent="0.2">
      <c r="A368" s="2287" t="s">
        <v>989</v>
      </c>
      <c r="B368" s="2288"/>
      <c r="C368" s="1694"/>
      <c r="D368" s="1694"/>
      <c r="E368" s="1677"/>
      <c r="F368" s="1677"/>
      <c r="G368" s="1677"/>
      <c r="H368" s="1677"/>
      <c r="I368" s="1677"/>
      <c r="J368" s="1676"/>
      <c r="K368" s="1672">
        <f>'Revenues 9-14'!K268-'Expenditures 15-22'!K367</f>
        <v>-2601</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http://purl.org/dc/elements/1.1/"/>
    <ds:schemaRef ds:uri="6ce3111e-7420-4802-b50a-75d4e9a0b980"/>
    <ds:schemaRef ds:uri="4d435f69-8686-490b-bd6d-b153bf22ab50"/>
    <ds:schemaRef ds:uri="http://schemas.microsoft.com/sharepoint/v3"/>
    <ds:schemaRef ds:uri="http://www.w3.org/XML/1998/namespace"/>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2020-09-24T15:21:47Z</cp:lastPrinted>
  <dcterms:created xsi:type="dcterms:W3CDTF">2003-10-29T19:06:34Z</dcterms:created>
  <dcterms:modified xsi:type="dcterms:W3CDTF">2020-10-05T13:49:36Z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