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858773F-8B9A-469B-97F1-C0975EE9CE33}"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7"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SEFA'!$B$1:$M$47</definedName>
    <definedName name="_xlnm.Print_Area" localSheetId="28">' SEFA (2)'!$B$1:$M$46</definedName>
    <definedName name="_xlnm.Print_Area" localSheetId="29">' SEFA (3)'!$B$1:$M$47</definedName>
    <definedName name="_xlnm.Print_Area" localSheetId="30">' SEFA (4)'!$B$1:$M$47</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3" i="186" l="1"/>
  <c r="L23" i="186"/>
  <c r="K23" i="186"/>
  <c r="J23" i="186"/>
  <c r="I23" i="186"/>
  <c r="H23" i="186"/>
  <c r="G23" i="186"/>
  <c r="F23" i="186"/>
  <c r="E23" i="186"/>
  <c r="M13" i="186" l="1"/>
  <c r="M15" i="186" s="1"/>
  <c r="M27" i="186" s="1"/>
  <c r="K13" i="186"/>
  <c r="K15" i="186" s="1"/>
  <c r="K27" i="186" s="1"/>
  <c r="J13" i="186"/>
  <c r="J15" i="186" s="1"/>
  <c r="J27" i="186" s="1"/>
  <c r="I13" i="186"/>
  <c r="I15" i="186" s="1"/>
  <c r="I27" i="186" s="1"/>
  <c r="H13" i="186"/>
  <c r="H15" i="186" s="1"/>
  <c r="H27" i="186" s="1"/>
  <c r="G13" i="186"/>
  <c r="G15" i="186" s="1"/>
  <c r="G27" i="186" s="1"/>
  <c r="F13" i="186"/>
  <c r="F15" i="186" s="1"/>
  <c r="F27" i="186" s="1"/>
  <c r="E13" i="186"/>
  <c r="E15" i="186" s="1"/>
  <c r="E27" i="186" s="1"/>
  <c r="L12" i="186"/>
  <c r="L13" i="186" s="1"/>
  <c r="L15" i="186" s="1"/>
  <c r="L27" i="186" s="1"/>
  <c r="L19" i="186"/>
  <c r="L20" i="186" s="1"/>
  <c r="L21" i="186" s="1"/>
  <c r="L25" i="186" s="1"/>
  <c r="E21" i="186"/>
  <c r="F21" i="186"/>
  <c r="F25" i="186" s="1"/>
  <c r="G21" i="186"/>
  <c r="H21" i="186"/>
  <c r="H25" i="186" s="1"/>
  <c r="I21" i="186"/>
  <c r="I25" i="186" s="1"/>
  <c r="J21" i="186"/>
  <c r="J25" i="186" s="1"/>
  <c r="K21" i="186"/>
  <c r="M21" i="186"/>
  <c r="E25" i="186"/>
  <c r="G25" i="186"/>
  <c r="K25" i="186"/>
  <c r="M25" i="186"/>
  <c r="E67" i="187" l="1"/>
  <c r="E66" i="187"/>
  <c r="E65" i="187"/>
  <c r="E64" i="187"/>
  <c r="E63" i="187"/>
  <c r="E62" i="187"/>
  <c r="E61" i="187"/>
  <c r="E60" i="187"/>
  <c r="E59" i="187"/>
  <c r="E58" i="187"/>
  <c r="E57" i="187"/>
  <c r="F15" i="187"/>
  <c r="E17" i="187"/>
  <c r="E16" i="187"/>
  <c r="E14" i="187"/>
  <c r="E13" i="187"/>
  <c r="E12" i="187"/>
  <c r="J7" i="187"/>
  <c r="L53" i="187" s="1"/>
  <c r="J6" i="187"/>
  <c r="L52" i="187" s="1"/>
  <c r="M68" i="187"/>
  <c r="L68" i="187"/>
  <c r="K68" i="187"/>
  <c r="G16" i="187" s="1"/>
  <c r="H16" i="187" s="1"/>
  <c r="J68" i="187"/>
  <c r="I68" i="187"/>
  <c r="H68" i="187"/>
  <c r="G68" i="187"/>
  <c r="G12" i="187" s="1"/>
  <c r="E68" i="187"/>
  <c r="N67" i="187"/>
  <c r="N66" i="187"/>
  <c r="N65" i="187"/>
  <c r="N64" i="187"/>
  <c r="N63" i="187"/>
  <c r="N62" i="187"/>
  <c r="N61" i="187"/>
  <c r="N60" i="187"/>
  <c r="N59" i="187"/>
  <c r="N58" i="187"/>
  <c r="N57" i="187"/>
  <c r="K19" i="187"/>
  <c r="J19" i="187"/>
  <c r="I19" i="187"/>
  <c r="F19" i="187"/>
  <c r="L18" i="187"/>
  <c r="H18" i="187"/>
  <c r="L17" i="187"/>
  <c r="G17" i="187"/>
  <c r="H17" i="187" s="1"/>
  <c r="L16" i="187"/>
  <c r="L15" i="187"/>
  <c r="G15" i="187"/>
  <c r="L14" i="187"/>
  <c r="H14" i="187"/>
  <c r="G14" i="187"/>
  <c r="L13" i="187"/>
  <c r="G13" i="187"/>
  <c r="H13" i="187" s="1"/>
  <c r="L12" i="187"/>
  <c r="L19" i="187" l="1"/>
  <c r="N68" i="187"/>
  <c r="G19" i="187"/>
  <c r="H12" i="187"/>
  <c r="I9" i="186" l="1"/>
  <c r="G9" i="186"/>
  <c r="F9" i="186"/>
  <c r="E9" i="186"/>
  <c r="J8" i="186"/>
  <c r="H8" i="186"/>
  <c r="B4" i="186"/>
  <c r="B2" i="186"/>
  <c r="B1" i="186"/>
  <c r="M26" i="185"/>
  <c r="K26" i="185"/>
  <c r="J26" i="185"/>
  <c r="I26" i="185"/>
  <c r="H26" i="185"/>
  <c r="G26" i="185"/>
  <c r="F26" i="185"/>
  <c r="E26" i="185"/>
  <c r="M21" i="185"/>
  <c r="L21" i="185"/>
  <c r="K21" i="185"/>
  <c r="J21" i="185"/>
  <c r="I21" i="185"/>
  <c r="H21" i="185"/>
  <c r="G21" i="185"/>
  <c r="F21" i="185"/>
  <c r="E21" i="185"/>
  <c r="M16" i="185"/>
  <c r="K16" i="185"/>
  <c r="J16" i="185"/>
  <c r="I16" i="185"/>
  <c r="H16" i="185"/>
  <c r="G16" i="185"/>
  <c r="F16" i="185"/>
  <c r="E16" i="185"/>
  <c r="M14" i="185"/>
  <c r="K14" i="185"/>
  <c r="J14" i="185"/>
  <c r="I14" i="185"/>
  <c r="H14" i="185"/>
  <c r="G14" i="185"/>
  <c r="F14" i="185"/>
  <c r="E14" i="185"/>
  <c r="L13" i="185"/>
  <c r="L12" i="185"/>
  <c r="L14" i="185" s="1"/>
  <c r="L16" i="185" s="1"/>
  <c r="L25" i="185"/>
  <c r="L24" i="185"/>
  <c r="L26" i="185" s="1"/>
  <c r="L20" i="185"/>
  <c r="L19" i="185"/>
  <c r="I9" i="185"/>
  <c r="G9" i="185"/>
  <c r="F9" i="185"/>
  <c r="E9" i="185"/>
  <c r="J8" i="185"/>
  <c r="H8" i="185"/>
  <c r="B4" i="185"/>
  <c r="B2" i="185"/>
  <c r="B1" i="185"/>
  <c r="M27" i="184"/>
  <c r="K27" i="184"/>
  <c r="J27" i="184"/>
  <c r="I27" i="184"/>
  <c r="H27" i="184"/>
  <c r="G27" i="184"/>
  <c r="F27" i="184"/>
  <c r="E27" i="184"/>
  <c r="M21" i="184"/>
  <c r="K21" i="184"/>
  <c r="J21" i="184"/>
  <c r="I21" i="184"/>
  <c r="H21" i="184"/>
  <c r="G21" i="184"/>
  <c r="F21" i="184"/>
  <c r="E21" i="184"/>
  <c r="M13" i="184" l="1"/>
  <c r="J13" i="184"/>
  <c r="E13" i="184"/>
  <c r="L26" i="184"/>
  <c r="L25" i="184"/>
  <c r="L24" i="184"/>
  <c r="L20" i="184"/>
  <c r="L19" i="184"/>
  <c r="L18" i="184"/>
  <c r="L17" i="184"/>
  <c r="M11" i="184"/>
  <c r="K11" i="184"/>
  <c r="K13" i="184" s="1"/>
  <c r="J11" i="184"/>
  <c r="H11" i="184"/>
  <c r="H13" i="184" s="1"/>
  <c r="G11" i="184"/>
  <c r="G13" i="184" s="1"/>
  <c r="E11" i="184"/>
  <c r="I9" i="184"/>
  <c r="G9" i="184"/>
  <c r="F9" i="184"/>
  <c r="E9" i="184"/>
  <c r="J8" i="184"/>
  <c r="H8" i="184"/>
  <c r="B4" i="184"/>
  <c r="B2" i="184"/>
  <c r="B1" i="184"/>
  <c r="M28" i="179"/>
  <c r="L28" i="179"/>
  <c r="K28" i="179"/>
  <c r="J28" i="179"/>
  <c r="I28" i="179"/>
  <c r="H28" i="179"/>
  <c r="G28" i="179"/>
  <c r="F28" i="179"/>
  <c r="E28" i="179"/>
  <c r="M24" i="179"/>
  <c r="L24" i="179"/>
  <c r="K24" i="179"/>
  <c r="J24" i="179"/>
  <c r="I24" i="179"/>
  <c r="H24" i="179"/>
  <c r="G24" i="179"/>
  <c r="F24" i="179"/>
  <c r="E24" i="179"/>
  <c r="M15" i="179"/>
  <c r="K15" i="179"/>
  <c r="J15" i="179"/>
  <c r="I15" i="179"/>
  <c r="I11" i="184" s="1"/>
  <c r="I13" i="184" s="1"/>
  <c r="H15" i="179"/>
  <c r="G15" i="179"/>
  <c r="F15" i="179"/>
  <c r="F11" i="184" s="1"/>
  <c r="F13" i="184" s="1"/>
  <c r="E15" i="179"/>
  <c r="L27" i="184" l="1"/>
  <c r="L21" i="184"/>
  <c r="F42" i="127"/>
  <c r="F43" i="127" s="1"/>
  <c r="F30" i="127"/>
  <c r="F22" i="127"/>
  <c r="F16" i="127"/>
  <c r="F9" i="127"/>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3" i="179"/>
  <c r="L22" i="179"/>
  <c r="L21" i="179"/>
  <c r="L20" i="179"/>
  <c r="L19" i="179"/>
  <c r="L18" i="179"/>
  <c r="L14" i="179"/>
  <c r="L15" i="179" s="1"/>
  <c r="L11" i="184" s="1"/>
  <c r="L13" i="184" s="1"/>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E15" i="187" s="1"/>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E19" i="187" l="1"/>
  <c r="H15" i="187"/>
  <c r="H19" i="187" s="1"/>
  <c r="L20" i="187"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6" i="11"/>
  <c r="B2061" i="106" s="1"/>
  <c r="D2061" i="106" s="1"/>
  <c r="B2031" i="106"/>
  <c r="D2031" i="106" s="1"/>
  <c r="L114" i="29"/>
  <c r="K342" i="29"/>
  <c r="F13" i="34" s="1"/>
  <c r="B1225" i="106"/>
  <c r="D1225" i="106" s="1"/>
  <c r="F41" i="108"/>
  <c r="G43" i="108" s="1"/>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F77" i="34"/>
  <c r="B7834" i="106" s="1"/>
  <c r="D7834"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<sst xmlns="http://schemas.openxmlformats.org/spreadsheetml/2006/main" count="5466" uniqueCount="2221">
  <si>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</si>
  <si>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</si>
  <si>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</si>
  <si>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</si>
  <si>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</si>
  <si>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</si>
  <si>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</si>
  <si>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</si>
  <si>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</si>
  <si>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</si>
  <si>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</si>
  <si>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</si>
  <si>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</si>
  <si>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</si>
  <si>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</si>
  <si>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</si>
  <si>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</si>
  <si>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</si>
  <si>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</si>
  <si>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</si>
  <si>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</si>
  <si>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</si>
  <si>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</si>
  <si>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</si>
  <si>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</si>
  <si>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</si>
  <si>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</si>
  <si>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</si>
  <si>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</si>
  <si>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</si>
  <si>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</si>
  <si>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</si>
  <si>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</si>
  <si>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</si>
  <si>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</si>
  <si>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</si>
  <si>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</si>
  <si>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</si>
  <si>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</si>
  <si>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</si>
  <si>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</si>
  <si>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</si>
  <si>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</si>
  <si>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</si>
  <si>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</si>
  <si>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</si>
  <si>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</si>
  <si>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</si>
  <si>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</si>
  <si>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</si>
  <si>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</si>
  <si>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</si>
  <si>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</si>
  <si>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</si>
  <si>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</si>
  <si>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</si>
  <si>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</si>
  <si>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</si>
  <si>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</si>
  <si>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</si>
  <si>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</si>
  <si>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</si>
  <si>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</si>
  <si>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</si>
  <si>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</si>
  <si>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</si>
  <si>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</si>
  <si>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</si>
  <si>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</si>
  <si>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</si>
  <si>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</si>
  <si>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</si>
  <si>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</si>
  <si>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</si>
  <si>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</si>
  <si>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</si>
  <si>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</si>
  <si>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</si>
  <si>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</si>
  <si>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</si>
  <si>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</si>
  <si>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</si>
  <si>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</si>
  <si>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</si>
  <si>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</si>
  <si>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</si>
  <si>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</si>
  <si>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</si>
  <si>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</si>
  <si>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</si>
  <si>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</si>
  <si>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</si>
  <si>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</si>
  <si>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</si>
  <si>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</si>
  <si>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</si>
  <si>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</si>
  <si>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</si>
  <si>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</si>
  <si>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</si>
  <si>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</si>
  <si>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</si>
  <si>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</si>
  <si>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</si>
  <si>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</si>
  <si>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</si>
  <si>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</si>
  <si>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</si>
  <si>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</si>
  <si>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</si>
  <si>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</si>
  <si>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</si>
  <si>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</si>
  <si>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</si>
  <si>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</si>
  <si>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</si>
  <si>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</si>
  <si>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</si>
  <si>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</si>
  <si>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</si>
  <si>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</si>
  <si>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</si>
  <si>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</si>
  <si>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</si>
  <si>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</si>
  <si>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</si>
  <si>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</si>
  <si>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</si>
  <si>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</si>
  <si>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</si>
  <si>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</si>
  <si>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</si>
  <si>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</si>
  <si>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</si>
  <si>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</si>
  <si>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</si>
  <si>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</si>
  <si>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</si>
  <si>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</si>
  <si>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</si>
  <si>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</si>
  <si>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</si>
  <si>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</si>
  <si>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</si>
  <si>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</si>
  <si>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</si>
  <si>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</si>
  <si>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</si>
  <si>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</si>
  <si>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</si>
  <si>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</si>
  <si>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</si>
  <si>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</si>
  <si>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</si>
  <si>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</si>
  <si>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</si>
  <si>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</si>
  <si>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</si>
  <si>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</si>
  <si>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</si>
  <si>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</si>
  <si>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</si>
  <si>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</si>
  <si>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</si>
  <si>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</si>
  <si>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</si>
  <si>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</si>
  <si>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</si>
  <si>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</si>
  <si>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</si>
  <si>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</si>
  <si>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</si>
  <si>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</si>
  <si>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</si>
  <si>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</si>
  <si>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</si>
  <si>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</si>
  <si>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</si>
  <si>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</si>
  <si>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</si>
  <si>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</si>
  <si>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</si>
  <si>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</si>
  <si>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</si>
  <si>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</si>
  <si>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</si>
  <si>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</si>
  <si>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</si>
  <si>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</si>
  <si>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</si>
  <si>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</si>
  <si>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</si>
  <si>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</si>
  <si>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</si>
  <si>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</si>
  <si>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</si>
  <si>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</si>
  <si>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</si>
  <si>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</si>
  <si>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</si>
  <si>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</si>
  <si>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</si>
  <si>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</si>
  <si>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</si>
  <si>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</si>
  <si>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</si>
  <si>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</si>
  <si>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</si>
  <si>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</si>
  <si>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</si>
  <si>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</si>
  <si>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</si>
  <si>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</si>
  <si>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</si>
  <si>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</si>
  <si>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</si>
  <si>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</si>
  <si>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</si>
  <si>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</si>
  <si>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</si>
  <si>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</si>
  <si>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</si>
  <si>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</si>
  <si>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</si>
  <si>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</si>
  <si>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</si>
  <si>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</si>
  <si>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</si>
  <si>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</si>
  <si>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</si>
  <si>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</si>
  <si>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</si>
  <si>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</si>
  <si>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</si>
  <si>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</si>
  <si>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</si>
  <si>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</si>
  <si>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</si>
  <si>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</si>
  <si>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</si>
  <si>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</si>
  <si>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</si>
  <si>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</si>
  <si>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</si>
  <si>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</si>
  <si>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</si>
  <si>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</si>
  <si>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</si>
  <si>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</si>
  <si>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</si>
  <si>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</si>
  <si>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</si>
  <si>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</si>
  <si>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</si>
  <si>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</si>
  <si>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</si>
  <si>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</si>
  <si>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</si>
  <si>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</si>
  <si>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</si>
  <si>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</si>
  <si>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</si>
  <si>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</si>
  <si>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</si>
  <si>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</si>
  <si>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</si>
  <si>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</si>
  <si>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</si>
  <si>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</si>
  <si>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</si>
  <si>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</si>
  <si>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</si>
  <si>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</si>
  <si>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</si>
  <si>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</si>
  <si>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</si>
  <si>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</si>
  <si>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</si>
  <si>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</si>
  <si>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</si>
  <si>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</si>
  <si>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</si>
  <si>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</si>
  <si>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</si>
  <si>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</si>
  <si>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</si>
  <si>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</si>
  <si>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</si>
  <si>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</si>
  <si>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</si>
  <si>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</si>
  <si>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</si>
  <si>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</si>
  <si>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</si>
  <si>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</si>
  <si>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</si>
  <si>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</si>
  <si>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</si>
  <si>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</si>
  <si>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</si>
  <si>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</si>
  <si>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</si>
  <si>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</si>
  <si>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</si>
  <si>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</si>
  <si>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</si>
  <si>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</si>
  <si>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</si>
  <si>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</si>
  <si>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</si>
  <si>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</si>
  <si>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</si>
  <si>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</si>
  <si>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</si>
  <si>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</si>
  <si>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</si>
  <si>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</si>
  <si>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</si>
  <si>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</si>
  <si>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</si>
  <si>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</si>
  <si>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</si>
  <si>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</si>
  <si>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</si>
  <si>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</si>
  <si>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</si>
  <si>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</si>
  <si>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</si>
  <si>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</si>
  <si>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</si>
  <si>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</si>
  <si>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</si>
  <si>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</si>
  <si>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</si>
  <si>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</si>
  <si>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</si>
  <si>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</si>
  <si>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</si>
  <si>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</si>
  <si>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</si>
  <si>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</si>
  <si>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</si>
  <si>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</si>
  <si>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</si>
  <si>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</si>
  <si>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</si>
  <si>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</si>
  <si>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</si>
  <si>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</si>
  <si>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</si>
  <si>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</si>
  <si>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</si>
  <si>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</si>
  <si>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</si>
  <si>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</si>
  <si>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</si>
  <si>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</si>
  <si>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</si>
  <si>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</si>
  <si>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</si>
  <si>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</si>
  <si>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</si>
  <si>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</si>
  <si>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</si>
  <si>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</si>
  <si>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</si>
  <si>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</si>
  <si>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</si>
  <si>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</si>
  <si>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</si>
  <si>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</si>
  <si>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</si>
  <si>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</si>
  <si>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</si>
  <si>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</si>
  <si>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</si>
  <si>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</si>
  <si>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</si>
  <si>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</si>
  <si>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</si>
  <si>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</si>
  <si>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</si>
  <si>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</si>
  <si>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</si>
  <si>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</si>
  <si>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</si>
  <si>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</si>
  <si>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</si>
  <si>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</si>
  <si>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</si>
  <si>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</si>
  <si>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</si>
  <si>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</si>
  <si>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</si>
  <si>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</si>
  <si>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</si>
  <si>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</si>
  <si>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</si>
  <si>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</si>
  <si>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</si>
  <si>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</si>
  <si>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</si>
  <si>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</si>
  <si>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</si>
  <si>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</si>
  <si>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</si>
  <si>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</si>
  <si>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</si>
  <si>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</si>
  <si>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</si>
  <si>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</si>
  <si>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</si>
  <si>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</si>
  <si>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</si>
  <si>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</si>
  <si>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</si>
  <si>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</si>
  <si>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</si>
  <si>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</si>
  <si>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</si>
  <si>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</si>
  <si>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</si>
  <si>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</si>
  <si>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</si>
  <si>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</si>
  <si>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</si>
  <si>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</si>
  <si>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</si>
  <si>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</si>
  <si>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</si>
  <si>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</si>
  <si>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</si>
  <si>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</si>
  <si>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</si>
  <si>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</si>
  <si>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</si>
  <si>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</si>
  <si>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</si>
  <si>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</si>
  <si>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</si>
  <si>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</si>
  <si>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</si>
  <si>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</si>
  <si>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</si>
  <si>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</si>
  <si>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</si>
  <si>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</si>
  <si>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</si>
  <si>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</si>
  <si>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</si>
  <si>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</si>
  <si>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</si>
  <si>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</si>
  <si>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</si>
  <si>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</si>
  <si>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</si>
  <si>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</si>
  <si>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</si>
  <si>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</si>
  <si>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</si>
  <si>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</si>
  <si>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</si>
  <si>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</si>
  <si>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</si>
  <si>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</si>
  <si>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</si>
  <si>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</si>
  <si>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</si>
  <si>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</si>
  <si>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</si>
  <si>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</si>
  <si>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</si>
  <si>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</si>
  <si>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</si>
  <si>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</si>
  <si>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</si>
  <si>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</si>
  <si>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</si>
  <si>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</si>
  <si>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</si>
  <si>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</si>
  <si>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</si>
  <si>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</si>
  <si>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</si>
  <si>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</si>
  <si>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</si>
  <si>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</si>
  <si>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</si>
  <si>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</si>
  <si>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</si>
  <si>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</si>
  <si>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</si>
  <si>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</si>
  <si>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</si>
  <si>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</si>
  <si>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</si>
  <si>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</si>
  <si>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</si>
  <si>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</si>
  <si>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</si>
  <si>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</si>
  <si>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</si>
  <si>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</si>
  <si>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</si>
  <si>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</si>
  <si>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</si>
  <si>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</si>
  <si>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</si>
  <si>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</si>
  <si>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</si>
  <si>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</si>
  <si>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</si>
  <si>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</si>
  <si>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</si>
  <si>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</si>
  <si>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</si>
  <si>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</si>
  <si>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</si>
  <si>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</si>
  <si>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</si>
  <si>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</si>
  <si>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</si>
  <si>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</si>
  <si>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</si>
  <si>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</si>
  <si>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</si>
  <si>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</si>
  <si>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</si>
  <si>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</si>
  <si>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</si>
  <si>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</si>
  <si>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</si>
  <si>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</si>
  <si>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</si>
  <si>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</si>
  <si>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</si>
  <si>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</si>
  <si>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</si>
  <si>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</si>
  <si>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</si>
  <si>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</si>
  <si>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</si>
  <si>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</si>
  <si>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</si>
  <si>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</si>
  <si>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</si>
  <si>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</si>
  <si>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</si>
  <si>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</si>
  <si>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</si>
  <si>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</si>
  <si>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</si>
  <si>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</si>
  <si>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</si>
  <si>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</si>
  <si>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</si>
  <si>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</si>
  <si>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</si>
  <si>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</si>
  <si>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</si>
  <si>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</si>
  <si>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</si>
  <si>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</si>
  <si>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</si>
  <si>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</si>
  <si>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</si>
  <si>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</si>
  <si>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</si>
  <si>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</si>
  <si>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</si>
  <si>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</si>
  <si>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</si>
  <si>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</si>
  <si>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</si>
  <si>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</si>
  <si>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</si>
  <si>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</si>
  <si>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</si>
  <si>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</si>
  <si>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</si>
  <si>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</si>
  <si>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</si>
  <si>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</si>
  <si>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</si>
  <si>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</si>
  <si>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</si>
  <si>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</si>
  <si>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</si>
  <si>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</si>
  <si>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</si>
  <si>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</si>
  <si>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</si>
  <si>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</si>
  <si>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</si>
  <si>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</si>
  <si>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</si>
  <si>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</si>
  <si>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</si>
  <si>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</si>
  <si>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</si>
  <si>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</si>
  <si>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</si>
  <si>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</si>
  <si>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</si>
  <si>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</si>
  <si>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</si>
  <si>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</si>
  <si>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</si>
  <si>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</si>
  <si>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</si>
  <si>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</si>
  <si>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</si>
  <si>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</si>
  <si>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</si>
  <si>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</si>
  <si>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</si>
  <si>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</si>
  <si>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</si>
  <si>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</si>
  <si>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</si>
  <si>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</si>
  <si>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</si>
  <si>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</si>
  <si>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</si>
  <si>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</si>
  <si>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</si>
  <si>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</si>
  <si>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</si>
  <si>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</si>
  <si>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</si>
  <si>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</si>
  <si>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</si>
  <si>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</si>
  <si>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</si>
  <si>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</si>
  <si>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</si>
  <si>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</si>
  <si>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</si>
  <si>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</si>
  <si>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</si>
  <si>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</si>
  <si>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</si>
  <si>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</si>
  <si>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</si>
  <si>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</si>
  <si>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</si>
  <si>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</si>
  <si>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</si>
  <si>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</si>
  <si>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</si>
  <si>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</si>
  <si>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</si>
  <si>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</si>
  <si>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</si>
  <si>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</si>
  <si>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</si>
  <si>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</si>
  <si>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</si>
  <si>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</si>
  <si>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</si>
  <si>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</si>
  <si>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</si>
  <si>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</si>
  <si>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</si>
  <si>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</si>
  <si>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</si>
  <si>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</si>
  <si>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</si>
  <si>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</si>
  <si>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</si>
  <si>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</si>
  <si>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</si>
  <si>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</si>
  <si>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</si>
  <si>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</si>
  <si>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</si>
  <si>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</si>
  <si>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</si>
  <si>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</si>
  <si>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</si>
  <si>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</si>
  <si>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</si>
  <si>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</si>
  <si>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</si>
  <si>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</si>
  <si>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</si>
  <si>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</si>
  <si>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</si>
  <si>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</si>
  <si>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</si>
  <si>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</si>
  <si>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</si>
  <si>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</si>
  <si>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</si>
  <si>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</si>
  <si>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</si>
  <si>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</si>
  <si>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</si>
  <si>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</si>
  <si>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</si>
  <si>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</si>
  <si>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</si>
  <si>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</si>
  <si>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</si>
  <si>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</si>
  <si>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</si>
  <si>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</si>
  <si>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</si>
  <si>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</si>
  <si>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</si>
  <si>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</si>
  <si>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</si>
  <si>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</si>
  <si>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</si>
  <si>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</si>
  <si>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</si>
  <si>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</si>
  <si>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</si>
  <si>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</si>
  <si>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</si>
  <si>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</si>
  <si>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</si>
  <si>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</si>
  <si>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</si>
  <si>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</si>
  <si>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</si>
  <si>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</si>
  <si>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</si>
  <si>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</si>
  <si>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</si>
  <si>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</si>
  <si>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</si>
  <si>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</si>
  <si>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</si>
  <si>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</si>
  <si>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</si>
  <si>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</si>
  <si>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</si>
  <si>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</si>
  <si>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</si>
  <si>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</si>
  <si>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</si>
  <si>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</si>
  <si>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</si>
  <si>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</si>
  <si>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</si>
  <si>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</si>
  <si>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</si>
  <si>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</si>
  <si>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</si>
  <si>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</si>
  <si>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</si>
  <si>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</si>
  <si>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</si>
  <si>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</si>
  <si>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</si>
  <si>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</si>
  <si>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</si>
  <si>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</si>
  <si>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</si>
  <si>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</si>
  <si>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</si>
  <si>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</si>
  <si>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</si>
  <si>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</si>
  <si>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</si>
  <si>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</si>
  <si>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</si>
  <si>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</si>
  <si>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</si>
  <si>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</si>
  <si>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</si>
  <si>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</si>
  <si>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</si>
  <si>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</si>
  <si>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</si>
  <si>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</si>
  <si>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</si>
  <si>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</si>
  <si>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</si>
  <si>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</si>
  <si>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</si>
  <si>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</si>
  <si>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</si>
  <si>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</si>
  <si>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</si>
  <si>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</si>
  <si>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</si>
  <si>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</si>
  <si>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</si>
  <si>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</si>
  <si>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</si>
  <si>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</si>
  <si>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</si>
  <si>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</si>
  <si>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</si>
  <si>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</si>
  <si>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</si>
  <si>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</si>
  <si>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</si>
  <si>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</si>
  <si>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</si>
  <si>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</si>
  <si>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</si>
  <si>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</si>
  <si>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</si>
  <si>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</si>
  <si>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</si>
  <si>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</si>
  <si>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</si>
  <si>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</si>
  <si>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</si>
  <si>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</si>
  <si>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</si>
  <si>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</si>
  <si>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</si>
  <si>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</si>
  <si>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</si>
  <si>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</si>
  <si>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</si>
  <si>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</si>
  <si>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</si>
  <si>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</si>
  <si>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</si>
  <si>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</si>
  <si>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</si>
  <si>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</si>
  <si>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</si>
  <si>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</si>
  <si>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</si>
  <si>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</si>
  <si>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</si>
  <si>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</si>
  <si>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</si>
  <si>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</si>
  <si>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</si>
  <si>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</si>
  <si>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</si>
  <si>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</si>
  <si>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</si>
  <si>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</si>
  <si>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</si>
  <si>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</si>
  <si>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</si>
  <si>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</si>
  <si>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</si>
  <si>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</si>
  <si>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</si>
  <si>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</si>
  <si>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</si>
  <si>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</si>
  <si>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</si>
  <si>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</si>
  <si>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</si>
  <si>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</si>
  <si>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</si>
  <si>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</si>
  <si>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</si>
  <si>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</si>
  <si>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</si>
  <si>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</si>
  <si>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</si>
  <si>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</si>
  <si>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</si>
  <si>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</si>
  <si>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</si>
  <si>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</si>
  <si>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</si>
  <si>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</si>
  <si>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</si>
  <si>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</si>
  <si>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</si>
  <si>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</si>
  <si>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</si>
  <si>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</si>
  <si>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</si>
  <si>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</si>
  <si>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</si>
  <si>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</si>
  <si>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</si>
  <si>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</si>
  <si>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</si>
  <si>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</si>
  <si>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</si>
  <si>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</si>
  <si>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</si>
  <si>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</si>
  <si>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</si>
  <si>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</si>
  <si>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</si>
  <si>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</si>
  <si>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</si>
  <si>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</si>
  <si>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</si>
  <si>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</si>
  <si>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</si>
  <si>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</si>
  <si>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</si>
  <si>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</si>
  <si>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</si>
  <si>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</si>
  <si>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</si>
  <si>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</si>
  <si>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</si>
  <si>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</si>
  <si>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</si>
  <si>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</si>
  <si>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</si>
  <si>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</si>
  <si>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</si>
  <si>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</si>
  <si>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</si>
  <si>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</si>
  <si>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</si>
  <si>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</si>
  <si>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</si>
  <si>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</si>
  <si>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</si>
  <si>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</si>
  <si>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</si>
  <si>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</si>
  <si>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</si>
  <si>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</si>
  <si>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</si>
  <si>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</si>
  <si>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</si>
  <si>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</si>
  <si>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</si>
  <si>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</si>
  <si>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</si>
  <si>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</si>
  <si>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</si>
  <si>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</si>
  <si>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</si>
  <si>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</si>
  <si>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</si>
  <si>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</si>
  <si>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</si>
  <si>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</si>
  <si>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</si>
  <si>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</si>
  <si>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</si>
  <si>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</si>
  <si>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</si>
  <si>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</si>
  <si>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</si>
  <si>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</si>
  <si>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</si>
  <si>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</si>
  <si>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</si>
  <si>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</si>
  <si>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</si>
  <si>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</si>
  <si>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</si>
  <si>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</si>
  <si>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</si>
  <si>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</si>
  <si>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</si>
  <si>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</si>
  <si>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</si>
  <si>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</si>
  <si>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</si>
  <si>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</si>
  <si>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</si>
  <si>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</si>
  <si>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</si>
  <si>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</si>
  <si>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</si>
  <si>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</si>
  <si>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</si>
  <si>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</si>
  <si>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</si>
  <si>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</si>
  <si>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</si>
  <si>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</si>
  <si>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</si>
  <si>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</si>
  <si>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</si>
  <si>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</si>
  <si>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</si>
  <si>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</si>
  <si>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</si>
  <si>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</si>
  <si>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</si>
  <si>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</si>
  <si>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</si>
  <si>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</si>
  <si>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</si>
  <si>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</si>
  <si>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</si>
  <si>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</si>
  <si>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</si>
  <si>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</si>
  <si>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</si>
  <si>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</si>
  <si>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</si>
  <si>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</si>
  <si>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</si>
  <si>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</si>
  <si>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</si>
  <si>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</si>
  <si>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</si>
  <si>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</si>
  <si>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</si>
  <si>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</si>
  <si>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</si>
  <si>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</si>
  <si>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</si>
  <si>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</si>
  <si>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</si>
  <si>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</si>
  <si>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</si>
  <si>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</si>
  <si>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</si>
  <si>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</si>
  <si>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</si>
  <si>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</si>
  <si>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</si>
  <si>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</si>
  <si>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</si>
  <si>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</si>
  <si>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</si>
  <si>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</si>
  <si>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</si>
  <si>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</si>
  <si>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</si>
  <si>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</si>
  <si>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</si>
  <si>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</si>
  <si>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</si>
  <si>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</si>
  <si>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</si>
  <si>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</si>
  <si>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</si>
  <si>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</si>
  <si>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</si>
  <si>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</si>
  <si>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</si>
  <si>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</si>
  <si>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</si>
  <si>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</si>
  <si>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</si>
  <si>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</si>
  <si>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</si>
  <si>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</si>
  <si>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</si>
  <si>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</si>
  <si>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</si>
  <si>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</si>
  <si>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</si>
  <si>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</si>
  <si>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</si>
  <si>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</si>
  <si>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</si>
  <si>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</si>
  <si>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</si>
  <si>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</si>
  <si>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</si>
  <si>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</si>
  <si>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</si>
  <si>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</si>
  <si>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</si>
  <si>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</si>
  <si>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</si>
  <si>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</si>
  <si>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</si>
  <si>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</si>
  <si>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</si>
  <si>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</si>
  <si>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</si>
  <si>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</si>
  <si>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</si>
  <si>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</si>
  <si>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</si>
  <si>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</si>
  <si>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</si>
  <si>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</si>
  <si>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</si>
  <si>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</si>
  <si>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</si>
  <si>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</si>
  <si>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</si>
  <si>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</si>
  <si>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</si>
  <si>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</si>
  <si>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</si>
  <si>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</si>
  <si>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</si>
  <si>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</si>
  <si>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</si>
  <si>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</si>
  <si>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</si>
  <si>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</si>
  <si>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</si>
  <si>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</si>
  <si>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</si>
  <si>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</si>
  <si>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</si>
  <si>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</si>
  <si>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</si>
  <si>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</si>
  <si>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</si>
  <si>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</si>
  <si>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</si>
  <si>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</si>
  <si>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</si>
  <si>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</si>
  <si>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</si>
  <si>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</si>
  <si>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</si>
  <si>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</si>
  <si>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</si>
  <si>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</si>
  <si>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</si>
  <si>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</si>
  <si>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</si>
  <si>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</si>
  <si>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</si>
  <si>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</si>
  <si>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</si>
  <si>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</si>
  <si>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</si>
  <si>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</si>
  <si>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</si>
  <si>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</si>
  <si>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</si>
  <si>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</si>
  <si>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</si>
  <si>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</si>
  <si>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</si>
  <si>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</si>
  <si>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</si>
  <si>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</si>
  <si>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</si>
  <si>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</si>
  <si>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</si>
  <si>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</si>
  <si>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</si>
  <si>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</si>
  <si>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</si>
  <si>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</si>
  <si>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</si>
  <si>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</si>
  <si>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</si>
  <si>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</si>
  <si>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</si>
  <si>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</si>
  <si>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</si>
  <si>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</si>
  <si>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</si>
  <si>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</si>
  <si>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</si>
  <si>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</si>
  <si>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</si>
  <si>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</si>
  <si>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</si>
  <si>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</si>
  <si>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</si>
  <si>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</si>
  <si>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</si>
  <si>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</si>
  <si>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</si>
  <si>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</si>
  <si>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</si>
  <si>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</si>
  <si>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</si>
  <si>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</si>
  <si>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</si>
  <si>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</si>
  <si>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</si>
  <si>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</si>
  <si>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</si>
  <si>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</si>
  <si>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</si>
  <si>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</si>
  <si>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</si>
  <si>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</si>
  <si>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</si>
  <si>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</si>
  <si>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</si>
  <si>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</si>
  <si>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</si>
  <si>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</si>
  <si>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</si>
  <si>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</si>
  <si>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</si>
  <si>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</si>
  <si>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</si>
  <si>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</si>
  <si>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</si>
  <si>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</si>
  <si>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</si>
  <si>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</si>
  <si>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</si>
  <si>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</si>
  <si>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</si>
  <si>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</si>
  <si>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</si>
  <si>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</si>
  <si>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</si>
  <si>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</si>
  <si>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</si>
  <si>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</si>
  <si>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</si>
  <si>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</si>
  <si>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</si>
  <si>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</si>
  <si>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</si>
  <si>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</si>
  <si>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</si>
  <si>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</si>
  <si>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</si>
  <si>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</si>
  <si>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</si>
  <si>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</si>
  <si>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</si>
  <si>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</si>
  <si>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</si>
  <si>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</si>
  <si>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</si>
  <si>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</si>
  <si>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</si>
  <si>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</si>
  <si>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</si>
  <si>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</si>
  <si>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</si>
  <si>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</si>
  <si>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</si>
  <si>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</si>
  <si>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</si>
  <si>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</si>
  <si>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</si>
  <si>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</si>
  <si>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</si>
  <si>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</si>
  <si>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</si>
  <si>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</si>
  <si>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</si>
  <si>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</si>
  <si>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</si>
  <si>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</si>
  <si>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</si>
  <si>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</si>
  <si>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</si>
  <si>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</si>
  <si>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</si>
  <si>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</si>
  <si>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</si>
  <si>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</si>
  <si>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</si>
  <si>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</si>
  <si>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</si>
  <si>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</si>
  <si>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</si>
  <si>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</si>
  <si>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</si>
  <si>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</si>
  <si>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</si>
  <si>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</si>
  <si>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</si>
  <si>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</si>
  <si>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</si>
  <si>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</si>
  <si>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</si>
  <si>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</si>
  <si>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</si>
  <si>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</si>
  <si>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</si>
  <si>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</si>
  <si>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</si>
  <si>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</si>
  <si>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</si>
  <si>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</si>
  <si>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</si>
  <si>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</si>
  <si>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</si>
  <si>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</si>
  <si>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</si>
  <si>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</si>
  <si>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</si>
  <si>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</si>
  <si>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</si>
  <si>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</si>
  <si>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</si>
  <si>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</si>
  <si>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</si>
  <si>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</si>
  <si>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</si>
  <si>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</si>
  <si>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</si>
  <si>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</si>
  <si>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</si>
  <si>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</si>
  <si>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</si>
  <si>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</si>
  <si>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</si>
  <si>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</si>
  <si>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</si>
  <si>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</si>
  <si>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</si>
  <si>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</si>
  <si>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</si>
  <si>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</si>
  <si>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</si>
  <si>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</si>
  <si>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</si>
  <si>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</si>
  <si>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</si>
  <si>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</si>
  <si>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</si>
  <si>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</si>
  <si>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</si>
  <si>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</si>
  <si>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</si>
  <si>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</si>
  <si>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</si>
  <si>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</si>
  <si>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</si>
  <si>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</si>
  <si>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</si>
  <si>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</si>
  <si>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</si>
  <si>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</si>
  <si>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</si>
  <si>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</si>
  <si>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</si>
  <si>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</si>
  <si>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</si>
  <si>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</si>
  <si>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</si>
  <si>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</si>
  <si>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</si>
  <si>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</si>
  <si>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</si>
  <si>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</si>
  <si>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</si>
  <si>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</si>
  <si>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</si>
  <si>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</si>
  <si>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</si>
  <si>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</si>
  <si>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</si>
  <si>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</si>
  <si>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</si>
  <si>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</si>
  <si>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</si>
  <si>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</si>
  <si>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</si>
  <si>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</si>
  <si>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</si>
  <si>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</si>
  <si>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</si>
  <si>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</si>
  <si>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</si>
  <si>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</si>
  <si>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</si>
  <si>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</si>
  <si>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</si>
  <si>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</si>
  <si>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</si>
  <si>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</si>
  <si>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</si>
  <si>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</si>
  <si>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</si>
  <si>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</si>
  <si>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</si>
  <si>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</si>
  <si>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</si>
  <si>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</si>
  <si>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</si>
  <si>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</si>
  <si>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</si>
  <si>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</si>
  <si>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</si>
  <si>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</si>
  <si>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</si>
  <si>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</si>
  <si>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</si>
  <si>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</si>
  <si>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</si>
  <si>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</si>
  <si>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</si>
  <si>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</si>
  <si>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</si>
  <si>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</si>
  <si>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</si>
  <si>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</si>
  <si>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</si>
  <si>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</si>
  <si>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</si>
  <si>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</si>
  <si>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</si>
  <si>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</si>
  <si>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</si>
  <si>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</si>
  <si>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</si>
  <si>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</si>
  <si>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</si>
  <si>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</si>
  <si>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</si>
  <si>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</si>
  <si>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</si>
  <si>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</si>
  <si>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</si>
  <si>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</si>
  <si>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</si>
  <si>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</si>
  <si>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</si>
  <si>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</si>
  <si>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</si>
  <si>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</si>
  <si>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</si>
  <si>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</si>
  <si>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</si>
  <si>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</si>
  <si>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</si>
  <si>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</si>
  <si>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</si>
  <si>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</si>
  <si>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</si>
  <si>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</si>
  <si>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</si>
  <si>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</si>
  <si>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</si>
  <si>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</si>
  <si>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</si>
  <si>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</si>
  <si>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</si>
  <si>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</si>
  <si>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</si>
  <si>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</si>
  <si>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</si>
  <si>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</si>
  <si>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</si>
  <si>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</si>
  <si>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</si>
  <si>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</si>
  <si>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</si>
  <si>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</si>
  <si>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</si>
  <si>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</si>
  <si>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</si>
  <si>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</si>
  <si>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</si>
  <si>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</si>
  <si>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</si>
  <si>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</si>
  <si>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</si>
  <si>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</si>
  <si>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</si>
  <si>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</si>
  <si>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</si>
  <si>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</si>
  <si>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</si>
  <si>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</si>
  <si>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</si>
  <si>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</si>
  <si>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</si>
  <si>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</si>
  <si>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</si>
  <si>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</si>
  <si>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</si>
  <si>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</si>
  <si>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</si>
  <si>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</si>
  <si>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</si>
  <si>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</si>
  <si>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</si>
  <si>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</si>
  <si>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</si>
  <si>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</si>
  <si>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</si>
  <si>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</si>
  <si>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</si>
  <si>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</si>
  <si>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</si>
  <si>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</si>
  <si>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</si>
  <si>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</si>
  <si>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</si>
  <si>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</si>
  <si>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</si>
  <si>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</si>
  <si>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</si>
  <si>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</si>
  <si>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</si>
  <si>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</si>
  <si>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</si>
  <si>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</si>
  <si>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</si>
  <si>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</si>
  <si>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</si>
  <si>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</si>
  <si>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</si>
  <si>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</si>
  <si>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</si>
  <si>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</si>
  <si>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</si>
  <si>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</si>
  <si>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</si>
  <si>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</si>
  <si>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</si>
  <si>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</si>
  <si>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</si>
  <si>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</si>
  <si>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</si>
  <si>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</si>
  <si>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</si>
  <si>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</si>
  <si>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</si>
  <si>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</si>
  <si>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</si>
  <si>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</si>
  <si>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</si>
  <si>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</si>
  <si>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</si>
  <si>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</si>
  <si>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</si>
  <si>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</si>
  <si>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</si>
  <si>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</si>
  <si>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</si>
  <si>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</si>
  <si>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</si>
  <si>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</si>
  <si>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</si>
  <si>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</si>
  <si>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</si>
  <si>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</si>
  <si>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</si>
  <si>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</si>
  <si>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</si>
  <si>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</si>
  <si>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</si>
  <si>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</si>
  <si>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</si>
  <si>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</si>
  <si>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</si>
  <si>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</si>
  <si>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</si>
  <si>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</si>
  <si>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</si>
  <si>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</si>
  <si>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</si>
  <si>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</si>
  <si>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</si>
  <si>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</si>
  <si>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</si>
  <si>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</si>
  <si>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</si>
  <si>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</si>
  <si>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</si>
  <si>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</si>
  <si>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</si>
  <si>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</si>
  <si>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</si>
  <si>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</si>
  <si>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</si>
  <si>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</si>
  <si>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</si>
  <si>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</si>
  <si>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</si>
  <si>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</si>
  <si>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</si>
  <si>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</si>
  <si>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</si>
  <si>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</si>
  <si>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</si>
  <si>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</si>
  <si>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</si>
  <si>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</si>
  <si>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</si>
  <si>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</si>
  <si>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</si>
  <si>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</si>
  <si>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</si>
  <si>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</si>
  <si>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</si>
  <si>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</si>
  <si>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</si>
  <si>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</si>
  <si>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</si>
  <si>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</si>
  <si>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</si>
  <si>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</si>
  <si>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</si>
  <si>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</si>
  <si>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</si>
  <si>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</si>
  <si>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</si>
  <si>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</si>
  <si>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</si>
  <si>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</si>
  <si>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</si>
  <si>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</si>
  <si>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</si>
  <si>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</si>
  <si>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</si>
  <si>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</si>
  <si>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</si>
  <si>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</si>
  <si>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</si>
  <si>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</si>
  <si>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</si>
  <si>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</si>
  <si>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</si>
  <si>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</si>
  <si>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</si>
  <si>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</si>
  <si>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</si>
  <si>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</si>
  <si>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</si>
  <si>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</si>
  <si>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</si>
  <si>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</si>
  <si>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</si>
  <si>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</si>
  <si>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</si>
  <si>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</si>
  <si>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</si>
  <si>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</si>
  <si>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</si>
  <si>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</si>
  <si>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</si>
  <si>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</si>
  <si>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</si>
  <si>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</si>
  <si>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</si>
  <si>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</si>
  <si>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</si>
  <si>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</si>
  <si>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</si>
  <si>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</si>
  <si>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</si>
  <si>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</si>
  <si>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</si>
  <si>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</si>
  <si>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</si>
  <si>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</si>
  <si>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</si>
  <si>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</si>
  <si>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</si>
  <si>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</si>
  <si>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</si>
  <si>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</si>
  <si>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</si>
  <si>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</si>
  <si>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</si>
  <si>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</si>
  <si>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</si>
  <si>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</si>
  <si>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</si>
  <si>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</si>
  <si>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</si>
  <si>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</si>
  <si>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</si>
  <si>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</si>
  <si>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</si>
  <si>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</si>
  <si>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</si>
  <si>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</si>
  <si>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</si>
  <si>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</si>
  <si>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</si>
  <si>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</si>
  <si>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</si>
  <si>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</si>
  <si>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</si>
  <si>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</si>
  <si>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</si>
  <si>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</si>
  <si>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</si>
  <si>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</si>
  <si>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</si>
  <si>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</si>
  <si>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</si>
  <si>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</si>
  <si>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</si>
  <si>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</si>
  <si>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</si>
  <si>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</si>
  <si>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</si>
  <si>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</si>
  <si>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</si>
  <si>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</si>
  <si>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</si>
  <si>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</si>
  <si>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</si>
  <si>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</si>
  <si>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</si>
  <si>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</si>
  <si>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</si>
  <si>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</si>
  <si>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</si>
  <si>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</si>
  <si>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</si>
  <si>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</si>
  <si>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</si>
  <si>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</si>
  <si>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</si>
  <si>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</si>
  <si>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</si>
  <si>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</si>
  <si>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</si>
  <si>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</si>
  <si>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</si>
  <si>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</si>
  <si>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</si>
  <si>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</si>
  <si>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</si>
  <si>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</si>
  <si>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</si>
  <si>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</si>
  <si>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</si>
  <si>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</si>
  <si>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</si>
  <si>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</si>
  <si>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</si>
  <si>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</si>
  <si>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</si>
  <si>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</si>
  <si>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</si>
  <si>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</si>
  <si>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</si>
  <si>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</si>
  <si>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</si>
  <si>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</si>
  <si>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</si>
  <si>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</si>
  <si>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</si>
  <si>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</si>
  <si>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</si>
  <si>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</si>
  <si>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</si>
  <si>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</si>
  <si>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</si>
  <si>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</si>
  <si>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</si>
  <si>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</si>
  <si>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</si>
  <si>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</si>
  <si>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</si>
  <si>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</si>
  <si>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</si>
  <si>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</si>
  <si>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</si>
  <si>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</si>
  <si>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</si>
  <si>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</si>
  <si>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</si>
  <si>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</si>
  <si>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</si>
  <si>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</si>
  <si>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</si>
  <si>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</si>
  <si>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</si>
  <si>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</si>
  <si>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</si>
  <si>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</si>
  <si>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</si>
  <si>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</si>
  <si>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</si>
  <si>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</si>
  <si>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</si>
  <si>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</si>
  <si>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</si>
  <si>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</si>
  <si>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</si>
  <si>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</si>
  <si>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</si>
  <si>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</si>
  <si>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</si>
  <si>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</si>
  <si>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</si>
  <si>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</si>
  <si>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</si>
  <si>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</si>
  <si>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</si>
  <si>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</si>
  <si>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</si>
  <si>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</si>
  <si>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</si>
  <si>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</si>
  <si>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</si>
  <si>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</si>
  <si>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</si>
  <si>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</si>
  <si>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</si>
  <si>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</si>
  <si>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</si>
  <si>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</si>
  <si>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</si>
  <si>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</si>
  <si>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</si>
  <si>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</si>
  <si>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</si>
  <si>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</si>
  <si>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</si>
  <si>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</si>
  <si>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</si>
  <si>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</si>
  <si>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</si>
  <si>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</si>
  <si>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</si>
  <si>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</si>
  <si>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</si>
  <si>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</si>
  <si>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</si>
  <si>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</si>
  <si>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</si>
  <si>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</si>
  <si>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</si>
  <si>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</si>
  <si>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</si>
  <si>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</si>
  <si>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</si>
  <si>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</si>
  <si>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</si>
  <si>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</si>
  <si>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</si>
  <si>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</si>
  <si>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</si>
  <si>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</si>
  <si>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</si>
  <si>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</si>
  <si>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</si>
  <si>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</si>
  <si>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</si>
  <si>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</si>
  <si>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</si>
  <si>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</si>
  <si>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</si>
  <si>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</si>
  <si>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</si>
  <si>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</si>
  <si>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</si>
  <si>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</si>
  <si>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</si>
  <si>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</si>
  <si>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</si>
  <si>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</si>
  <si>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</si>
  <si>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</si>
  <si>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</si>
  <si>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</si>
  <si>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</si>
  <si>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</si>
  <si>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</si>
  <si>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</si>
  <si>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</si>
  <si>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</si>
  <si>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</si>
  <si>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</si>
  <si>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</si>
  <si>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</si>
  <si>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</si>
  <si>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</si>
  <si>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</si>
  <si>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</si>
  <si>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</si>
  <si>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</si>
  <si>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</si>
  <si>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</si>
  <si>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</si>
  <si>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</si>
  <si>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</si>
  <si>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</si>
  <si>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</si>
  <si>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</si>
  <si>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</si>
  <si>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</si>
  <si>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</si>
  <si>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</si>
  <si>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</si>
  <si>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</si>
  <si>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</si>
  <si>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</si>
  <si>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</si>
  <si>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</si>
  <si>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</si>
  <si>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</si>
  <si>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</si>
  <si>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</si>
  <si>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</si>
  <si>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</si>
  <si>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</si>
  <si>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</si>
  <si>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</si>
  <si>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</si>
  <si>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</si>
  <si>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</si>
  <si>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</si>
  <si>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</si>
  <si>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</si>
  <si>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</si>
  <si>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</si>
  <si>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</si>
  <si>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</si>
  <si>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</si>
  <si>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</si>
  <si>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</si>
  <si>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</si>
  <si>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</si>
  <si>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</si>
  <si>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</si>
  <si>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</si>
  <si>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</si>
  <si>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</si>
  <si>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</si>
  <si>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</si>
  <si>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</si>
  <si>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</si>
  <si>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</si>
  <si>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</si>
  <si>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</si>
  <si>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</si>
  <si>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</si>
  <si>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</si>
  <si>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</si>
  <si>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</si>
  <si>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</si>
  <si>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</si>
  <si>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</si>
  <si>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</si>
  <si>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</si>
  <si>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</si>
  <si>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</si>
  <si>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</si>
  <si>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</si>
  <si>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</si>
  <si>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</si>
  <si>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</si>
  <si>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</si>
  <si>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</si>
  <si>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</si>
  <si>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</si>
  <si>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</si>
  <si>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</si>
  <si>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</si>
  <si>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</si>
  <si>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</si>
  <si>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</si>
  <si>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</si>
  <si>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</si>
  <si>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</si>
  <si>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</si>
  <si>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</si>
  <si>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</si>
  <si>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</si>
  <si>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</si>
  <si>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</si>
  <si>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</si>
  <si>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</si>
  <si>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</si>
  <si>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</si>
  <si>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</si>
  <si>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</si>
  <si>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</si>
  <si>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</si>
  <si>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</si>
  <si>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</si>
  <si>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</si>
  <si>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</si>
  <si>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</si>
  <si>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</si>
  <si>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</si>
  <si>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</si>
  <si>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</si>
  <si>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</si>
  <si>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</si>
  <si>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</si>
  <si>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</si>
  <si>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</si>
  <si>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</si>
  <si>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</si>
  <si>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</si>
  <si>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</si>
  <si>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</si>
  <si>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</si>
  <si>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</si>
  <si>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</si>
  <si>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</si>
  <si>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</si>
  <si>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</si>
  <si>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</si>
  <si>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</si>
  <si>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</si>
  <si>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</si>
  <si>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</si>
  <si>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</si>
  <si>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</si>
  <si>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</si>
  <si>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</si>
  <si>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</si>
  <si>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</si>
  <si>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</si>
  <si>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</si>
  <si>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</si>
  <si>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</si>
  <si>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</si>
  <si>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</si>
  <si>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</si>
  <si>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</si>
  <si>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</si>
  <si>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</si>
  <si>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</si>
  <si>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</si>
  <si>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</si>
  <si>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</si>
  <si>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</si>
  <si>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</si>
  <si>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</si>
  <si>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</si>
  <si>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</si>
  <si>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</si>
  <si>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</si>
  <si>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</si>
  <si>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</si>
  <si>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021-061-0010-26</t>
  </si>
  <si>
    <t>X</t>
  </si>
  <si>
    <t>Massac</t>
  </si>
  <si>
    <t>Massac County Community Unit S.D. #1</t>
  </si>
  <si>
    <t>401 Metropolis Street</t>
  </si>
  <si>
    <t>Metropolis</t>
  </si>
  <si>
    <t>Beussink, Hey, Roe &amp; Stroder, L.L.C.</t>
  </si>
  <si>
    <t>Jeffrey C. Stroder, CPA</t>
  </si>
  <si>
    <t>16 South Silver Springs Road</t>
  </si>
  <si>
    <t>Cape Giradeau</t>
  </si>
  <si>
    <t>MO</t>
  </si>
  <si>
    <t>573-334-7971</t>
  </si>
  <si>
    <t>573-334-8875</t>
  </si>
  <si>
    <t>066-003889</t>
  </si>
  <si>
    <t>jstroder@bhrcpas.com</t>
  </si>
  <si>
    <t>jmitchell@massac.org</t>
  </si>
  <si>
    <t>General Obligation Refunding Bond, Series 2015</t>
  </si>
  <si>
    <t>General Obligation Refunding Bond, Series 2016</t>
  </si>
  <si>
    <t>General Obligation Refunding Bond, Series 2019</t>
  </si>
  <si>
    <t>The financial statements are prepared in a format that complies with regulatory provisions prescribed by the Illinois State Board of Education, who practices differ from accounting principles generally accepted in the United States of America.</t>
  </si>
  <si>
    <t>ED-Pupil-Purchased Services</t>
  </si>
  <si>
    <t>O&amp;M-Oper.&amp; Maint. Plant Services - Purchased Services</t>
  </si>
  <si>
    <t>ED-Instructional Staff-Purchased Services</t>
  </si>
  <si>
    <t>TR-Pupil Transportation-Purchased Services</t>
  </si>
  <si>
    <t>O&amp;M-Oper. &amp; Maint. Plant Services - Purchased Services</t>
  </si>
  <si>
    <t>O&amp;M-Oper. &amp; Maint. Plant Services - Supplies</t>
  </si>
  <si>
    <t>Achieve 3000</t>
  </si>
  <si>
    <t>Helping Hands OT Services, LLC</t>
  </si>
  <si>
    <t>HSG Mechanical Contractor</t>
  </si>
  <si>
    <t>Renaissance Learning</t>
  </si>
  <si>
    <t>Republic Services #796</t>
  </si>
  <si>
    <t>Robinson Transport, Inc.</t>
  </si>
  <si>
    <t>Triangle Enterprises, Inc.</t>
  </si>
  <si>
    <t>shared service - Williamson County Special Education Services</t>
  </si>
  <si>
    <t>shared service - Five County Regional Vocatioal System</t>
  </si>
  <si>
    <t>Account Number</t>
  </si>
  <si>
    <t>Object Code</t>
  </si>
  <si>
    <t>Prepaid Payroll Taxes</t>
  </si>
  <si>
    <t>Regional Alternative Meals</t>
  </si>
  <si>
    <t>Various Other Miscellaneous Income Items</t>
  </si>
  <si>
    <t>AP Exam Fee Refunds</t>
  </si>
  <si>
    <t>Local Grant</t>
  </si>
  <si>
    <t>Mass Mutual Refund</t>
  </si>
  <si>
    <t>Miscellaneous Receipts</t>
  </si>
  <si>
    <t>Miscellaneous State Grant Revenue</t>
  </si>
  <si>
    <t>STEP Performance Grant</t>
  </si>
  <si>
    <t>Extracurricular Payroll</t>
  </si>
  <si>
    <t>Extracurricular Benefits</t>
  </si>
  <si>
    <t>Drivers Education Vehicle Rental</t>
  </si>
  <si>
    <t>Miscellaneous</t>
  </si>
  <si>
    <t>Extracurricular Supplies</t>
  </si>
  <si>
    <t>Extracurricular Other Objects</t>
  </si>
  <si>
    <t>School Administration Salary</t>
  </si>
  <si>
    <t>School Administration Benefits</t>
  </si>
  <si>
    <t>ROE Tuition</t>
  </si>
  <si>
    <t>Illinois State Board of Education</t>
  </si>
  <si>
    <t>Bond Issuance Costs</t>
  </si>
  <si>
    <t>U.S. DEPARTMENT OF AGRICULTURE</t>
  </si>
  <si>
    <t>Passed Through Illinois State Board of Education</t>
  </si>
  <si>
    <t xml:space="preserve">  School Breakfast Program (M)</t>
  </si>
  <si>
    <t xml:space="preserve">    Total for CFDA #10.553</t>
  </si>
  <si>
    <t xml:space="preserve">  National School Lunch Program (M)</t>
  </si>
  <si>
    <t xml:space="preserve">  Commodities (Non-Cash) (M)</t>
  </si>
  <si>
    <t xml:space="preserve">  Dept. of Defense Fresh Fruits &amp; Vegetables (M)</t>
  </si>
  <si>
    <t xml:space="preserve">    Total for CFDA #10.555</t>
  </si>
  <si>
    <t>19-4220</t>
  </si>
  <si>
    <t>20-4220</t>
  </si>
  <si>
    <t>19-4210</t>
  </si>
  <si>
    <t>20-4210</t>
  </si>
  <si>
    <t>N/A - 19</t>
  </si>
  <si>
    <t>N/A - 20</t>
  </si>
  <si>
    <t xml:space="preserve">  Summer Food Service Program (M)</t>
  </si>
  <si>
    <t xml:space="preserve">    Total for CFDA #10.559</t>
  </si>
  <si>
    <t>20-4225</t>
  </si>
  <si>
    <t>Total Child Nutrition Cluster (CFDA Numbers 10.553, 10.555 and 10.559)</t>
  </si>
  <si>
    <t>TOTAL U.S. DEPARTMENT OF AGRICULTURE</t>
  </si>
  <si>
    <t>U.S. DEPARTMENT OF EDUCATION</t>
  </si>
  <si>
    <t xml:space="preserve">  Title I: Grants to Local Education Agencies (M)</t>
  </si>
  <si>
    <t xml:space="preserve">    Total for CFDA #84.010</t>
  </si>
  <si>
    <t>19-4300</t>
  </si>
  <si>
    <t>20-4300</t>
  </si>
  <si>
    <t>19-4331</t>
  </si>
  <si>
    <t>20-4331</t>
  </si>
  <si>
    <t xml:space="preserve">  Special Education  - IDEA - Flow-Through (M)</t>
  </si>
  <si>
    <t xml:space="preserve">  Special Education - IDEA - Room and Board (M)</t>
  </si>
  <si>
    <t xml:space="preserve">    Total for CFDA #84.027</t>
  </si>
  <si>
    <t>19-4620</t>
  </si>
  <si>
    <t>20-4620</t>
  </si>
  <si>
    <t>19-4625</t>
  </si>
  <si>
    <t>19-4600</t>
  </si>
  <si>
    <t>20-4600</t>
  </si>
  <si>
    <t xml:space="preserve">  Special Education - Pre-School - Flow-Through (M)</t>
  </si>
  <si>
    <t xml:space="preserve">    Total for CFDA #84.173</t>
  </si>
  <si>
    <t>Total Special Education Cluster IDEA (CFDA Numbers 84.027 and 84.173)</t>
  </si>
  <si>
    <t xml:space="preserve">Passed Through Illinois State Board of Eudcation </t>
  </si>
  <si>
    <t xml:space="preserve">  Title V - Rural Education Initative</t>
  </si>
  <si>
    <t xml:space="preserve">    Total for CFDA #84.358</t>
  </si>
  <si>
    <t>19-4107</t>
  </si>
  <si>
    <t>20-4107</t>
  </si>
  <si>
    <t xml:space="preserve">  Improving Teacher Quality State Grants</t>
  </si>
  <si>
    <t xml:space="preserve">    Total for CFDA #84.367</t>
  </si>
  <si>
    <t>19-4932</t>
  </si>
  <si>
    <t>20-4932</t>
  </si>
  <si>
    <t>TOTAL U.S. DEPARTMENT OF EDUCATION</t>
  </si>
  <si>
    <t>U.S. DEPARTMENT OF HEALTH &amp; HUMAN SERVICES</t>
  </si>
  <si>
    <t>Passed through IL Department of Healthcare &amp; Family Services</t>
  </si>
  <si>
    <t xml:space="preserve">  Medical Assistance Program</t>
  </si>
  <si>
    <t xml:space="preserve">    Total for CFDA #93.778</t>
  </si>
  <si>
    <t>TOTAL U.S. DEPARTMENT OF HEALTH &amp; HUMAN SERVICES</t>
  </si>
  <si>
    <t>TOTAL FEDERAL AWARDS</t>
  </si>
  <si>
    <t>19-4991</t>
  </si>
  <si>
    <t>20-4991</t>
  </si>
  <si>
    <t>N/A</t>
  </si>
  <si>
    <t>10.553, 10.555, and 10.559</t>
  </si>
  <si>
    <t>Qualified 10.553, 10.555 &amp; 10.559; Unmodified 84.010, 84.027, and 84.173</t>
  </si>
  <si>
    <t>84.027 and 84.173</t>
  </si>
  <si>
    <t>Child Nutrtion Cluster</t>
  </si>
  <si>
    <t>Title I: Grants to Local Educational Agencies</t>
  </si>
  <si>
    <t>Special Education (IDEA) Cluster</t>
  </si>
  <si>
    <t xml:space="preserve">Per the Illinois State Board of Education, the District must submit their Annual Statement of Affairs and adopted Budget to the State Board of Education by December 15th and October 31st, respectively. </t>
  </si>
  <si>
    <t>The District did not submit their Annual Statement of Affairs and adopted Budget to the Illinois State Board of Education until March 17th and Decmeber 4th, respectively.</t>
  </si>
  <si>
    <t xml:space="preserve">The Annual Statement of Affairs and Budget must be submitted to the State Board of Education for posting on the agency's website by December 15th and October 31st, annually. </t>
  </si>
  <si>
    <t>The District is not in compliance with the State Board of Education requirements.</t>
  </si>
  <si>
    <t xml:space="preserve">The District was not aware of the submission deadline date for either of these documents. </t>
  </si>
  <si>
    <t>We recommend that the District ensure they submit their Annual Statent of Affairs and adopted Budget to the Illinois State Board of Education by the required deadline.</t>
  </si>
  <si>
    <t>We were unware of the required date of submission. We will ensure these documents are filed timely going forward.</t>
  </si>
  <si>
    <t>Child Nutrition Cluster 2020</t>
  </si>
  <si>
    <t>20-4210, 20-4220, &amp; 20-4225</t>
  </si>
  <si>
    <t>10.553, 10.555, &amp; 10.559</t>
  </si>
  <si>
    <t>U.S. Department of Agriculture</t>
  </si>
  <si>
    <t xml:space="preserve">By December 15 of each year, the school must verify the current free and reduced price eligibility of households selected from a sample of applicants that have already been approved. </t>
  </si>
  <si>
    <t xml:space="preserve">One verification did not have supporting income documentation. </t>
  </si>
  <si>
    <t>None</t>
  </si>
  <si>
    <t>Expenditures from the Child Nutrition Cluster grant totaled $1,173,357 during the fiscal year ended June 30, 2020. In addition, eligibility for serveral other grants is based on the number of students eligible for free and reduced breakfasts and lunches.</t>
  </si>
  <si>
    <t>The District could provide benefits to ineligible children.</t>
  </si>
  <si>
    <t>The District had ineffective controls in place for the determination of free and reduced lunch applications.</t>
  </si>
  <si>
    <t xml:space="preserve">We recommend all applications have all required income documentation before the verification is approved for benefits. </t>
  </si>
  <si>
    <t xml:space="preserve">The District will ensure that all income documentation is obtained for each verification and maintained in the Food Service Director's file. </t>
  </si>
  <si>
    <t>2019-001</t>
  </si>
  <si>
    <t>The District did not record the debt service payment</t>
  </si>
  <si>
    <t>made or the payment received on the local school</t>
  </si>
  <si>
    <t>district bonds it owns.</t>
  </si>
  <si>
    <t>Implemented.</t>
  </si>
  <si>
    <t>2019-002</t>
  </si>
  <si>
    <t>Actual expenditures of the Operations &amp; Maintenance</t>
  </si>
  <si>
    <t>Fund exceeded budgetary limits by $43,245.</t>
  </si>
  <si>
    <t>2019-003</t>
  </si>
  <si>
    <t>There were no confirming official's signature on four</t>
  </si>
  <si>
    <t>applications. One application was marked as meeting</t>
  </si>
  <si>
    <t>the applicant did not qualify for free or reduced lunches.</t>
  </si>
  <si>
    <t>free lunches depsite the income documentation showing</t>
  </si>
  <si>
    <t>One application was marked as meeting free lunches when</t>
  </si>
  <si>
    <t>the income docuementation actually supports meeting</t>
  </si>
  <si>
    <t>reduced lunches.</t>
  </si>
  <si>
    <t>Not Implemented. See 2020-002.</t>
  </si>
  <si>
    <t>2019-004</t>
  </si>
  <si>
    <t>An employee's salary was charged to the Title I grant,</t>
  </si>
  <si>
    <t>but the employee did not perform duties allowable</t>
  </si>
  <si>
    <t>for this grant.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</si>
  <si>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</si>
  <si>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</si>
  <si>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</si>
  <si>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</si>
  <si>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</si>
  <si>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</si>
  <si>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</si>
  <si>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</si>
  <si>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</si>
  <si>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</si>
  <si>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</si>
  <si>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</si>
  <si>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</si>
  <si>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</si>
  <si>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</si>
  <si>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</si>
  <si>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</si>
  <si>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</si>
  <si>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</si>
  <si>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</si>
  <si>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</si>
  <si>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</si>
  <si>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</si>
  <si>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</si>
  <si>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</si>
  <si>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</si>
  <si>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</si>
  <si>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</si>
  <si>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</si>
  <si>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</si>
  <si>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</si>
  <si>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</si>
  <si>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</si>
  <si>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</si>
  <si>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</si>
  <si>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</si>
  <si>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</si>
  <si>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Elementary &amp; Secondary School Emergency Relief Fund</t>
  </si>
  <si>
    <t>20-4998</t>
  </si>
  <si>
    <t xml:space="preserve">    Total for CFDA #84.425</t>
  </si>
  <si>
    <r>
      <t xml:space="preserve">The accompanying Schedule of Expenditures of Federal Awards includes the federal grant activity of </t>
    </r>
    <r>
      <rPr>
        <b/>
        <sz val="9"/>
        <rFont val="Calibri"/>
        <family val="2"/>
        <scheme val="minor"/>
      </rPr>
      <t>Massac County Community Unit S.D.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</si>
  <si>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Massac County CUSD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</si>
  <si>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Massac County Community Unit S.D.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</si>
  <si>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Medicaid Cluster (CFDA Number 93.778)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</si>
</sst>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double"/>
      <sz val="10"/>
      <name val="Calibri"/>
      <family val="2"/>
      <scheme val="minor"/>
    </font>
    <font>
      <u val="sing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0" applyFont="1" applyAlignment="1">
      <alignment horizontal="center"/>
    </xf>
    <xf numFmtId="0" fontId="57" fillId="0" borderId="78" xfId="0" applyFont="1" applyBorder="1" applyAlignment="1">
      <alignment horizontal="center"/>
    </xf>
    <xf numFmtId="185" fontId="57" fillId="0" borderId="0" xfId="20" applyNumberFormat="1" applyFont="1"/>
    <xf numFmtId="186" fontId="75" fillId="0" borderId="0" xfId="1" applyNumberFormat="1" applyFont="1"/>
    <xf numFmtId="185" fontId="143" fillId="0" borderId="0" xfId="20" applyNumberFormat="1" applyFont="1"/>
    <xf numFmtId="186" fontId="57" fillId="0" borderId="0" xfId="1" applyNumberFormat="1" applyFont="1"/>
    <xf numFmtId="186" fontId="144" fillId="0" borderId="0" xfId="1" applyNumberFormat="1" applyFont="1"/>
    <xf numFmtId="185" fontId="142" fillId="0" borderId="0" xfId="0" applyNumberFormat="1" applyFont="1"/>
    <xf numFmtId="185" fontId="142" fillId="0" borderId="0" xfId="20" applyNumberFormat="1" applyFont="1"/>
    <xf numFmtId="0" fontId="62" fillId="0" borderId="0" xfId="0" applyFont="1" applyAlignment="1">
      <alignment horizontal="center"/>
    </xf>
    <xf numFmtId="166" fontId="62" fillId="0" borderId="0" xfId="0" applyNumberFormat="1" applyFont="1" applyAlignment="1">
      <alignment horizontal="center"/>
    </xf>
    <xf numFmtId="0" fontId="142" fillId="0" borderId="0" xfId="0" applyFont="1"/>
    <xf numFmtId="0" fontId="57" fillId="0" borderId="0" xfId="3" applyFont="1" applyBorder="1" applyAlignment="1" applyProtection="1">
      <alignment horizontal="center"/>
      <protection locked="0"/>
    </xf>
    <xf numFmtId="0" fontId="57" fillId="0" borderId="0" xfId="3" applyFont="1" applyAlignment="1" applyProtection="1">
      <alignment horizontal="center"/>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6"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65" fillId="26" borderId="190" xfId="21" applyNumberFormat="1" applyFont="1" applyFill="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3" xfId="21" applyFont="1" applyBorder="1" applyAlignment="1">
      <alignment horizontal="center"/>
    </xf>
    <xf numFmtId="38" fontId="65" fillId="26" borderId="194" xfId="21" applyNumberFormat="1" applyFont="1" applyFill="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xf numFmtId="0" fontId="147" fillId="0" borderId="0" xfId="21" applyFont="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5" fillId="0" borderId="175" xfId="21" applyFont="1" applyBorder="1" applyAlignment="1">
      <alignment horizontal="center"/>
    </xf>
    <xf numFmtId="0" fontId="145" fillId="0" borderId="176" xfId="21" applyFont="1" applyBorder="1" applyAlignment="1">
      <alignment horizontal="center"/>
    </xf>
    <xf numFmtId="0" fontId="145"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57" fillId="0" borderId="188" xfId="21" applyFont="1" applyBorder="1"/>
    <xf numFmtId="0" fontId="57" fillId="0" borderId="189" xfId="21"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applyAlignment="1">
      <alignment wrapText="1"/>
    </xf>
    <xf numFmtId="0" fontId="57" fillId="0" borderId="189" xfId="21" applyFont="1" applyBorder="1" applyAlignment="1">
      <alignment wrapText="1"/>
    </xf>
    <xf numFmtId="0" fontId="148" fillId="0" borderId="0" xfId="21" applyFont="1" applyAlignment="1">
      <alignment horizontal="left" vertical="center" wrapText="1"/>
    </xf>
    <xf numFmtId="0" fontId="101" fillId="0" borderId="0" xfId="21" applyFont="1" applyAlignment="1">
      <alignment horizontal="center" vertical="top" wrapText="1"/>
    </xf>
    <xf numFmtId="0" fontId="101" fillId="0" borderId="168" xfId="21" applyFont="1" applyBorder="1" applyAlignment="1">
      <alignment horizontal="center" vertical="top" wrapText="1"/>
    </xf>
    <xf numFmtId="0" fontId="148" fillId="0" borderId="173" xfId="21" applyFont="1" applyBorder="1" applyAlignment="1">
      <alignment horizontal="left" vertical="center" wrapText="1"/>
    </xf>
    <xf numFmtId="0" fontId="57" fillId="0" borderId="192" xfId="21" applyFont="1" applyBorder="1"/>
    <xf numFmtId="0" fontId="57" fillId="0" borderId="193" xfId="21" applyFont="1" applyBorder="1"/>
    <xf numFmtId="0" fontId="65" fillId="0" borderId="180" xfId="21" applyFont="1" applyBorder="1"/>
    <xf numFmtId="0" fontId="65" fillId="0" borderId="77" xfId="21" applyFont="1" applyBorder="1"/>
    <xf numFmtId="0" fontId="148" fillId="0" borderId="168" xfId="2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74" xfId="3"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D0C1BBCB-1A0E-439C-A3C0-B79D0824DBA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3</xdr:row>
          <xdr:rowOff>47625</xdr:rowOff>
        </xdr:from>
        <xdr:to>
          <xdr:col>1</xdr:col>
          <xdr:colOff>1295400</xdr:colOff>
          <xdr:row>7</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E22" sqref="AE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23" t="str">
        <f>"Due to ISBE on "</f>
        <v xml:space="preserve">Due to ISBE on </v>
      </c>
      <c r="B2" s="2128">
        <f>+'AFR20'!F4</f>
        <v>44151</v>
      </c>
      <c r="C2" s="2128"/>
      <c r="D2" s="2129"/>
      <c r="I2" s="2087" t="s">
        <v>2003</v>
      </c>
      <c r="J2" s="2086"/>
      <c r="K2" s="2086"/>
      <c r="L2" s="2086"/>
      <c r="M2" s="2086"/>
      <c r="N2" s="2086"/>
      <c r="O2" s="2086"/>
      <c r="P2" s="2086"/>
      <c r="Q2" s="2086"/>
      <c r="R2" s="2086"/>
      <c r="S2" s="2086"/>
    </row>
    <row r="3" spans="1:32" ht="12" customHeight="1" x14ac:dyDescent="0.2">
      <c r="A3" s="1826"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t="s">
        <v>2019</v>
      </c>
      <c r="C5" s="26" t="s">
        <v>904</v>
      </c>
      <c r="D5" s="81"/>
      <c r="E5" s="81"/>
      <c r="H5" s="38"/>
      <c r="I5" s="2095" t="s">
        <v>675</v>
      </c>
      <c r="J5" s="2094"/>
      <c r="K5" s="2094"/>
      <c r="L5" s="2094"/>
      <c r="M5" s="2094"/>
      <c r="N5" s="2094"/>
      <c r="O5" s="2094"/>
      <c r="P5" s="2094"/>
      <c r="Q5" s="2094"/>
      <c r="R5" s="2094"/>
      <c r="S5" s="2094"/>
      <c r="AF5" s="1819"/>
    </row>
    <row r="6" spans="1:32" ht="14.1" customHeight="1" x14ac:dyDescent="0.2">
      <c r="B6" s="101"/>
      <c r="C6" s="26" t="s">
        <v>905</v>
      </c>
      <c r="D6" s="81"/>
      <c r="E6" s="81"/>
      <c r="I6" s="2093" t="s">
        <v>877</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949</v>
      </c>
      <c r="B11" s="2154"/>
      <c r="C11" s="2154"/>
      <c r="D11" s="2154"/>
      <c r="E11" s="2154"/>
      <c r="F11" s="2154"/>
      <c r="G11" s="2154"/>
      <c r="H11" s="2155"/>
      <c r="I11" s="27"/>
      <c r="J11" s="71"/>
      <c r="K11" s="27"/>
      <c r="O11" s="144" t="s">
        <v>2019</v>
      </c>
      <c r="P11" s="97" t="s">
        <v>199</v>
      </c>
      <c r="Q11" s="30"/>
      <c r="R11" s="28"/>
      <c r="S11" s="27"/>
      <c r="T11" s="2147"/>
      <c r="U11" s="2148"/>
      <c r="V11" s="2148"/>
      <c r="W11" s="2148"/>
      <c r="X11" s="2148"/>
      <c r="Y11" s="2148"/>
      <c r="Z11" s="2148"/>
      <c r="AA11" s="21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6" t="s">
        <v>2018</v>
      </c>
      <c r="B13" s="2107"/>
      <c r="C13" s="2107"/>
      <c r="D13" s="2107"/>
      <c r="E13" s="2107"/>
      <c r="F13" s="2107"/>
      <c r="G13" s="2107"/>
      <c r="H13" s="2108"/>
      <c r="I13" s="31"/>
      <c r="J13" s="30"/>
      <c r="K13" s="28"/>
      <c r="L13" s="30"/>
      <c r="M13" s="30"/>
      <c r="N13" s="30"/>
      <c r="O13" s="30"/>
      <c r="P13" s="30"/>
      <c r="Q13" s="30"/>
      <c r="R13" s="30"/>
      <c r="S13" s="30"/>
      <c r="T13" s="2112" t="s">
        <v>2024</v>
      </c>
      <c r="U13" s="2113"/>
      <c r="V13" s="2113"/>
      <c r="W13" s="2113"/>
      <c r="X13" s="2113"/>
      <c r="Y13" s="2114"/>
      <c r="Z13" s="2114"/>
      <c r="AA13" s="211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9" t="s">
        <v>2020</v>
      </c>
      <c r="B15" s="2110"/>
      <c r="C15" s="2110"/>
      <c r="D15" s="2110"/>
      <c r="E15" s="2110"/>
      <c r="F15" s="2110"/>
      <c r="G15" s="2110"/>
      <c r="H15" s="2111"/>
      <c r="T15" s="2116" t="s">
        <v>2025</v>
      </c>
      <c r="U15" s="2073"/>
      <c r="V15" s="2073"/>
      <c r="W15" s="2073"/>
      <c r="X15" s="2073"/>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2021</v>
      </c>
      <c r="B17" s="2080"/>
      <c r="C17" s="2080"/>
      <c r="D17" s="2080"/>
      <c r="E17" s="2080"/>
      <c r="F17" s="2080"/>
      <c r="G17" s="2080"/>
      <c r="H17" s="2105"/>
      <c r="T17" s="2123" t="s">
        <v>2026</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706</v>
      </c>
      <c r="U18" s="48"/>
      <c r="V18" s="69"/>
      <c r="W18" s="47"/>
      <c r="X18" s="82" t="s">
        <v>264</v>
      </c>
      <c r="Y18" s="78"/>
      <c r="Z18" s="154" t="s">
        <v>672</v>
      </c>
      <c r="AA18" s="44"/>
    </row>
    <row r="19" spans="1:27" ht="13.5" customHeight="1" x14ac:dyDescent="0.2">
      <c r="A19" s="2109" t="s">
        <v>2022</v>
      </c>
      <c r="B19" s="2065"/>
      <c r="C19" s="2065"/>
      <c r="D19" s="2065"/>
      <c r="E19" s="2065"/>
      <c r="F19" s="2065"/>
      <c r="G19" s="2065"/>
      <c r="H19" s="2045"/>
      <c r="I19" s="30"/>
      <c r="J19" s="96"/>
      <c r="K19" s="40"/>
      <c r="L19" s="38"/>
      <c r="M19" s="109" t="s">
        <v>312</v>
      </c>
      <c r="P19" s="27"/>
      <c r="Q19" s="27"/>
      <c r="R19" s="27"/>
      <c r="S19" s="31"/>
      <c r="T19" s="2109" t="s">
        <v>2027</v>
      </c>
      <c r="U19" s="2044"/>
      <c r="V19" s="2044"/>
      <c r="W19" s="2045"/>
      <c r="X19" s="2121" t="s">
        <v>2028</v>
      </c>
      <c r="Y19" s="2122"/>
      <c r="Z19" s="2119">
        <v>63703</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2023</v>
      </c>
      <c r="B21" s="2044"/>
      <c r="C21" s="2044"/>
      <c r="D21" s="2044"/>
      <c r="E21" s="2044"/>
      <c r="F21" s="2044"/>
      <c r="G21" s="2044"/>
      <c r="H21" s="2045"/>
      <c r="I21" s="2099" t="s">
        <v>673</v>
      </c>
      <c r="J21" s="2094"/>
      <c r="K21" s="2094"/>
      <c r="L21" s="2094"/>
      <c r="M21" s="2094"/>
      <c r="N21" s="2094"/>
      <c r="O21" s="2094"/>
      <c r="P21" s="2094"/>
      <c r="Q21" s="2094"/>
      <c r="R21" s="2094"/>
      <c r="S21" s="2100"/>
      <c r="T21" s="2134" t="s">
        <v>2029</v>
      </c>
      <c r="U21" s="2135"/>
      <c r="V21" s="2135"/>
      <c r="W21" s="2135"/>
      <c r="X21" s="2140" t="s">
        <v>2030</v>
      </c>
      <c r="Y21" s="2141"/>
      <c r="Z21" s="2141"/>
      <c r="AA21" s="2142"/>
    </row>
    <row r="22" spans="1:27" ht="13.5" customHeight="1" x14ac:dyDescent="0.2">
      <c r="A22" s="84" t="s">
        <v>528</v>
      </c>
      <c r="B22" s="56"/>
      <c r="C22" s="56"/>
      <c r="D22" s="56"/>
      <c r="E22" s="56"/>
      <c r="F22" s="56"/>
      <c r="G22" s="56"/>
      <c r="H22" s="57"/>
      <c r="I22" s="2101" t="s">
        <v>1415</v>
      </c>
      <c r="J22" s="2102"/>
      <c r="K22" s="2102"/>
      <c r="L22" s="2102"/>
      <c r="M22" s="2102"/>
      <c r="N22" s="2102"/>
      <c r="O22" s="2102"/>
      <c r="P22" s="2102"/>
      <c r="Q22" s="2102"/>
      <c r="R22" s="2102"/>
      <c r="S22" s="2103"/>
      <c r="T22" s="82" t="s">
        <v>1502</v>
      </c>
      <c r="U22" s="48"/>
      <c r="V22" s="69"/>
      <c r="W22" s="48"/>
      <c r="X22" s="155" t="s">
        <v>1309</v>
      </c>
      <c r="Z22" s="43"/>
      <c r="AA22" s="44"/>
    </row>
    <row r="23" spans="1:27" ht="13.5" customHeight="1" x14ac:dyDescent="0.2">
      <c r="A23" s="2096" t="s">
        <v>2033</v>
      </c>
      <c r="B23" s="2097"/>
      <c r="C23" s="2097"/>
      <c r="D23" s="2097"/>
      <c r="E23" s="2097"/>
      <c r="F23" s="2097"/>
      <c r="G23" s="2097"/>
      <c r="H23" s="2098"/>
      <c r="T23" s="2079" t="s">
        <v>2031</v>
      </c>
      <c r="U23" s="2133"/>
      <c r="V23" s="2133"/>
      <c r="W23" s="2133"/>
      <c r="X23" s="2137">
        <v>44530</v>
      </c>
      <c r="Y23" s="2138"/>
      <c r="Z23" s="2138"/>
      <c r="AA23" s="2139"/>
    </row>
    <row r="24" spans="1:27" ht="14.1" customHeight="1" x14ac:dyDescent="0.2">
      <c r="A24" s="85" t="s">
        <v>672</v>
      </c>
      <c r="B24" s="46"/>
      <c r="C24" s="46"/>
      <c r="D24" s="46"/>
      <c r="E24" s="46"/>
      <c r="F24" s="46"/>
      <c r="G24" s="46"/>
      <c r="H24" s="58"/>
      <c r="J24" s="2066">
        <f>IF(B5="x",IF(AUDITCHECK!D29="AFR form Incomplete.","",IF(AUDITCHECK!D29="Deficit reduction plan is required.","School District must complete a deficit reduction plan in the 2019-2020 Budget",)),"")</f>
        <v>0</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62960</v>
      </c>
      <c r="B25" s="2044"/>
      <c r="C25" s="2044"/>
      <c r="D25" s="2044"/>
      <c r="E25" s="2044"/>
      <c r="F25" s="2044"/>
      <c r="G25" s="2044"/>
      <c r="H25" s="2045"/>
      <c r="I25" s="110"/>
      <c r="J25" s="2068"/>
      <c r="K25" s="2068"/>
      <c r="L25" s="2068"/>
      <c r="M25" s="2068"/>
      <c r="N25" s="2068"/>
      <c r="O25" s="2068"/>
      <c r="P25" s="2068"/>
      <c r="Q25" s="2068"/>
      <c r="R25" s="2068"/>
      <c r="S25" s="2069"/>
      <c r="T25" s="2130" t="s">
        <v>2032</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4" t="s">
        <v>1497</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2019</v>
      </c>
      <c r="C30" s="121" t="s">
        <v>1156</v>
      </c>
      <c r="D30" s="28"/>
      <c r="E30" s="28"/>
      <c r="F30" s="136"/>
      <c r="G30" s="111"/>
      <c r="H30" s="111"/>
      <c r="I30" s="51"/>
      <c r="J30" s="144"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2019</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c r="B38" s="2080"/>
      <c r="C38" s="2080"/>
      <c r="D38" s="2080"/>
      <c r="E38" s="2080"/>
      <c r="F38" s="2044"/>
      <c r="G38" s="2044"/>
      <c r="H38" s="2045"/>
      <c r="I38" s="2072"/>
      <c r="J38" s="2073"/>
      <c r="K38" s="2073"/>
      <c r="L38" s="2073"/>
      <c r="M38" s="2073"/>
      <c r="N38" s="2073"/>
      <c r="O38" s="2073"/>
      <c r="P38" s="2074"/>
      <c r="Q38" s="2074"/>
      <c r="R38" s="2074"/>
      <c r="S38" s="2075"/>
      <c r="T38" s="2116"/>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c r="B40" s="2058"/>
      <c r="C40" s="2059"/>
      <c r="D40" s="2059"/>
      <c r="E40" s="2059"/>
      <c r="F40" s="2060"/>
      <c r="G40" s="2060"/>
      <c r="H40" s="2061"/>
      <c r="I40" s="2082"/>
      <c r="J40" s="2083"/>
      <c r="K40" s="2083"/>
      <c r="L40" s="2083"/>
      <c r="M40" s="2083"/>
      <c r="N40" s="2083"/>
      <c r="O40" s="2083"/>
      <c r="P40" s="2083"/>
      <c r="Q40" s="2083"/>
      <c r="R40" s="2083"/>
      <c r="S40" s="2084"/>
      <c r="T40" s="2082"/>
      <c r="U40" s="2136"/>
      <c r="V40" s="2083"/>
      <c r="W40" s="2083"/>
      <c r="X40" s="2083"/>
      <c r="Y40" s="2083"/>
      <c r="Z40" s="2083"/>
      <c r="AA40" s="208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1"/>
      <c r="B42" s="2063"/>
      <c r="C42" s="2064"/>
      <c r="D42" s="2062"/>
      <c r="E42" s="2063"/>
      <c r="F42" s="2063"/>
      <c r="G42" s="2063"/>
      <c r="H42" s="2064"/>
      <c r="I42" s="2046"/>
      <c r="J42" s="2047"/>
      <c r="K42" s="2047"/>
      <c r="L42" s="2047"/>
      <c r="M42" s="2047"/>
      <c r="N42" s="2047"/>
      <c r="O42" s="2048"/>
      <c r="P42" s="2081"/>
      <c r="Q42" s="2047"/>
      <c r="R42" s="2047"/>
      <c r="S42" s="2048"/>
      <c r="T42" s="2046"/>
      <c r="U42" s="2047"/>
      <c r="V42" s="2047"/>
      <c r="W42" s="2048"/>
      <c r="X42" s="2081"/>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I12" sqref="I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94" t="s">
        <v>1779</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295"/>
      <c r="B3" s="1286"/>
      <c r="C3" s="1287"/>
      <c r="D3" s="1288" t="s">
        <v>254</v>
      </c>
      <c r="E3" s="1287"/>
      <c r="F3" s="1288" t="s">
        <v>255</v>
      </c>
    </row>
    <row r="4" spans="1:8" ht="13.7" customHeight="1" x14ac:dyDescent="0.2">
      <c r="A4" s="579" t="s">
        <v>1147</v>
      </c>
      <c r="B4" s="1713">
        <f>'Revenues 9-14'!C5</f>
        <v>3943985</v>
      </c>
      <c r="C4" s="1714"/>
      <c r="D4" s="1715">
        <f>B4-C4</f>
        <v>3943985</v>
      </c>
      <c r="E4" s="1714">
        <v>4043609</v>
      </c>
      <c r="F4" s="1715">
        <f>E4-C4</f>
        <v>4043609</v>
      </c>
    </row>
    <row r="5" spans="1:8" ht="13.7" customHeight="1" x14ac:dyDescent="0.2">
      <c r="A5" s="579" t="s">
        <v>865</v>
      </c>
      <c r="B5" s="1716">
        <f>'Revenues 9-14'!D5</f>
        <v>750446</v>
      </c>
      <c r="C5" s="1656"/>
      <c r="D5" s="1717">
        <f t="shared" ref="D5:D18" si="0">B5-C5</f>
        <v>750446</v>
      </c>
      <c r="E5" s="1656">
        <v>769409</v>
      </c>
      <c r="F5" s="1717">
        <f>E5-C5</f>
        <v>769409</v>
      </c>
    </row>
    <row r="6" spans="1:8" ht="13.7" customHeight="1" x14ac:dyDescent="0.2">
      <c r="A6" s="579" t="s">
        <v>408</v>
      </c>
      <c r="B6" s="1716">
        <f>'Revenues 9-14'!E5</f>
        <v>716343</v>
      </c>
      <c r="C6" s="1656"/>
      <c r="D6" s="1717">
        <f t="shared" si="0"/>
        <v>716343</v>
      </c>
      <c r="E6" s="1656">
        <v>722657</v>
      </c>
      <c r="F6" s="1717">
        <f t="shared" ref="F6:F18" si="1">E6-C6</f>
        <v>722657</v>
      </c>
    </row>
    <row r="7" spans="1:8" ht="13.7" customHeight="1" x14ac:dyDescent="0.2">
      <c r="A7" s="579" t="s">
        <v>154</v>
      </c>
      <c r="B7" s="1716">
        <f>'Revenues 9-14'!F5</f>
        <v>278996</v>
      </c>
      <c r="C7" s="1656"/>
      <c r="D7" s="1717">
        <f t="shared" si="0"/>
        <v>278996</v>
      </c>
      <c r="E7" s="1656">
        <v>275998</v>
      </c>
      <c r="F7" s="1717">
        <f t="shared" si="1"/>
        <v>275998</v>
      </c>
    </row>
    <row r="8" spans="1:8" ht="13.7" customHeight="1" x14ac:dyDescent="0.2">
      <c r="A8" s="579" t="s">
        <v>1171</v>
      </c>
      <c r="B8" s="1716">
        <f>'Revenues 9-14'!G5</f>
        <v>234512</v>
      </c>
      <c r="C8" s="1656"/>
      <c r="D8" s="1717">
        <f t="shared" si="0"/>
        <v>234512</v>
      </c>
      <c r="E8" s="1656">
        <v>240441</v>
      </c>
      <c r="F8" s="1717">
        <f t="shared" si="1"/>
        <v>240441</v>
      </c>
    </row>
    <row r="9" spans="1:8" ht="13.7" customHeight="1" x14ac:dyDescent="0.2">
      <c r="A9" s="579" t="s">
        <v>405</v>
      </c>
      <c r="B9" s="1716">
        <f>'Revenues 9-14'!H5</f>
        <v>0</v>
      </c>
      <c r="C9" s="1656"/>
      <c r="D9" s="1717">
        <f t="shared" si="0"/>
        <v>0</v>
      </c>
      <c r="E9" s="1656"/>
      <c r="F9" s="1717">
        <f t="shared" si="1"/>
        <v>0</v>
      </c>
    </row>
    <row r="10" spans="1:8" ht="13.7" customHeight="1" x14ac:dyDescent="0.2">
      <c r="A10" s="579" t="s">
        <v>404</v>
      </c>
      <c r="B10" s="1716">
        <f>'Revenues 9-14'!I5</f>
        <v>69609</v>
      </c>
      <c r="C10" s="1656"/>
      <c r="D10" s="1717">
        <f t="shared" si="0"/>
        <v>69609</v>
      </c>
      <c r="E10" s="1656">
        <v>69003</v>
      </c>
      <c r="F10" s="1717">
        <f t="shared" si="1"/>
        <v>69003</v>
      </c>
    </row>
    <row r="11" spans="1:8" x14ac:dyDescent="0.2">
      <c r="A11" s="579" t="s">
        <v>406</v>
      </c>
      <c r="B11" s="1716">
        <f>'Revenues 9-14'!J5</f>
        <v>490543</v>
      </c>
      <c r="C11" s="1656"/>
      <c r="D11" s="1717">
        <f t="shared" si="0"/>
        <v>490543</v>
      </c>
      <c r="E11" s="1656">
        <v>502939</v>
      </c>
      <c r="F11" s="1717">
        <f t="shared" si="1"/>
        <v>502939</v>
      </c>
    </row>
    <row r="12" spans="1:8" ht="13.7" customHeight="1" x14ac:dyDescent="0.2">
      <c r="A12" s="579" t="s">
        <v>156</v>
      </c>
      <c r="B12" s="1716">
        <f>'Revenues 9-14'!K5</f>
        <v>0</v>
      </c>
      <c r="C12" s="1656"/>
      <c r="D12" s="1717">
        <f t="shared" si="0"/>
        <v>0</v>
      </c>
      <c r="E12" s="1656"/>
      <c r="F12" s="1717">
        <f t="shared" si="1"/>
        <v>0</v>
      </c>
    </row>
    <row r="13" spans="1:8" ht="13.7" customHeight="1" x14ac:dyDescent="0.2">
      <c r="A13" s="579" t="s">
        <v>930</v>
      </c>
      <c r="B13" s="1716">
        <f>SUM('Revenues 9-14'!C6:D6)</f>
        <v>35772</v>
      </c>
      <c r="C13" s="1656"/>
      <c r="D13" s="1717">
        <f t="shared" si="0"/>
        <v>35772</v>
      </c>
      <c r="E13" s="1656">
        <v>36682</v>
      </c>
      <c r="F13" s="1717">
        <f t="shared" si="1"/>
        <v>36682</v>
      </c>
    </row>
    <row r="14" spans="1:8" ht="13.7" customHeight="1" x14ac:dyDescent="0.2">
      <c r="A14" s="579" t="s">
        <v>407</v>
      </c>
      <c r="B14" s="1716">
        <f>SUM('Revenues 9-14'!C7:D7,'Revenues 9-14'!F7:H7)</f>
        <v>0</v>
      </c>
      <c r="C14" s="1656"/>
      <c r="D14" s="1717">
        <f t="shared" si="0"/>
        <v>0</v>
      </c>
      <c r="E14" s="1656"/>
      <c r="F14" s="1717">
        <f t="shared" si="1"/>
        <v>0</v>
      </c>
    </row>
    <row r="15" spans="1:8" ht="13.7" customHeight="1" x14ac:dyDescent="0.2">
      <c r="A15" s="579" t="s">
        <v>1150</v>
      </c>
      <c r="B15" s="1716">
        <f>SUM('Revenues 9-14'!D9:E9,'Revenues 9-14'!H9)</f>
        <v>0</v>
      </c>
      <c r="C15" s="1656"/>
      <c r="D15" s="1717">
        <f t="shared" si="0"/>
        <v>0</v>
      </c>
      <c r="E15" s="1656"/>
      <c r="F15" s="1717">
        <f t="shared" si="1"/>
        <v>0</v>
      </c>
    </row>
    <row r="16" spans="1:8" ht="13.7" customHeight="1" x14ac:dyDescent="0.2">
      <c r="A16" s="579" t="s">
        <v>1151</v>
      </c>
      <c r="B16" s="1716">
        <f>'Revenues 9-14'!G8</f>
        <v>234512</v>
      </c>
      <c r="C16" s="1656"/>
      <c r="D16" s="1717">
        <f t="shared" si="0"/>
        <v>234512</v>
      </c>
      <c r="E16" s="1656">
        <v>240441</v>
      </c>
      <c r="F16" s="1717">
        <f t="shared" si="1"/>
        <v>240441</v>
      </c>
    </row>
    <row r="17" spans="1:6" ht="13.7" customHeight="1" x14ac:dyDescent="0.2">
      <c r="A17" s="579" t="s">
        <v>1152</v>
      </c>
      <c r="B17" s="1716">
        <f>'Revenues 9-14'!C10</f>
        <v>0</v>
      </c>
      <c r="C17" s="1656"/>
      <c r="D17" s="1717">
        <f t="shared" si="0"/>
        <v>0</v>
      </c>
      <c r="E17" s="1656"/>
      <c r="F17" s="1717">
        <f t="shared" si="1"/>
        <v>0</v>
      </c>
    </row>
    <row r="18" spans="1:6" ht="13.7" customHeight="1" x14ac:dyDescent="0.2">
      <c r="A18" s="579" t="s">
        <v>757</v>
      </c>
      <c r="B18" s="1716">
        <f>SUM('Revenues 9-14'!C11:K11)</f>
        <v>0</v>
      </c>
      <c r="C18" s="1656"/>
      <c r="D18" s="1717">
        <f t="shared" si="0"/>
        <v>0</v>
      </c>
      <c r="E18" s="1656"/>
      <c r="F18" s="1717">
        <f t="shared" si="1"/>
        <v>0</v>
      </c>
    </row>
    <row r="19" spans="1:6" ht="13.7" customHeight="1" thickBot="1" x14ac:dyDescent="0.25">
      <c r="A19" s="1424" t="s">
        <v>1153</v>
      </c>
      <c r="B19" s="1718">
        <f>SUM(B4:B18)</f>
        <v>6754718</v>
      </c>
      <c r="C19" s="1718">
        <f>SUM(C4:C18)</f>
        <v>0</v>
      </c>
      <c r="D19" s="1718">
        <f>SUM(D4:D18)</f>
        <v>6754718</v>
      </c>
      <c r="E19" s="1718">
        <f>SUM(E4:E18)</f>
        <v>6901179</v>
      </c>
      <c r="F19" s="1718">
        <f>SUM(F4:F18)</f>
        <v>6901179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2" colorId="8" zoomScale="110" zoomScaleNormal="110" workbookViewId="0">
      <selection activeCell="I12" sqref="I1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1779</v>
      </c>
      <c r="B2" s="2322"/>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23" t="s">
        <v>1106</v>
      </c>
      <c r="B3" s="2324"/>
      <c r="C3" s="2317"/>
      <c r="D3" s="2318"/>
      <c r="E3" s="2318"/>
      <c r="F3" s="2319"/>
    </row>
    <row r="4" spans="1:7" ht="12.75" customHeight="1" thickBot="1" x14ac:dyDescent="0.25">
      <c r="A4" s="2311" t="s">
        <v>626</v>
      </c>
      <c r="B4" s="2312"/>
      <c r="C4" s="1648"/>
      <c r="D4" s="1648"/>
      <c r="E4" s="1648"/>
      <c r="F4" s="1724">
        <f>SUM(C4+D4)-E4</f>
        <v>0</v>
      </c>
    </row>
    <row r="5" spans="1:7" ht="15.75" customHeight="1" thickTop="1" x14ac:dyDescent="0.2">
      <c r="A5" s="2315" t="s">
        <v>1103</v>
      </c>
      <c r="B5" s="2310"/>
      <c r="C5" s="2304"/>
      <c r="D5" s="2305"/>
      <c r="E5" s="2305"/>
      <c r="F5" s="2306"/>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307" t="s">
        <v>627</v>
      </c>
      <c r="B15" s="2308"/>
      <c r="C15" s="1724">
        <f>SUM(C6:C14)</f>
        <v>0</v>
      </c>
      <c r="D15" s="1724">
        <f>SUM(D6:D14)</f>
        <v>0</v>
      </c>
      <c r="E15" s="1724">
        <f>SUM(E6:E14)</f>
        <v>0</v>
      </c>
      <c r="F15" s="1724">
        <f>SUM(F6:F14)</f>
        <v>0</v>
      </c>
      <c r="G15" s="473"/>
    </row>
    <row r="16" spans="1:7" s="197" customFormat="1" ht="15.75" customHeight="1" thickTop="1" x14ac:dyDescent="0.2">
      <c r="A16" s="2320" t="s">
        <v>1104</v>
      </c>
      <c r="B16" s="2310"/>
      <c r="C16" s="2304"/>
      <c r="D16" s="2305"/>
      <c r="E16" s="2305"/>
      <c r="F16" s="2306"/>
    </row>
    <row r="17" spans="1:11" ht="12.75" customHeight="1" thickBot="1" x14ac:dyDescent="0.25">
      <c r="A17" s="2302" t="s">
        <v>64</v>
      </c>
      <c r="B17" s="2303"/>
      <c r="C17" s="1725"/>
      <c r="D17" s="1656"/>
      <c r="E17" s="1725"/>
      <c r="F17" s="1724">
        <f>SUM(C17+D17)-E17</f>
        <v>0</v>
      </c>
    </row>
    <row r="18" spans="1:11" ht="12.75" customHeight="1" thickTop="1" thickBot="1" x14ac:dyDescent="0.25">
      <c r="A18" s="2302" t="s">
        <v>6</v>
      </c>
      <c r="B18" s="2303"/>
      <c r="C18" s="1725"/>
      <c r="D18" s="1656"/>
      <c r="E18" s="1725"/>
      <c r="F18" s="1724">
        <f>SUM(C18+D18)-E18</f>
        <v>0</v>
      </c>
    </row>
    <row r="19" spans="1:11" ht="12.75" customHeight="1" thickTop="1" thickBot="1" x14ac:dyDescent="0.25">
      <c r="A19" s="2302" t="s">
        <v>385</v>
      </c>
      <c r="B19" s="2303"/>
      <c r="C19" s="1725"/>
      <c r="D19" s="1656"/>
      <c r="E19" s="1725"/>
      <c r="F19" s="1724">
        <f>SUM(C19+D19)-E19</f>
        <v>0</v>
      </c>
    </row>
    <row r="20" spans="1:11" ht="12.75" customHeight="1" thickTop="1" thickBot="1" x14ac:dyDescent="0.25">
      <c r="A20" s="2302" t="s">
        <v>445</v>
      </c>
      <c r="B20" s="2303"/>
      <c r="C20" s="1725"/>
      <c r="D20" s="1656"/>
      <c r="E20" s="1725"/>
      <c r="F20" s="1724">
        <f>SUM(C20+D20)-E20</f>
        <v>0</v>
      </c>
    </row>
    <row r="21" spans="1:11" ht="14.25" thickTop="1" thickBot="1" x14ac:dyDescent="0.25">
      <c r="A21" s="2307" t="s">
        <v>628</v>
      </c>
      <c r="B21" s="2308"/>
      <c r="C21" s="1724">
        <f>SUM(C17:C20)</f>
        <v>0</v>
      </c>
      <c r="D21" s="1724">
        <f>SUM(D17:D20)</f>
        <v>0</v>
      </c>
      <c r="E21" s="1724">
        <f>SUM(E17:E20)</f>
        <v>0</v>
      </c>
      <c r="F21" s="1724">
        <f>SUM(F17:F20)</f>
        <v>0</v>
      </c>
      <c r="G21" s="473"/>
    </row>
    <row r="22" spans="1:11" ht="15.75" customHeight="1" thickTop="1" x14ac:dyDescent="0.2">
      <c r="A22" s="2309" t="s">
        <v>1105</v>
      </c>
      <c r="B22" s="2310"/>
      <c r="C22" s="2304"/>
      <c r="D22" s="2305"/>
      <c r="E22" s="2305"/>
      <c r="F22" s="2306"/>
    </row>
    <row r="23" spans="1:11" ht="13.5" thickBot="1" x14ac:dyDescent="0.25">
      <c r="A23" s="2311" t="s">
        <v>629</v>
      </c>
      <c r="B23" s="2312"/>
      <c r="C23" s="1648"/>
      <c r="D23" s="1648"/>
      <c r="E23" s="1648"/>
      <c r="F23" s="1724">
        <f>SUM(C23+D23)-E23</f>
        <v>0</v>
      </c>
      <c r="G23" s="473"/>
    </row>
    <row r="24" spans="1:11" ht="15.75" customHeight="1" thickTop="1" x14ac:dyDescent="0.2">
      <c r="A24" s="2309" t="s">
        <v>2006</v>
      </c>
      <c r="B24" s="2310"/>
      <c r="C24" s="2304"/>
      <c r="D24" s="2305"/>
      <c r="E24" s="2305"/>
      <c r="F24" s="2306"/>
    </row>
    <row r="25" spans="1:11" ht="13.5" thickBot="1" x14ac:dyDescent="0.25">
      <c r="A25" s="2311" t="s">
        <v>2007</v>
      </c>
      <c r="B25" s="2312"/>
      <c r="C25" s="1648"/>
      <c r="D25" s="1648"/>
      <c r="E25" s="1648"/>
      <c r="F25" s="1724">
        <f>SUM(C25+D25)-E25</f>
        <v>0</v>
      </c>
      <c r="G25" s="473"/>
    </row>
    <row r="26" spans="1:11" ht="15.75" customHeight="1" thickTop="1" x14ac:dyDescent="0.2">
      <c r="A26" s="2315" t="s">
        <v>652</v>
      </c>
      <c r="B26" s="2310"/>
      <c r="C26" s="589"/>
      <c r="D26" s="589"/>
      <c r="E26" s="589"/>
      <c r="F26" s="590"/>
    </row>
    <row r="27" spans="1:11" ht="13.5" thickBot="1" x14ac:dyDescent="0.25">
      <c r="A27" s="2307" t="s">
        <v>1063</v>
      </c>
      <c r="B27" s="2308"/>
      <c r="C27" s="1656"/>
      <c r="D27" s="1656"/>
      <c r="E27" s="1656"/>
      <c r="F27" s="1724">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2034</v>
      </c>
      <c r="B31" s="595">
        <v>42152</v>
      </c>
      <c r="C31" s="1726">
        <v>2158100</v>
      </c>
      <c r="D31" s="1727">
        <v>3</v>
      </c>
      <c r="E31" s="1726">
        <v>1873500</v>
      </c>
      <c r="F31" s="1726"/>
      <c r="G31" s="1726"/>
      <c r="H31" s="1726">
        <v>78300</v>
      </c>
      <c r="I31" s="1728">
        <f>((E31+F31)-H31)+G31</f>
        <v>1795200</v>
      </c>
      <c r="J31" s="1726">
        <v>1261652</v>
      </c>
      <c r="K31" s="596"/>
    </row>
    <row r="32" spans="1:11" ht="12" customHeight="1" x14ac:dyDescent="0.2">
      <c r="A32" s="594" t="s">
        <v>2035</v>
      </c>
      <c r="B32" s="595">
        <v>42675</v>
      </c>
      <c r="C32" s="1726">
        <v>2020000</v>
      </c>
      <c r="D32" s="1727">
        <v>3</v>
      </c>
      <c r="E32" s="1726">
        <v>895600</v>
      </c>
      <c r="F32" s="1726"/>
      <c r="G32" s="1726"/>
      <c r="H32" s="1726">
        <v>576300</v>
      </c>
      <c r="I32" s="1728">
        <f>((E32+F32)-H32)+G32</f>
        <v>319300</v>
      </c>
      <c r="J32" s="1726">
        <v>319300</v>
      </c>
      <c r="K32" s="596"/>
    </row>
    <row r="33" spans="1:11" ht="12" customHeight="1" x14ac:dyDescent="0.2">
      <c r="A33" s="594" t="s">
        <v>2036</v>
      </c>
      <c r="B33" s="595">
        <v>43648</v>
      </c>
      <c r="C33" s="1726">
        <v>775000</v>
      </c>
      <c r="D33" s="1727">
        <v>3</v>
      </c>
      <c r="E33" s="1726"/>
      <c r="F33" s="1726">
        <v>775000</v>
      </c>
      <c r="G33" s="1726"/>
      <c r="H33" s="1726"/>
      <c r="I33" s="1728">
        <f t="shared" ref="I33:I48" si="1">((E33+F33)-H33)+G33</f>
        <v>775000</v>
      </c>
      <c r="J33" s="1726">
        <v>775000</v>
      </c>
      <c r="K33" s="596"/>
    </row>
    <row r="34" spans="1:11" ht="12" customHeight="1" x14ac:dyDescent="0.2">
      <c r="A34" s="594"/>
      <c r="B34" s="595"/>
      <c r="C34" s="1726"/>
      <c r="D34" s="1727"/>
      <c r="E34" s="1726"/>
      <c r="F34" s="1726"/>
      <c r="G34" s="1726"/>
      <c r="H34" s="1726"/>
      <c r="I34" s="1728">
        <f t="shared" si="1"/>
        <v>0</v>
      </c>
      <c r="J34" s="1726"/>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4953100</v>
      </c>
      <c r="D49" s="1734"/>
      <c r="E49" s="1728">
        <f t="shared" ref="E49:J49" si="2">SUM(E31:E48)</f>
        <v>2769100</v>
      </c>
      <c r="F49" s="1728">
        <f t="shared" si="2"/>
        <v>775000</v>
      </c>
      <c r="G49" s="1728">
        <f t="shared" si="2"/>
        <v>0</v>
      </c>
      <c r="H49" s="1728">
        <f t="shared" si="2"/>
        <v>654600</v>
      </c>
      <c r="I49" s="1728">
        <f t="shared" si="2"/>
        <v>2889500</v>
      </c>
      <c r="J49" s="1728">
        <f t="shared" si="2"/>
        <v>2355952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6" t="s">
        <v>580</v>
      </c>
      <c r="C52" s="2297"/>
      <c r="D52" s="2297"/>
      <c r="E52" s="603" t="s">
        <v>840</v>
      </c>
      <c r="F52" s="2298"/>
      <c r="G52" s="2299"/>
      <c r="H52" s="596"/>
      <c r="I52" s="596"/>
      <c r="J52" s="600"/>
    </row>
    <row r="53" spans="1:11" ht="11.25" customHeight="1" x14ac:dyDescent="0.2">
      <c r="A53" s="604" t="s">
        <v>907</v>
      </c>
      <c r="B53" s="605" t="s">
        <v>945</v>
      </c>
      <c r="C53" s="600"/>
      <c r="D53" s="597"/>
      <c r="E53" s="603" t="s">
        <v>494</v>
      </c>
      <c r="F53" s="2300"/>
      <c r="G53" s="2301"/>
      <c r="H53" s="596"/>
      <c r="I53" s="596"/>
      <c r="J53" s="600"/>
    </row>
    <row r="54" spans="1:11" ht="11.25" customHeight="1" x14ac:dyDescent="0.2">
      <c r="A54" s="606" t="s">
        <v>908</v>
      </c>
      <c r="B54" s="601" t="s">
        <v>946</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I12" sqref="I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851</v>
      </c>
      <c r="B1" s="2326"/>
      <c r="C1" s="2326"/>
      <c r="D1" s="2326"/>
      <c r="E1" s="2326"/>
      <c r="F1" s="2326"/>
      <c r="G1" s="2327"/>
      <c r="H1" s="1290"/>
      <c r="I1" s="614"/>
      <c r="J1" s="400"/>
    </row>
    <row r="2" spans="1:11" ht="26.25" x14ac:dyDescent="0.2">
      <c r="A2" s="2344" t="s">
        <v>1661</v>
      </c>
      <c r="B2" s="2345"/>
      <c r="C2" s="2345"/>
      <c r="D2" s="2345"/>
      <c r="E2" s="2346"/>
      <c r="F2" s="615" t="s">
        <v>898</v>
      </c>
      <c r="G2" s="616" t="s">
        <v>1658</v>
      </c>
      <c r="H2" s="616" t="s">
        <v>407</v>
      </c>
      <c r="I2" s="616" t="s">
        <v>1150</v>
      </c>
      <c r="J2" s="616" t="s">
        <v>1789</v>
      </c>
      <c r="K2" s="616" t="s">
        <v>137</v>
      </c>
    </row>
    <row r="3" spans="1:11" x14ac:dyDescent="0.2">
      <c r="A3" s="2347" t="str">
        <f>"Cash Basis Fund Balance as of July 1, "&amp;'AFR20'!E2-1</f>
        <v>Cash Basis Fund Balance as of July 1, 2019</v>
      </c>
      <c r="B3" s="2348"/>
      <c r="C3" s="2348"/>
      <c r="D3" s="2348"/>
      <c r="E3" s="2349"/>
      <c r="F3" s="617"/>
      <c r="G3" s="1736"/>
      <c r="H3" s="1736"/>
      <c r="I3" s="1736"/>
      <c r="J3" s="1737"/>
      <c r="K3" s="1737"/>
    </row>
    <row r="4" spans="1:11" x14ac:dyDescent="0.2">
      <c r="A4" s="2350" t="s">
        <v>366</v>
      </c>
      <c r="B4" s="2351"/>
      <c r="C4" s="2351"/>
      <c r="D4" s="2351"/>
      <c r="E4" s="2297"/>
      <c r="F4" s="620"/>
      <c r="G4" s="1738"/>
      <c r="H4" s="1739"/>
      <c r="I4" s="1738"/>
      <c r="J4" s="1740"/>
      <c r="K4" s="1740"/>
    </row>
    <row r="5" spans="1:11" x14ac:dyDescent="0.2">
      <c r="A5" s="2328" t="s">
        <v>1062</v>
      </c>
      <c r="B5" s="2329"/>
      <c r="C5" s="2329"/>
      <c r="D5" s="2329"/>
      <c r="E5" s="2330"/>
      <c r="F5" s="622" t="s">
        <v>843</v>
      </c>
      <c r="G5" s="1741"/>
      <c r="H5" s="1736"/>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v>19061</v>
      </c>
    </row>
    <row r="10" spans="1:11" x14ac:dyDescent="0.2">
      <c r="A10" s="2328" t="s">
        <v>1790</v>
      </c>
      <c r="B10" s="2329"/>
      <c r="C10" s="2329"/>
      <c r="D10" s="2329"/>
      <c r="E10" s="2331"/>
      <c r="F10" s="633" t="s">
        <v>857</v>
      </c>
      <c r="G10" s="1745"/>
      <c r="H10" s="1746"/>
      <c r="I10" s="1736"/>
      <c r="J10" s="1737"/>
      <c r="K10" s="1737"/>
    </row>
    <row r="11" spans="1:11" x14ac:dyDescent="0.2">
      <c r="A11" s="2328" t="s">
        <v>159</v>
      </c>
      <c r="B11" s="2329"/>
      <c r="C11" s="2329"/>
      <c r="D11" s="2329"/>
      <c r="E11" s="2330"/>
      <c r="F11" s="622" t="s">
        <v>847</v>
      </c>
      <c r="G11" s="1741"/>
      <c r="H11" s="1736"/>
      <c r="I11" s="1736"/>
      <c r="J11" s="1737"/>
      <c r="K11" s="1743"/>
    </row>
    <row r="12" spans="1:11" ht="13.5" thickBot="1" x14ac:dyDescent="0.25">
      <c r="A12" s="2355" t="s">
        <v>899</v>
      </c>
      <c r="B12" s="2356"/>
      <c r="C12" s="2356"/>
      <c r="D12" s="2356"/>
      <c r="E12" s="2357"/>
      <c r="F12" s="1425"/>
      <c r="G12" s="1747">
        <f>SUM(G5:G11)</f>
        <v>0</v>
      </c>
      <c r="H12" s="1747">
        <f>SUM(H5:H11)</f>
        <v>0</v>
      </c>
      <c r="I12" s="1747">
        <f>SUM(I5:I11)</f>
        <v>0</v>
      </c>
      <c r="J12" s="1747">
        <f>SUM(J5:J11)</f>
        <v>0</v>
      </c>
      <c r="K12" s="1747">
        <f>SUM(K5:K11)</f>
        <v>19061</v>
      </c>
    </row>
    <row r="13" spans="1:11" ht="13.5" thickTop="1" x14ac:dyDescent="0.2">
      <c r="A13" s="2352" t="s">
        <v>367</v>
      </c>
      <c r="B13" s="2353"/>
      <c r="C13" s="2353"/>
      <c r="D13" s="2353"/>
      <c r="E13" s="2354"/>
      <c r="F13" s="634"/>
      <c r="G13" s="1748"/>
      <c r="H13" s="1749"/>
      <c r="I13" s="1750"/>
      <c r="J13" s="1750"/>
      <c r="K13" s="1750"/>
    </row>
    <row r="14" spans="1:11" x14ac:dyDescent="0.2">
      <c r="A14" s="2335" t="s">
        <v>453</v>
      </c>
      <c r="B14" s="2335"/>
      <c r="C14" s="2335"/>
      <c r="D14" s="2335"/>
      <c r="E14" s="2336"/>
      <c r="F14" s="635" t="s">
        <v>849</v>
      </c>
      <c r="G14" s="1745"/>
      <c r="H14" s="1736"/>
      <c r="I14" s="1741"/>
      <c r="J14" s="1743"/>
      <c r="K14" s="1737">
        <v>19061</v>
      </c>
    </row>
    <row r="15" spans="1:11" x14ac:dyDescent="0.2">
      <c r="A15" s="2329" t="s">
        <v>4</v>
      </c>
      <c r="B15" s="2329"/>
      <c r="C15" s="2329"/>
      <c r="D15" s="2329"/>
      <c r="E15" s="2330"/>
      <c r="F15" s="635" t="s">
        <v>850</v>
      </c>
      <c r="G15" s="1741"/>
      <c r="H15" s="1736"/>
      <c r="I15" s="1736"/>
      <c r="J15" s="1737"/>
      <c r="K15" s="1737"/>
    </row>
    <row r="16" spans="1:11" x14ac:dyDescent="0.2">
      <c r="A16" s="2329" t="s">
        <v>295</v>
      </c>
      <c r="B16" s="2329"/>
      <c r="C16" s="2329"/>
      <c r="D16" s="2329"/>
      <c r="E16" s="2330"/>
      <c r="F16" s="635" t="s">
        <v>917</v>
      </c>
      <c r="G16" s="1742"/>
      <c r="H16" s="1738"/>
      <c r="I16" s="1738"/>
      <c r="J16" s="1740"/>
      <c r="K16" s="1740"/>
    </row>
    <row r="17" spans="1:15" x14ac:dyDescent="0.2">
      <c r="A17" s="2362" t="s">
        <v>929</v>
      </c>
      <c r="B17" s="2362"/>
      <c r="C17" s="2362"/>
      <c r="D17" s="2362"/>
      <c r="E17" s="2363"/>
      <c r="F17" s="636"/>
      <c r="G17" s="1751"/>
      <c r="H17" s="1752"/>
      <c r="I17" s="1752"/>
      <c r="J17" s="1753"/>
      <c r="K17" s="1754"/>
    </row>
    <row r="18" spans="1:15" x14ac:dyDescent="0.2">
      <c r="A18" s="2339" t="s">
        <v>365</v>
      </c>
      <c r="B18" s="2340"/>
      <c r="C18" s="2340"/>
      <c r="D18" s="2340"/>
      <c r="E18" s="2341"/>
      <c r="F18" s="635" t="s">
        <v>926</v>
      </c>
      <c r="G18" s="1745"/>
      <c r="H18" s="1745"/>
      <c r="I18" s="1745"/>
      <c r="J18" s="1737"/>
      <c r="K18" s="1755"/>
    </row>
    <row r="19" spans="1:15" ht="21.75" customHeight="1" x14ac:dyDescent="0.2">
      <c r="A19" s="2337" t="s">
        <v>1786</v>
      </c>
      <c r="B19" s="2337"/>
      <c r="C19" s="2337"/>
      <c r="D19" s="2337"/>
      <c r="E19" s="2338"/>
      <c r="F19" s="635" t="s">
        <v>927</v>
      </c>
      <c r="G19" s="1745"/>
      <c r="H19" s="1745"/>
      <c r="I19" s="1745"/>
      <c r="J19" s="1737"/>
      <c r="K19" s="1755"/>
    </row>
    <row r="20" spans="1:15" x14ac:dyDescent="0.2">
      <c r="A20" s="2339" t="s">
        <v>1791</v>
      </c>
      <c r="B20" s="2340"/>
      <c r="C20" s="2340"/>
      <c r="D20" s="2340"/>
      <c r="E20" s="2341"/>
      <c r="F20" s="635" t="s">
        <v>928</v>
      </c>
      <c r="G20" s="1745"/>
      <c r="H20" s="1745"/>
      <c r="I20" s="1745"/>
      <c r="J20" s="1737"/>
      <c r="K20" s="1755"/>
    </row>
    <row r="21" spans="1:15" ht="13.5" thickBot="1" x14ac:dyDescent="0.25">
      <c r="A21" s="2358" t="s">
        <v>633</v>
      </c>
      <c r="B21" s="2358"/>
      <c r="C21" s="2358"/>
      <c r="D21" s="2358"/>
      <c r="E21" s="2358"/>
      <c r="F21" s="1426"/>
      <c r="G21" s="1752"/>
      <c r="H21" s="1756"/>
      <c r="I21" s="1756"/>
      <c r="J21" s="1757">
        <f>SUM(J18:J20)</f>
        <v>0</v>
      </c>
      <c r="K21" s="1753"/>
    </row>
    <row r="22" spans="1:15" ht="13.5" thickTop="1" x14ac:dyDescent="0.2">
      <c r="A22" s="2329" t="s">
        <v>1792</v>
      </c>
      <c r="B22" s="2329"/>
      <c r="C22" s="2329"/>
      <c r="D22" s="2329"/>
      <c r="E22" s="2330"/>
      <c r="F22" s="635" t="s">
        <v>857</v>
      </c>
      <c r="G22" s="1745"/>
      <c r="H22" s="1736"/>
      <c r="I22" s="1736"/>
      <c r="J22" s="1758"/>
      <c r="K22" s="1737"/>
    </row>
    <row r="23" spans="1:15" ht="13.5" thickBot="1" x14ac:dyDescent="0.25">
      <c r="A23" s="2359" t="s">
        <v>900</v>
      </c>
      <c r="B23" s="2358"/>
      <c r="C23" s="2358"/>
      <c r="D23" s="2358"/>
      <c r="E23" s="2358"/>
      <c r="F23" s="1428"/>
      <c r="G23" s="1747">
        <f>SUM(G14:G16,G21,G22)</f>
        <v>0</v>
      </c>
      <c r="H23" s="1747">
        <f>SUM(H14:H16,H21,H22)</f>
        <v>0</v>
      </c>
      <c r="I23" s="1747">
        <f>SUM(I14:I16,I21,I22)</f>
        <v>0</v>
      </c>
      <c r="J23" s="1747">
        <f>SUM(J14:J16,J21,J22)</f>
        <v>0</v>
      </c>
      <c r="K23" s="1747">
        <f>SUM(K14:K16,K21,K22)</f>
        <v>19061</v>
      </c>
      <c r="M23" s="1838"/>
      <c r="N23" s="1838"/>
      <c r="O23" s="1838"/>
    </row>
    <row r="24" spans="1:15" ht="14.25" thickTop="1" thickBot="1" x14ac:dyDescent="0.25">
      <c r="A24" s="2360" t="str">
        <f>"Ending Cash Basis Fund Balance as of June 30, "&amp;'AFR20'!E2</f>
        <v>Ending Cash Basis Fund Balance as of June 30, 2020</v>
      </c>
      <c r="B24" s="2361"/>
      <c r="C24" s="2361"/>
      <c r="D24" s="2361"/>
      <c r="E24" s="2361"/>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1876</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1161</v>
      </c>
      <c r="B33" s="341"/>
      <c r="C33" s="341"/>
      <c r="D33" s="341"/>
      <c r="E33" s="341"/>
      <c r="F33" s="341"/>
      <c r="G33" s="653"/>
      <c r="H33" s="2334"/>
      <c r="I33" s="2333"/>
      <c r="J33" s="2333"/>
      <c r="K33" s="233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9"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1787</v>
      </c>
      <c r="B46" s="382" t="s">
        <v>1659</v>
      </c>
    </row>
    <row r="47" spans="1:11" s="663" customFormat="1" ht="12.75" customHeight="1" x14ac:dyDescent="0.2">
      <c r="A47" s="661"/>
      <c r="B47" s="662" t="s">
        <v>1660</v>
      </c>
      <c r="E47" s="662"/>
      <c r="K47" s="664"/>
    </row>
    <row r="48" spans="1:11" ht="12.75" customHeight="1" x14ac:dyDescent="0.2">
      <c r="A48" s="129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1875</v>
      </c>
      <c r="B1" s="2367"/>
      <c r="C1" s="2368"/>
      <c r="D1" s="666"/>
      <c r="E1" s="667"/>
      <c r="F1" s="667"/>
      <c r="G1" s="668"/>
      <c r="H1" s="669"/>
      <c r="I1" s="670"/>
      <c r="J1" s="2364"/>
      <c r="K1" s="2365"/>
      <c r="L1" s="2365"/>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1227227</v>
      </c>
      <c r="D5" s="1762"/>
      <c r="E5" s="1762"/>
      <c r="F5" s="1757">
        <f>(C5+D5)-E5</f>
        <v>1227227</v>
      </c>
      <c r="G5" s="676"/>
      <c r="H5" s="680"/>
      <c r="I5" s="680"/>
      <c r="J5" s="680"/>
      <c r="K5" s="637"/>
      <c r="L5" s="1434">
        <f>F5-K5</f>
        <v>1227227</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24852091</v>
      </c>
      <c r="D8" s="1763"/>
      <c r="E8" s="1763"/>
      <c r="F8" s="1757">
        <f>(C8+D8)-E8</f>
        <v>24852091</v>
      </c>
      <c r="G8" s="681">
        <v>50</v>
      </c>
      <c r="H8" s="619">
        <v>8756004</v>
      </c>
      <c r="I8" s="619">
        <v>497042</v>
      </c>
      <c r="J8" s="619"/>
      <c r="K8" s="1434">
        <f>(H8+I8)-J8</f>
        <v>9253046</v>
      </c>
      <c r="L8" s="1434">
        <f>F8-K8</f>
        <v>15599045</v>
      </c>
    </row>
    <row r="9" spans="1:14" ht="14.25" thickTop="1" thickBot="1" x14ac:dyDescent="0.25">
      <c r="A9" s="629" t="s">
        <v>1111</v>
      </c>
      <c r="B9" s="679">
        <v>232</v>
      </c>
      <c r="C9" s="1737"/>
      <c r="D9" s="1737"/>
      <c r="E9" s="1737"/>
      <c r="F9" s="1757">
        <f>(C9+D9)-E9</f>
        <v>0</v>
      </c>
      <c r="G9" s="681">
        <v>20</v>
      </c>
      <c r="H9" s="619"/>
      <c r="I9" s="619"/>
      <c r="J9" s="619"/>
      <c r="K9" s="1434">
        <f>(H9+I9)-J9</f>
        <v>0</v>
      </c>
      <c r="L9" s="1434">
        <f>F9-K9</f>
        <v>0</v>
      </c>
    </row>
    <row r="10" spans="1:14" ht="24" thickTop="1" thickBot="1" x14ac:dyDescent="0.25">
      <c r="A10" s="682" t="s">
        <v>1112</v>
      </c>
      <c r="B10" s="679">
        <v>240</v>
      </c>
      <c r="C10" s="1764">
        <v>5941462</v>
      </c>
      <c r="D10" s="1764">
        <v>504804</v>
      </c>
      <c r="E10" s="1764"/>
      <c r="F10" s="1765">
        <f>(C10+D10)-E10</f>
        <v>6446266</v>
      </c>
      <c r="G10" s="681">
        <v>20</v>
      </c>
      <c r="H10" s="683">
        <v>3383822</v>
      </c>
      <c r="I10" s="683">
        <v>305594</v>
      </c>
      <c r="J10" s="683"/>
      <c r="K10" s="1434">
        <f>(H10+I10)-J10</f>
        <v>3689416</v>
      </c>
      <c r="L10" s="1434">
        <f>F10-K10</f>
        <v>2756850</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5902761</v>
      </c>
      <c r="D12" s="1763">
        <v>95642</v>
      </c>
      <c r="E12" s="1763"/>
      <c r="F12" s="1757">
        <f>(C12+D12)-E12</f>
        <v>5998403</v>
      </c>
      <c r="G12" s="681">
        <v>10</v>
      </c>
      <c r="H12" s="619">
        <v>5282401</v>
      </c>
      <c r="I12" s="619">
        <v>135598</v>
      </c>
      <c r="J12" s="619"/>
      <c r="K12" s="1434">
        <f>(H12+I12)-J12</f>
        <v>5417999</v>
      </c>
      <c r="L12" s="1434">
        <f>F12-K12</f>
        <v>580404</v>
      </c>
    </row>
    <row r="13" spans="1:14" ht="14.25" thickTop="1" thickBot="1" x14ac:dyDescent="0.25">
      <c r="A13" s="684" t="s">
        <v>1114</v>
      </c>
      <c r="B13" s="679">
        <v>252</v>
      </c>
      <c r="C13" s="1763">
        <v>415969</v>
      </c>
      <c r="D13" s="1763"/>
      <c r="E13" s="1763"/>
      <c r="F13" s="1757">
        <f>(C13+D13)-E13</f>
        <v>415969</v>
      </c>
      <c r="G13" s="681">
        <v>5</v>
      </c>
      <c r="H13" s="619">
        <v>414603</v>
      </c>
      <c r="I13" s="619">
        <v>972</v>
      </c>
      <c r="J13" s="619"/>
      <c r="K13" s="1434">
        <f>(H13+I13)-J13</f>
        <v>415575</v>
      </c>
      <c r="L13" s="1434">
        <f>F13-K13</f>
        <v>394</v>
      </c>
    </row>
    <row r="14" spans="1:14" ht="14.25" thickTop="1" thickBot="1" x14ac:dyDescent="0.25">
      <c r="A14" s="684" t="s">
        <v>1115</v>
      </c>
      <c r="B14" s="679">
        <v>253</v>
      </c>
      <c r="C14" s="1737">
        <v>56923</v>
      </c>
      <c r="D14" s="1737"/>
      <c r="E14" s="1737"/>
      <c r="F14" s="1757">
        <f>(C14+D14)-E14</f>
        <v>56923</v>
      </c>
      <c r="G14" s="681">
        <v>3</v>
      </c>
      <c r="H14" s="619">
        <v>56923</v>
      </c>
      <c r="I14" s="619"/>
      <c r="J14" s="619"/>
      <c r="K14" s="1434">
        <f>(H14+I14)-J14</f>
        <v>56923</v>
      </c>
      <c r="L14" s="1434">
        <f>F14-K14</f>
        <v>0</v>
      </c>
    </row>
    <row r="15" spans="1:14" ht="15" customHeight="1" thickTop="1" thickBot="1" x14ac:dyDescent="0.25">
      <c r="A15" s="1358" t="s">
        <v>525</v>
      </c>
      <c r="B15" s="1357">
        <v>260</v>
      </c>
      <c r="C15" s="1763"/>
      <c r="D15" s="1763"/>
      <c r="E15" s="1763"/>
      <c r="F15" s="1757">
        <f>(C15+D15)-E15</f>
        <v>0</v>
      </c>
      <c r="G15" s="685" t="s">
        <v>857</v>
      </c>
      <c r="H15" s="632"/>
      <c r="I15" s="632"/>
      <c r="J15" s="632"/>
      <c r="K15" s="632"/>
      <c r="L15" s="1434">
        <f>F15-K15</f>
        <v>0</v>
      </c>
    </row>
    <row r="16" spans="1:14" ht="15" customHeight="1" thickTop="1" thickBot="1" x14ac:dyDescent="0.25">
      <c r="A16" s="1430" t="s">
        <v>638</v>
      </c>
      <c r="B16" s="1431">
        <v>200</v>
      </c>
      <c r="C16" s="1757">
        <f>SUM(C3,C5:C6,C8:C10,C12:C15)</f>
        <v>38396433</v>
      </c>
      <c r="D16" s="1757">
        <f>SUM(D3,D5:D6,D8:D10,D12:D15)</f>
        <v>600446</v>
      </c>
      <c r="E16" s="1757">
        <f>SUM(E3,E5:E6,E8:E10,E12:E15)</f>
        <v>0</v>
      </c>
      <c r="F16" s="1757">
        <f>SUM(F3,F5:F6,F8:F10,F12:F15)</f>
        <v>38996879</v>
      </c>
      <c r="G16" s="681"/>
      <c r="H16" s="1427">
        <f>SUM(H3,H6,H8:H10,H12:H14,)</f>
        <v>17893753</v>
      </c>
      <c r="I16" s="1427">
        <f>SUM(I3,I6,I8:I10,I12:I14,)</f>
        <v>939206</v>
      </c>
      <c r="J16" s="1427">
        <f>SUM(J3,J6,J8:J10,J12:J14,)</f>
        <v>0</v>
      </c>
      <c r="K16" s="1427">
        <f>(H16+I16)-J16</f>
        <v>18832959</v>
      </c>
      <c r="L16" s="1427">
        <f>F16-K16</f>
        <v>20163920</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939206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64" activePane="bottomLeft" state="frozen"/>
      <selection activeCell="I12" sqref="I12"/>
      <selection pane="bottomLeft" activeCell="I12" sqref="I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1097</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16813620</v>
      </c>
      <c r="G8" s="701"/>
    </row>
    <row r="9" spans="1:9" x14ac:dyDescent="0.2">
      <c r="A9" s="705" t="s">
        <v>457</v>
      </c>
      <c r="B9" s="706" t="s">
        <v>1848</v>
      </c>
      <c r="C9" s="707"/>
      <c r="D9" s="705" t="s">
        <v>498</v>
      </c>
      <c r="E9" s="704"/>
      <c r="F9" s="1767">
        <f>'Expenditures 15-22'!K151</f>
        <v>1928677</v>
      </c>
      <c r="G9" s="708"/>
    </row>
    <row r="10" spans="1:9" x14ac:dyDescent="0.2">
      <c r="A10" s="705" t="s">
        <v>496</v>
      </c>
      <c r="B10" s="706" t="s">
        <v>1849</v>
      </c>
      <c r="C10" s="707"/>
      <c r="D10" s="705" t="s">
        <v>498</v>
      </c>
      <c r="E10" s="704"/>
      <c r="F10" s="1767">
        <f>'Expenditures 15-22'!K174</f>
        <v>749684</v>
      </c>
      <c r="G10" s="708"/>
    </row>
    <row r="11" spans="1:9" x14ac:dyDescent="0.2">
      <c r="A11" s="705" t="s">
        <v>458</v>
      </c>
      <c r="B11" s="706" t="s">
        <v>1850</v>
      </c>
      <c r="C11" s="707"/>
      <c r="D11" s="705" t="s">
        <v>498</v>
      </c>
      <c r="E11" s="704"/>
      <c r="F11" s="1767">
        <f>'Expenditures 15-22'!K210</f>
        <v>1709110</v>
      </c>
      <c r="G11" s="708"/>
    </row>
    <row r="12" spans="1:9" x14ac:dyDescent="0.2">
      <c r="A12" s="705" t="s">
        <v>459</v>
      </c>
      <c r="B12" s="706" t="s">
        <v>1851</v>
      </c>
      <c r="C12" s="707"/>
      <c r="D12" s="705" t="s">
        <v>498</v>
      </c>
      <c r="E12" s="704"/>
      <c r="F12" s="1767">
        <f>'Expenditures 15-22'!K295</f>
        <v>588293</v>
      </c>
      <c r="G12" s="708"/>
    </row>
    <row r="13" spans="1:9" x14ac:dyDescent="0.2">
      <c r="A13" s="705" t="s">
        <v>106</v>
      </c>
      <c r="B13" s="706" t="s">
        <v>1852</v>
      </c>
      <c r="C13" s="707"/>
      <c r="D13" s="705" t="s">
        <v>498</v>
      </c>
      <c r="E13" s="704"/>
      <c r="F13" s="1767">
        <f>'Expenditures 15-22'!K342</f>
        <v>321798</v>
      </c>
      <c r="G13" s="709"/>
    </row>
    <row r="14" spans="1:9" ht="12" customHeight="1" thickBot="1" x14ac:dyDescent="0.25">
      <c r="A14" s="1435"/>
      <c r="B14" s="1436"/>
      <c r="C14" s="1437"/>
      <c r="D14" s="1438" t="s">
        <v>498</v>
      </c>
      <c r="E14" s="1439" t="s">
        <v>952</v>
      </c>
      <c r="F14" s="1768">
        <f>SUM(F8:F13)</f>
        <v>22111182</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5">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1909</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305849</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19399</v>
      </c>
      <c r="G52" s="701"/>
    </row>
    <row r="53" spans="1:7" x14ac:dyDescent="0.2">
      <c r="A53" s="705" t="s">
        <v>456</v>
      </c>
      <c r="B53" s="705" t="s">
        <v>1461</v>
      </c>
      <c r="C53" s="724">
        <f>'Expenditures 15-22'!B102</f>
        <v>4000</v>
      </c>
      <c r="D53" s="723" t="str">
        <f>'Expenditures 15-22'!A102</f>
        <v>Total Payments to Other Govt Units</v>
      </c>
      <c r="E53" s="704"/>
      <c r="F53" s="1774">
        <f>'Expenditures 15-22'!K102</f>
        <v>273369</v>
      </c>
      <c r="G53" s="701"/>
    </row>
    <row r="54" spans="1:7" x14ac:dyDescent="0.2">
      <c r="A54" s="705" t="s">
        <v>456</v>
      </c>
      <c r="B54" s="705" t="s">
        <v>1462</v>
      </c>
      <c r="C54" s="724" t="s">
        <v>975</v>
      </c>
      <c r="D54" s="720" t="s">
        <v>1088</v>
      </c>
      <c r="E54" s="704"/>
      <c r="F54" s="1774">
        <f>'Expenditures 15-22'!G114</f>
        <v>62798</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4">
        <f>'Expenditures 15-22'!K139</f>
        <v>0</v>
      </c>
      <c r="G57" s="701"/>
    </row>
    <row r="58" spans="1:7" x14ac:dyDescent="0.2">
      <c r="A58" s="705" t="s">
        <v>457</v>
      </c>
      <c r="B58" s="705" t="s">
        <v>1854</v>
      </c>
      <c r="C58" s="721" t="s">
        <v>975</v>
      </c>
      <c r="D58" s="720" t="s">
        <v>1088</v>
      </c>
      <c r="E58" s="704"/>
      <c r="F58" s="1776">
        <f>'Expenditures 15-22'!G151</f>
        <v>57337</v>
      </c>
      <c r="G58" s="701"/>
    </row>
    <row r="59" spans="1:7" x14ac:dyDescent="0.2">
      <c r="A59" s="728" t="s">
        <v>457</v>
      </c>
      <c r="B59" s="692" t="s">
        <v>1855</v>
      </c>
      <c r="C59" s="729" t="s">
        <v>975</v>
      </c>
      <c r="D59" s="692" t="s">
        <v>288</v>
      </c>
      <c r="F59" s="1777">
        <f>'Expenditures 15-22'!I151</f>
        <v>0</v>
      </c>
      <c r="G59" s="701"/>
    </row>
    <row r="60" spans="1:7" x14ac:dyDescent="0.2">
      <c r="A60" s="728" t="s">
        <v>496</v>
      </c>
      <c r="B60" s="692" t="s">
        <v>1856</v>
      </c>
      <c r="C60" s="729">
        <v>4000</v>
      </c>
      <c r="D60" s="692" t="s">
        <v>309</v>
      </c>
      <c r="F60" s="1775">
        <f>'Expenditures 15-22'!K160</f>
        <v>0</v>
      </c>
      <c r="G60" s="701"/>
    </row>
    <row r="61" spans="1:7" x14ac:dyDescent="0.2">
      <c r="A61" s="730" t="s">
        <v>496</v>
      </c>
      <c r="B61" s="730" t="s">
        <v>1857</v>
      </c>
      <c r="C61" s="731" t="str">
        <f>'Expenditures 15-22'!B170</f>
        <v>5300</v>
      </c>
      <c r="D61" s="732" t="s">
        <v>308</v>
      </c>
      <c r="E61" s="715"/>
      <c r="F61" s="1774">
        <f>'Expenditures 15-22'!K170</f>
        <v>654600</v>
      </c>
      <c r="G61" s="701"/>
    </row>
    <row r="62" spans="1:7" x14ac:dyDescent="0.2">
      <c r="A62" s="705" t="s">
        <v>458</v>
      </c>
      <c r="B62" s="705" t="s">
        <v>1858</v>
      </c>
      <c r="C62" s="721">
        <f>'Expenditures 15-22'!B185</f>
        <v>3000</v>
      </c>
      <c r="D62" s="712" t="s">
        <v>446</v>
      </c>
      <c r="E62" s="704"/>
      <c r="F62" s="1774">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1860</v>
      </c>
      <c r="C64" s="731" t="str">
        <f>'Expenditures 15-22'!B206</f>
        <v>5300</v>
      </c>
      <c r="D64" s="727" t="s">
        <v>308</v>
      </c>
      <c r="E64" s="704"/>
      <c r="F64" s="1774">
        <f>'Expenditures 15-22'!K206</f>
        <v>0</v>
      </c>
      <c r="G64" s="701"/>
    </row>
    <row r="65" spans="1:9" x14ac:dyDescent="0.2">
      <c r="A65" s="705" t="s">
        <v>458</v>
      </c>
      <c r="B65" s="705" t="s">
        <v>1861</v>
      </c>
      <c r="C65" s="721" t="s">
        <v>975</v>
      </c>
      <c r="D65" s="720" t="s">
        <v>1088</v>
      </c>
      <c r="E65" s="704"/>
      <c r="F65" s="1774">
        <f>'Expenditures 15-22'!G210</f>
        <v>0</v>
      </c>
      <c r="G65" s="701"/>
    </row>
    <row r="66" spans="1:9" x14ac:dyDescent="0.2">
      <c r="A66" s="705" t="s">
        <v>458</v>
      </c>
      <c r="B66" s="705" t="s">
        <v>1862</v>
      </c>
      <c r="C66" s="721" t="s">
        <v>975</v>
      </c>
      <c r="D66" s="720" t="s">
        <v>288</v>
      </c>
      <c r="E66" s="704"/>
      <c r="F66" s="1774">
        <f>'Expenditures 15-22'!I210</f>
        <v>0</v>
      </c>
      <c r="G66" s="701"/>
    </row>
    <row r="67" spans="1:9" x14ac:dyDescent="0.2">
      <c r="A67" s="705" t="s">
        <v>459</v>
      </c>
      <c r="B67" s="705" t="s">
        <v>1863</v>
      </c>
      <c r="C67" s="721" t="str">
        <f>'Expenditures 15-22'!B216</f>
        <v>1125</v>
      </c>
      <c r="D67" s="727" t="str">
        <f>'Expenditures 15-22'!A216</f>
        <v>Pre-K Programs</v>
      </c>
      <c r="E67" s="704"/>
      <c r="F67" s="1774">
        <f>'Expenditures 15-22'!K216</f>
        <v>10654</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1865</v>
      </c>
      <c r="C70" s="721">
        <f>'Expenditures 15-22'!B221</f>
        <v>1300</v>
      </c>
      <c r="D70" s="722" t="str">
        <f>'Expenditures 15-22'!A221</f>
        <v>Adult/Continuing Education Programs</v>
      </c>
      <c r="E70" s="704"/>
      <c r="F70" s="1774">
        <f>'Expenditures 15-22'!K221</f>
        <v>0</v>
      </c>
      <c r="G70" s="701"/>
    </row>
    <row r="71" spans="1:9" x14ac:dyDescent="0.2">
      <c r="A71" s="705" t="s">
        <v>459</v>
      </c>
      <c r="B71" s="705" t="s">
        <v>1866</v>
      </c>
      <c r="C71" s="721">
        <f>'Expenditures 15-22'!B224</f>
        <v>1600</v>
      </c>
      <c r="D71" s="722" t="str">
        <f>'Expenditures 15-22'!A224</f>
        <v>Summer School Programs</v>
      </c>
      <c r="E71" s="704"/>
      <c r="F71" s="1774">
        <f>'Expenditures 15-22'!K224</f>
        <v>0</v>
      </c>
      <c r="G71" s="701"/>
    </row>
    <row r="72" spans="1:9" x14ac:dyDescent="0.2">
      <c r="A72" s="705" t="s">
        <v>459</v>
      </c>
      <c r="B72" s="705" t="s">
        <v>1867</v>
      </c>
      <c r="C72" s="721">
        <f>'Expenditures 15-22'!B280</f>
        <v>3000</v>
      </c>
      <c r="D72" s="712" t="s">
        <v>446</v>
      </c>
      <c r="E72" s="704"/>
      <c r="F72" s="1774">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4">
        <f>'Expenditures 15-22'!K285</f>
        <v>0</v>
      </c>
      <c r="G73" s="701"/>
    </row>
    <row r="74" spans="1:9" x14ac:dyDescent="0.2">
      <c r="A74" s="705" t="s">
        <v>433</v>
      </c>
      <c r="B74" s="705" t="s">
        <v>1869</v>
      </c>
      <c r="C74" s="721" t="s">
        <v>855</v>
      </c>
      <c r="D74" s="722" t="s">
        <v>1473</v>
      </c>
      <c r="E74" s="704"/>
      <c r="F74" s="1778">
        <f>'Expenditures 15-22'!K334</f>
        <v>0</v>
      </c>
      <c r="G74" s="701"/>
    </row>
    <row r="75" spans="1:9" x14ac:dyDescent="0.2">
      <c r="A75" s="705" t="s">
        <v>2008</v>
      </c>
      <c r="B75" s="705" t="s">
        <v>2009</v>
      </c>
      <c r="C75" s="721" t="s">
        <v>975</v>
      </c>
      <c r="D75" s="722" t="s">
        <v>1088</v>
      </c>
      <c r="E75" s="704"/>
      <c r="F75" s="1778">
        <f>'Expenditures 15-22'!G342</f>
        <v>0</v>
      </c>
      <c r="G75" s="701"/>
    </row>
    <row r="76" spans="1:9" ht="10.5" customHeight="1" x14ac:dyDescent="0.2">
      <c r="A76" s="701" t="s">
        <v>433</v>
      </c>
      <c r="B76" s="705" t="s">
        <v>2010</v>
      </c>
      <c r="C76" s="711" t="s">
        <v>975</v>
      </c>
      <c r="D76" s="701" t="s">
        <v>288</v>
      </c>
      <c r="E76" s="704"/>
      <c r="F76" s="1778">
        <f>'Expenditures 15-22'!I342</f>
        <v>0</v>
      </c>
      <c r="G76" s="703"/>
    </row>
    <row r="77" spans="1:9" ht="12" thickBot="1" x14ac:dyDescent="0.25">
      <c r="A77" s="1435"/>
      <c r="B77" s="1440"/>
      <c r="C77" s="1437"/>
      <c r="D77" s="1441" t="s">
        <v>2011</v>
      </c>
      <c r="E77" s="1439" t="s">
        <v>952</v>
      </c>
      <c r="F77" s="1779">
        <f>SUM(F18:F76)</f>
        <v>1384006</v>
      </c>
      <c r="G77" s="701"/>
    </row>
    <row r="78" spans="1:9" s="728" customFormat="1" ht="12" customHeight="1" thickTop="1" thickBot="1" x14ac:dyDescent="0.25">
      <c r="A78" s="1442"/>
      <c r="B78" s="1440"/>
      <c r="C78" s="1437"/>
      <c r="D78" s="1441" t="s">
        <v>2012</v>
      </c>
      <c r="E78" s="1439"/>
      <c r="F78" s="1780">
        <f>(F14-F77)</f>
        <v>20727176</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1405.4</v>
      </c>
      <c r="G79" s="733"/>
      <c r="H79" s="705"/>
      <c r="I79" s="705"/>
    </row>
    <row r="80" spans="1:9" s="728" customFormat="1" ht="12" customHeight="1" thickBot="1" x14ac:dyDescent="0.25">
      <c r="A80" s="1444"/>
      <c r="B80" s="1440"/>
      <c r="C80" s="1437"/>
      <c r="D80" s="1441" t="s">
        <v>2013</v>
      </c>
      <c r="E80" s="1439" t="s">
        <v>952</v>
      </c>
      <c r="F80" s="1782">
        <f>IF(F79&gt;0,F78/F79," Complete Line 79")</f>
        <v>14748.239647075565</v>
      </c>
      <c r="G80" s="705"/>
    </row>
    <row r="81" spans="1:7" s="728" customFormat="1" ht="8.25" customHeight="1" thickTop="1" x14ac:dyDescent="0.2">
      <c r="A81" s="734"/>
      <c r="B81" s="705"/>
      <c r="C81" s="707"/>
      <c r="D81" s="735"/>
      <c r="E81" s="704"/>
      <c r="F81" s="1783"/>
      <c r="G81" s="705"/>
    </row>
    <row r="82" spans="1:7" s="728" customFormat="1" ht="12" thickBot="1" x14ac:dyDescent="0.25">
      <c r="A82" s="2369" t="s">
        <v>1098</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180557</v>
      </c>
      <c r="G95" s="745"/>
    </row>
    <row r="96" spans="1:7" x14ac:dyDescent="0.2">
      <c r="A96" s="741" t="s">
        <v>139</v>
      </c>
      <c r="B96" s="741" t="s">
        <v>174</v>
      </c>
      <c r="C96" s="743">
        <v>1700</v>
      </c>
      <c r="D96" s="751" t="str">
        <f>'Revenues 9-14'!A82</f>
        <v>Total District/School Activity Income</v>
      </c>
      <c r="E96" s="739"/>
      <c r="F96" s="1785">
        <f>SUM('Revenues 9-14'!C82,'Revenues 9-14'!D82)</f>
        <v>48437</v>
      </c>
      <c r="G96" s="745"/>
    </row>
    <row r="97" spans="1:7" x14ac:dyDescent="0.2">
      <c r="A97" s="741" t="s">
        <v>456</v>
      </c>
      <c r="B97" s="741" t="s">
        <v>175</v>
      </c>
      <c r="C97" s="743">
        <f>'Revenues 9-14'!B84</f>
        <v>1811</v>
      </c>
      <c r="D97" s="744" t="str">
        <f>'Revenues 9-14'!A84</f>
        <v>Rentals - Regular Textbooks</v>
      </c>
      <c r="E97" s="739"/>
      <c r="F97" s="1785">
        <f>'Revenues 9-14'!C84</f>
        <v>19484</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1910</v>
      </c>
      <c r="C106" s="746">
        <v>3100</v>
      </c>
      <c r="D106" s="752" t="str">
        <f>'Revenues 9-14'!A132</f>
        <v>Total Special Education</v>
      </c>
      <c r="E106" s="739"/>
      <c r="F106" s="1785">
        <f>SUM('Revenues 9-14'!C132:D132,'Revenues 9-14'!F132)</f>
        <v>39215</v>
      </c>
      <c r="G106" s="745"/>
    </row>
    <row r="107" spans="1:7" x14ac:dyDescent="0.2">
      <c r="A107" s="741" t="s">
        <v>668</v>
      </c>
      <c r="B107" s="741" t="s">
        <v>1911</v>
      </c>
      <c r="C107" s="753">
        <v>3200</v>
      </c>
      <c r="D107" s="744" t="str">
        <f>'Revenues 9-14'!A141</f>
        <v>Total Career and Technical Education</v>
      </c>
      <c r="E107" s="739"/>
      <c r="F107" s="1785">
        <f>SUM('Revenues 9-14'!C141,'Revenues 9-14'!D141,'Revenues 9-14'!G141)</f>
        <v>6016</v>
      </c>
      <c r="G107" s="745"/>
    </row>
    <row r="108" spans="1:7" x14ac:dyDescent="0.2">
      <c r="A108" s="754" t="s">
        <v>659</v>
      </c>
      <c r="B108" s="741" t="s">
        <v>1912</v>
      </c>
      <c r="C108" s="753">
        <v>3300</v>
      </c>
      <c r="D108" s="744" t="str">
        <f>'Revenues 9-14'!A145</f>
        <v>Total Bilingual Ed</v>
      </c>
      <c r="E108" s="739"/>
      <c r="F108" s="1785">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5">
        <f>'Revenues 9-14'!C146</f>
        <v>10059</v>
      </c>
      <c r="G109" s="745"/>
    </row>
    <row r="110" spans="1:7" x14ac:dyDescent="0.2">
      <c r="A110" s="741" t="s">
        <v>668</v>
      </c>
      <c r="B110" s="741" t="s">
        <v>1914</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5">
        <f>SUM('Revenues 9-14'!C148,'Revenues 9-14'!D148)</f>
        <v>19061</v>
      </c>
      <c r="G111" s="745"/>
    </row>
    <row r="112" spans="1:7" x14ac:dyDescent="0.2">
      <c r="A112" s="741" t="s">
        <v>663</v>
      </c>
      <c r="B112" s="741" t="s">
        <v>1916</v>
      </c>
      <c r="C112" s="755">
        <v>3500</v>
      </c>
      <c r="D112" s="744" t="str">
        <f>'Revenues 9-14'!A155</f>
        <v>Total Transportation</v>
      </c>
      <c r="E112" s="739"/>
      <c r="F112" s="1785">
        <f>SUM('Revenues 9-14'!C155,'Revenues 9-14'!D155,'Revenues 9-14'!F155,'Revenues 9-14'!G155)</f>
        <v>914912</v>
      </c>
      <c r="G112" s="745"/>
    </row>
    <row r="113" spans="1:7" x14ac:dyDescent="0.2">
      <c r="A113" s="741" t="s">
        <v>456</v>
      </c>
      <c r="B113" s="741" t="s">
        <v>1917</v>
      </c>
      <c r="C113" s="753">
        <f>'Revenues 9-14'!B156</f>
        <v>3610</v>
      </c>
      <c r="D113" s="744" t="str">
        <f>'Revenues 9-14'!A156</f>
        <v>Learning Improvement - Change Grants</v>
      </c>
      <c r="E113" s="739"/>
      <c r="F113" s="1785">
        <f>'Revenues 9-14'!C156</f>
        <v>0</v>
      </c>
      <c r="G113" s="745"/>
    </row>
    <row r="114" spans="1:7" x14ac:dyDescent="0.2">
      <c r="A114" s="741" t="s">
        <v>663</v>
      </c>
      <c r="B114" s="741" t="s">
        <v>1918</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4">
        <f>SUM('Revenues 9-14'!C163:G163)</f>
        <v>0</v>
      </c>
      <c r="G119" s="745"/>
    </row>
    <row r="120" spans="1:7" x14ac:dyDescent="0.2">
      <c r="A120" s="756" t="s">
        <v>501</v>
      </c>
      <c r="B120" s="756" t="s">
        <v>1924</v>
      </c>
      <c r="C120" s="757">
        <f>'Revenues 9-14'!B164</f>
        <v>3815</v>
      </c>
      <c r="D120" s="758" t="str">
        <f>'Revenues 9-14'!A164</f>
        <v>State Charter Schools</v>
      </c>
      <c r="E120" s="739"/>
      <c r="F120" s="1784">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5">
        <f>'Revenues 9-14'!D167</f>
        <v>0</v>
      </c>
      <c r="G121" s="763"/>
    </row>
    <row r="122" spans="1:7" x14ac:dyDescent="0.2">
      <c r="A122" s="760" t="s">
        <v>497</v>
      </c>
      <c r="B122" s="760" t="s">
        <v>1926</v>
      </c>
      <c r="C122" s="761">
        <f>'Revenues 9-14'!B168</f>
        <v>3999</v>
      </c>
      <c r="D122" s="762" t="s">
        <v>540</v>
      </c>
      <c r="E122" s="764"/>
      <c r="F122" s="1785">
        <f>SUM('Revenues 9-14'!C168:G168,'Revenues 9-14'!J168)</f>
        <v>33728</v>
      </c>
      <c r="G122" s="763"/>
    </row>
    <row r="123" spans="1:7" x14ac:dyDescent="0.2">
      <c r="A123" s="760" t="s">
        <v>456</v>
      </c>
      <c r="B123" s="760" t="s">
        <v>1927</v>
      </c>
      <c r="C123" s="765">
        <f>'Revenues 9-14'!B177</f>
        <v>4045</v>
      </c>
      <c r="D123" s="762" t="str">
        <f>'Revenues 9-14'!A177 &amp; " (Subtract)"</f>
        <v>Head Start (Subtract)</v>
      </c>
      <c r="E123" s="739"/>
      <c r="F123" s="1785">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1929</v>
      </c>
      <c r="C125" s="765">
        <v>4100</v>
      </c>
      <c r="D125" s="766" t="str">
        <f>'Revenues 9-14'!A188</f>
        <v>Total Title V</v>
      </c>
      <c r="E125" s="739"/>
      <c r="F125" s="1785">
        <f>SUM('Revenues 9-14'!C188,'Revenues 9-14'!D188,'Revenues 9-14'!F188,'Revenues 9-14'!G188)</f>
        <v>37775</v>
      </c>
      <c r="G125" s="763"/>
    </row>
    <row r="126" spans="1:7" x14ac:dyDescent="0.2">
      <c r="A126" s="760" t="s">
        <v>659</v>
      </c>
      <c r="B126" s="760" t="s">
        <v>1930</v>
      </c>
      <c r="C126" s="765">
        <v>4200</v>
      </c>
      <c r="D126" s="762" t="str">
        <f>'Revenues 9-14'!A198</f>
        <v>Total Food Service</v>
      </c>
      <c r="E126" s="739"/>
      <c r="F126" s="1785">
        <f>SUM('Revenues 9-14'!C198,'Revenues 9-14'!G198)</f>
        <v>1080910</v>
      </c>
      <c r="G126" s="763"/>
    </row>
    <row r="127" spans="1:7" x14ac:dyDescent="0.2">
      <c r="A127" s="760" t="s">
        <v>663</v>
      </c>
      <c r="B127" s="760" t="s">
        <v>1931</v>
      </c>
      <c r="C127" s="765">
        <v>4300</v>
      </c>
      <c r="D127" s="766" t="str">
        <f>'Revenues 9-14'!A204</f>
        <v>Total Title I</v>
      </c>
      <c r="E127" s="739"/>
      <c r="F127" s="1785">
        <f>SUM('Revenues 9-14'!C204,'Revenues 9-14'!D204,'Revenues 9-14'!F204,'Revenues 9-14'!G204)</f>
        <v>946445</v>
      </c>
      <c r="G127" s="763"/>
    </row>
    <row r="128" spans="1:7" x14ac:dyDescent="0.2">
      <c r="A128" s="760" t="s">
        <v>663</v>
      </c>
      <c r="B128" s="760" t="s">
        <v>1932</v>
      </c>
      <c r="C128" s="765">
        <v>4400</v>
      </c>
      <c r="D128" s="766" t="str">
        <f>'Revenues 9-14'!A209</f>
        <v>Total Title IV</v>
      </c>
      <c r="E128" s="739"/>
      <c r="F128" s="1785">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5">
        <f>SUM('Revenues 9-14'!C213:D213,'Revenues 9-14'!F213:G213)</f>
        <v>527717</v>
      </c>
      <c r="G129" s="763"/>
    </row>
    <row r="130" spans="1:7" x14ac:dyDescent="0.2">
      <c r="A130" s="760" t="s">
        <v>663</v>
      </c>
      <c r="B130" s="760" t="s">
        <v>1934</v>
      </c>
      <c r="C130" s="765">
        <f>'Revenues 9-14'!B214</f>
        <v>4625</v>
      </c>
      <c r="D130" s="766" t="str">
        <f>'Revenues 9-14'!A214</f>
        <v>Fed - Spec Education - IDEA - Room &amp; Board</v>
      </c>
      <c r="E130" s="739"/>
      <c r="F130" s="1785">
        <f>SUM('Revenues 9-14'!C214,'Revenues 9-14'!D214,'Revenues 9-14'!F214,'Revenues 9-14'!G214)</f>
        <v>11400</v>
      </c>
      <c r="G130" s="763"/>
    </row>
    <row r="131" spans="1:7" x14ac:dyDescent="0.2">
      <c r="A131" s="760" t="s">
        <v>663</v>
      </c>
      <c r="B131" s="760" t="s">
        <v>1935</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1936</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5">
        <v>0</v>
      </c>
      <c r="G139" s="738"/>
    </row>
    <row r="140" spans="1:7" s="703" customFormat="1" hidden="1" x14ac:dyDescent="0.2">
      <c r="A140" s="767" t="s">
        <v>204</v>
      </c>
      <c r="B140" s="767" t="s">
        <v>1943</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1951</v>
      </c>
      <c r="C158" s="773" t="s">
        <v>836</v>
      </c>
      <c r="D158" s="774" t="s">
        <v>772</v>
      </c>
      <c r="E158" s="775"/>
      <c r="F158" s="1785">
        <f>SUM(F134:F157)</f>
        <v>0</v>
      </c>
      <c r="G158" s="738"/>
    </row>
    <row r="159" spans="1:7" s="703" customFormat="1" x14ac:dyDescent="0.2">
      <c r="A159" s="771" t="s">
        <v>456</v>
      </c>
      <c r="B159" s="772" t="s">
        <v>1952</v>
      </c>
      <c r="C159" s="773" t="s">
        <v>1413</v>
      </c>
      <c r="D159" s="774" t="s">
        <v>1414</v>
      </c>
      <c r="E159" s="775"/>
      <c r="F159" s="1785">
        <f>SUM('Revenues 9-14'!C253)</f>
        <v>0</v>
      </c>
      <c r="G159" s="738"/>
    </row>
    <row r="160" spans="1:7" s="703" customFormat="1" x14ac:dyDescent="0.2">
      <c r="A160" s="771" t="s">
        <v>497</v>
      </c>
      <c r="B160" s="772" t="s">
        <v>1953</v>
      </c>
      <c r="C160" s="773" t="s">
        <v>1452</v>
      </c>
      <c r="D160" s="774" t="s">
        <v>1453</v>
      </c>
      <c r="E160" s="775"/>
      <c r="F160" s="1785">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4">
        <f>SUM('Revenues 9-14'!C259,'Revenues 9-14'!D259,'Revenues 9-14'!F259,'Revenues 9-14'!G259)</f>
        <v>112036</v>
      </c>
      <c r="G165" s="763"/>
    </row>
    <row r="166" spans="1:7" x14ac:dyDescent="0.2">
      <c r="A166" s="760" t="s">
        <v>663</v>
      </c>
      <c r="B166" s="760" t="s">
        <v>1959</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5">
        <f>SUM('Revenues 9-14'!C263:D263,'Revenues 9-14'!F263:G263)</f>
        <v>29831</v>
      </c>
      <c r="G169" s="780">
        <v>6320</v>
      </c>
    </row>
    <row r="170" spans="1:7" x14ac:dyDescent="0.2">
      <c r="A170" s="760" t="s">
        <v>663</v>
      </c>
      <c r="B170" s="760" t="s">
        <v>1961</v>
      </c>
      <c r="C170" s="765">
        <f>'Revenues 9-14'!B264</f>
        <v>4992</v>
      </c>
      <c r="D170" s="766" t="str">
        <f>'Revenues 9-14'!A264</f>
        <v>Medicaid Matching Funds - Fee-for-Service Program</v>
      </c>
      <c r="E170" s="739"/>
      <c r="F170" s="1785">
        <f>SUM('Revenues 9-14'!C264:D264,'Revenues 9-14'!F264:G264)</f>
        <v>179245</v>
      </c>
      <c r="G170" s="780"/>
    </row>
    <row r="171" spans="1:7" x14ac:dyDescent="0.2">
      <c r="A171" s="781" t="s">
        <v>663</v>
      </c>
      <c r="B171" s="777" t="s">
        <v>1962</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1885</v>
      </c>
      <c r="C172" s="1523">
        <v>3100</v>
      </c>
      <c r="D172" s="1524" t="s">
        <v>1887</v>
      </c>
      <c r="E172" s="739"/>
      <c r="F172" s="1786">
        <v>832106</v>
      </c>
      <c r="G172" s="760"/>
    </row>
    <row r="173" spans="1:7" x14ac:dyDescent="0.2">
      <c r="A173" s="1521" t="s">
        <v>659</v>
      </c>
      <c r="B173" s="1522" t="s">
        <v>1885</v>
      </c>
      <c r="C173" s="1523">
        <v>3300</v>
      </c>
      <c r="D173" s="1524" t="s">
        <v>1888</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2016</v>
      </c>
      <c r="E175" s="1448" t="s">
        <v>952</v>
      </c>
      <c r="F175" s="1788">
        <f>SUM(F85:F133,F158:F173)</f>
        <v>5028934</v>
      </c>
    </row>
    <row r="176" spans="1:7" ht="12" customHeight="1" x14ac:dyDescent="0.2">
      <c r="A176" s="1435"/>
      <c r="B176" s="1445"/>
      <c r="C176" s="1446"/>
      <c r="D176" s="1447" t="s">
        <v>2014</v>
      </c>
      <c r="E176" s="1448"/>
      <c r="F176" s="1785">
        <f>'PCTC-OEPP 27-28'!F78-F175</f>
        <v>15698242</v>
      </c>
    </row>
    <row r="177" spans="1:9" ht="12" customHeight="1" x14ac:dyDescent="0.2">
      <c r="A177" s="1435"/>
      <c r="B177" s="1445"/>
      <c r="C177" s="1446"/>
      <c r="D177" s="1447" t="s">
        <v>1794</v>
      </c>
      <c r="E177" s="1448"/>
      <c r="F177" s="1785">
        <f>'Cap Outlay Deprec 26'!I18</f>
        <v>939206</v>
      </c>
    </row>
    <row r="178" spans="1:9" ht="12" customHeight="1" x14ac:dyDescent="0.2">
      <c r="A178" s="1435"/>
      <c r="B178" s="1445"/>
      <c r="C178" s="1446"/>
      <c r="D178" s="1447" t="s">
        <v>2015</v>
      </c>
      <c r="E178" s="1448"/>
      <c r="F178" s="1785">
        <f>F176+F177</f>
        <v>16637448</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1405.4</v>
      </c>
      <c r="G179" s="763"/>
      <c r="I179" s="701"/>
    </row>
    <row r="180" spans="1:9" ht="12" customHeight="1" thickBot="1" x14ac:dyDescent="0.25">
      <c r="A180" s="1435"/>
      <c r="B180" s="1449"/>
      <c r="C180" s="1446"/>
      <c r="D180" s="1447" t="s">
        <v>2017</v>
      </c>
      <c r="E180" s="1448" t="s">
        <v>1531</v>
      </c>
      <c r="F180" s="1790">
        <f>F178/F179</f>
        <v>11838.229685498789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1890</v>
      </c>
      <c r="B186" s="1528"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G142"/>
  <sheetViews>
    <sheetView showGridLines="0" zoomScaleNormal="100" workbookViewId="0">
      <selection activeCell="I12" sqref="I12"/>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1807</v>
      </c>
      <c r="B1" s="1850"/>
      <c r="C1" s="1851"/>
      <c r="D1" s="1851"/>
      <c r="E1" s="1851"/>
      <c r="F1" s="1851"/>
    </row>
    <row r="2" spans="1:6" x14ac:dyDescent="0.25">
      <c r="A2" s="1853"/>
      <c r="B2" s="1854"/>
      <c r="C2" s="1902" t="s">
        <v>2003</v>
      </c>
      <c r="D2" s="1853"/>
      <c r="E2" s="1853"/>
      <c r="F2" s="1853"/>
    </row>
    <row r="3" spans="1:6" ht="5.25" customHeight="1" x14ac:dyDescent="0.25">
      <c r="A3" s="1855"/>
      <c r="B3" s="1856"/>
      <c r="C3" s="1855"/>
      <c r="D3" s="1855"/>
      <c r="E3" s="1855"/>
      <c r="F3" s="1855"/>
    </row>
    <row r="4" spans="1:6" ht="18.75" customHeight="1" x14ac:dyDescent="0.25">
      <c r="A4" s="2383" t="s">
        <v>1795</v>
      </c>
      <c r="B4" s="2384"/>
      <c r="C4" s="2384"/>
      <c r="D4" s="2384"/>
      <c r="E4" s="2384"/>
      <c r="F4" s="2385"/>
    </row>
    <row r="5" spans="1:6" x14ac:dyDescent="0.25">
      <c r="A5" s="2386"/>
      <c r="B5" s="2387"/>
      <c r="C5" s="2387"/>
      <c r="D5" s="2387"/>
      <c r="E5" s="2387"/>
      <c r="F5" s="2388"/>
    </row>
    <row r="6" spans="1:6" ht="18.75" x14ac:dyDescent="0.25">
      <c r="A6" s="1857" t="s">
        <v>1796</v>
      </c>
      <c r="B6" s="1858"/>
      <c r="C6" s="1859"/>
      <c r="D6" s="1859"/>
      <c r="E6" s="1859"/>
      <c r="F6" s="1860"/>
    </row>
    <row r="7" spans="1:6" ht="47.25" customHeight="1" x14ac:dyDescent="0.25">
      <c r="A7" s="2389" t="s">
        <v>1985</v>
      </c>
      <c r="B7" s="2390"/>
      <c r="C7" s="2390"/>
      <c r="D7" s="2390"/>
      <c r="E7" s="2390"/>
      <c r="F7" s="2391"/>
    </row>
    <row r="8" spans="1:6" ht="20.25" customHeight="1" x14ac:dyDescent="0.25">
      <c r="A8" s="1892" t="s">
        <v>1987</v>
      </c>
      <c r="B8" s="1893"/>
      <c r="C8" s="1893"/>
      <c r="D8" s="1893"/>
      <c r="E8" s="1861"/>
      <c r="F8" s="1862"/>
    </row>
    <row r="9" spans="1:6" ht="18" customHeight="1" x14ac:dyDescent="0.25">
      <c r="A9" s="1863" t="s">
        <v>1984</v>
      </c>
      <c r="B9" s="1865"/>
      <c r="C9" s="1865"/>
      <c r="D9" s="1865"/>
      <c r="E9" s="1861"/>
      <c r="F9" s="1862"/>
    </row>
    <row r="10" spans="1:6" ht="15.75" customHeight="1" x14ac:dyDescent="0.25">
      <c r="A10" s="2392" t="s">
        <v>1981</v>
      </c>
      <c r="B10" s="2393"/>
      <c r="C10" s="2393"/>
      <c r="D10" s="2393"/>
      <c r="E10" s="2393"/>
      <c r="F10" s="2394"/>
    </row>
    <row r="11" spans="1:6" ht="33" customHeight="1" x14ac:dyDescent="0.25">
      <c r="A11" s="2389" t="s">
        <v>1986</v>
      </c>
      <c r="B11" s="2390"/>
      <c r="C11" s="2390"/>
      <c r="D11" s="2390"/>
      <c r="E11" s="2390"/>
      <c r="F11" s="2391"/>
    </row>
    <row r="12" spans="1:6" ht="15" customHeight="1" x14ac:dyDescent="0.25">
      <c r="A12" s="1863" t="s">
        <v>1982</v>
      </c>
      <c r="B12" s="1864"/>
      <c r="C12" s="1865"/>
      <c r="D12" s="1865"/>
      <c r="E12" s="1865"/>
      <c r="F12" s="1866"/>
    </row>
    <row r="13" spans="1:6" ht="17.25" customHeight="1" x14ac:dyDescent="0.25">
      <c r="A13" s="2389" t="s">
        <v>1983</v>
      </c>
      <c r="B13" s="2390"/>
      <c r="C13" s="2390"/>
      <c r="D13" s="2390"/>
      <c r="E13" s="2390"/>
      <c r="F13" s="2391"/>
    </row>
    <row r="14" spans="1:6" ht="15" customHeight="1" x14ac:dyDescent="0.25">
      <c r="A14" s="1863" t="s">
        <v>1800</v>
      </c>
      <c r="B14" s="1864"/>
      <c r="C14" s="1865"/>
      <c r="D14" s="1865"/>
      <c r="E14" s="1865"/>
      <c r="F14" s="1866"/>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7" t="s">
        <v>1801</v>
      </c>
      <c r="B16" s="1868" t="s">
        <v>1802</v>
      </c>
      <c r="C16" s="1867" t="s">
        <v>1803</v>
      </c>
      <c r="D16" s="1869" t="s">
        <v>1804</v>
      </c>
      <c r="E16" s="1869" t="s">
        <v>1805</v>
      </c>
      <c r="F16" s="1869" t="s">
        <v>1806</v>
      </c>
    </row>
    <row r="17" spans="1:7" x14ac:dyDescent="0.25">
      <c r="A17" s="1870" t="s">
        <v>1808</v>
      </c>
      <c r="B17" s="1897" t="s">
        <v>1799</v>
      </c>
      <c r="C17" s="1871" t="s">
        <v>1797</v>
      </c>
      <c r="D17" s="1872">
        <v>500000</v>
      </c>
      <c r="E17" s="1872" t="str">
        <f>IF(D17&lt;25000,D17,"25,000")</f>
        <v>25,000</v>
      </c>
      <c r="F17" s="1873">
        <f>IF(D17&gt;=25000,(D17-E17),"0")</f>
        <v>475000</v>
      </c>
    </row>
    <row r="18" spans="1:7" x14ac:dyDescent="0.25">
      <c r="A18" s="1909" t="s">
        <v>2038</v>
      </c>
      <c r="B18" s="1898">
        <v>102100300</v>
      </c>
      <c r="C18" s="1910" t="s">
        <v>2044</v>
      </c>
      <c r="D18" s="1876">
        <v>28191</v>
      </c>
      <c r="E18" s="1896" t="str">
        <f t="shared" ref="E18:E81" si="0">IF(D18&lt;25000,D18,"25,000")</f>
        <v>25,000</v>
      </c>
      <c r="F18" s="1896">
        <f t="shared" ref="F18:F81" si="1">IF(D18&gt;=25000,(D18-E18),"0")</f>
        <v>3191</v>
      </c>
      <c r="G18" s="1877"/>
    </row>
    <row r="19" spans="1:7" x14ac:dyDescent="0.25">
      <c r="A19" s="1909" t="s">
        <v>2039</v>
      </c>
      <c r="B19" s="1898">
        <v>202540300</v>
      </c>
      <c r="C19" s="1910" t="s">
        <v>2045</v>
      </c>
      <c r="D19" s="1876">
        <v>26681</v>
      </c>
      <c r="E19" s="1896" t="str">
        <f t="shared" si="0"/>
        <v>25,000</v>
      </c>
      <c r="F19" s="1896">
        <f t="shared" si="1"/>
        <v>1681</v>
      </c>
    </row>
    <row r="20" spans="1:7" x14ac:dyDescent="0.25">
      <c r="A20" s="1909" t="s">
        <v>2040</v>
      </c>
      <c r="B20" s="1898">
        <v>102200300</v>
      </c>
      <c r="C20" s="1910" t="s">
        <v>2046</v>
      </c>
      <c r="D20" s="1876">
        <v>229291</v>
      </c>
      <c r="E20" s="1896" t="str">
        <f t="shared" si="0"/>
        <v>25,000</v>
      </c>
      <c r="F20" s="1896">
        <f t="shared" si="1"/>
        <v>204291</v>
      </c>
    </row>
    <row r="21" spans="1:7" x14ac:dyDescent="0.25">
      <c r="A21" s="1909" t="s">
        <v>2042</v>
      </c>
      <c r="B21" s="1898">
        <v>202540300</v>
      </c>
      <c r="C21" s="1910" t="s">
        <v>2047</v>
      </c>
      <c r="D21" s="1876">
        <v>26178</v>
      </c>
      <c r="E21" s="1896" t="str">
        <f t="shared" si="0"/>
        <v>25,000</v>
      </c>
      <c r="F21" s="1896">
        <f t="shared" si="1"/>
        <v>1178</v>
      </c>
    </row>
    <row r="22" spans="1:7" x14ac:dyDescent="0.25">
      <c r="A22" s="1909" t="s">
        <v>2041</v>
      </c>
      <c r="B22" s="1898">
        <v>402550300</v>
      </c>
      <c r="C22" s="1910" t="s">
        <v>2048</v>
      </c>
      <c r="D22" s="1876">
        <v>50816</v>
      </c>
      <c r="E22" s="1896" t="str">
        <f t="shared" si="0"/>
        <v>25,000</v>
      </c>
      <c r="F22" s="1896">
        <f t="shared" si="1"/>
        <v>25816</v>
      </c>
    </row>
    <row r="23" spans="1:7" x14ac:dyDescent="0.25">
      <c r="A23" s="1909" t="s">
        <v>2043</v>
      </c>
      <c r="B23" s="1898">
        <v>202540400</v>
      </c>
      <c r="C23" s="1910" t="s">
        <v>2049</v>
      </c>
      <c r="D23" s="1876">
        <v>1709661</v>
      </c>
      <c r="E23" s="1896" t="str">
        <f t="shared" si="0"/>
        <v>25,000</v>
      </c>
      <c r="F23" s="1896">
        <f t="shared" si="1"/>
        <v>1684661</v>
      </c>
    </row>
    <row r="24" spans="1:7" x14ac:dyDescent="0.25">
      <c r="A24" s="1909" t="s">
        <v>2042</v>
      </c>
      <c r="B24" s="1898">
        <v>202540300</v>
      </c>
      <c r="C24" s="1910" t="s">
        <v>2050</v>
      </c>
      <c r="D24" s="1876">
        <v>50802</v>
      </c>
      <c r="E24" s="1896" t="str">
        <f t="shared" si="0"/>
        <v>25,000</v>
      </c>
      <c r="F24" s="1896">
        <f t="shared" si="1"/>
        <v>25802</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2121620</v>
      </c>
      <c r="E142" s="1883">
        <f>SUM(E18:E141)</f>
        <v>0</v>
      </c>
      <c r="F142" s="1884">
        <f>SUM(F18:F141)</f>
        <v>1946620</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1663</v>
      </c>
      <c r="B5" s="2396"/>
      <c r="C5" s="2396"/>
      <c r="D5" s="2396"/>
      <c r="E5" s="2396"/>
      <c r="F5" s="2396"/>
      <c r="G5" s="2397"/>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c r="F8" s="805"/>
      <c r="G8" s="806"/>
      <c r="H8" s="157"/>
      <c r="I8" s="157"/>
    </row>
    <row r="9" spans="1:13" s="542" customFormat="1" ht="12" customHeight="1" x14ac:dyDescent="0.2">
      <c r="A9" s="802" t="s">
        <v>130</v>
      </c>
      <c r="B9" s="803"/>
      <c r="C9" s="803"/>
      <c r="D9" s="804"/>
      <c r="E9" s="1792"/>
      <c r="F9" s="805"/>
      <c r="G9" s="806"/>
      <c r="H9" s="157"/>
      <c r="I9" s="157"/>
    </row>
    <row r="10" spans="1:13" s="542" customFormat="1" ht="12" customHeight="1" x14ac:dyDescent="0.2">
      <c r="A10" s="802" t="s">
        <v>1894</v>
      </c>
      <c r="B10" s="803"/>
      <c r="C10" s="807"/>
      <c r="D10" s="804"/>
      <c r="E10" s="1792">
        <v>789426</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3">
        <v>92447</v>
      </c>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12286519</v>
      </c>
      <c r="F19" s="1794"/>
      <c r="G19" s="1796">
        <f>'Expenditures 15-22'!K33-SUM('Expenditures 15-22'!G33,'Expenditures 15-22'!I33)+'Expenditures 15-22'!D229</f>
        <v>12286519</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873200</v>
      </c>
      <c r="F21" s="1797"/>
      <c r="G21" s="1800">
        <f>'Expenditures 15-22'!K42-SUM('Expenditures 15-22'!G42,'Expenditures 15-22'!I42)+'Expenditures 15-22'!K120-SUM('Expenditures 15-22'!G120,'Expenditures 15-22'!I120)+'Expenditures 15-22'!K180-SUM('Expenditures 15-22'!G180,'Expenditures 15-22'!I180)+'Expenditures 15-22'!D238</f>
        <v>873200</v>
      </c>
      <c r="H21" s="817"/>
      <c r="I21" s="157"/>
    </row>
    <row r="22" spans="1:9" s="542" customFormat="1" ht="12" customHeight="1" x14ac:dyDescent="0.2">
      <c r="A22" s="824" t="s">
        <v>560</v>
      </c>
      <c r="B22" s="825"/>
      <c r="C22" s="823">
        <v>2200</v>
      </c>
      <c r="D22" s="1797"/>
      <c r="E22" s="1799">
        <f>'Expenditures 15-22'!K47-SUM('Expenditures 15-22'!G47,'Expenditures 15-22'!I47)+'Expenditures 15-22'!D243</f>
        <v>384310</v>
      </c>
      <c r="F22" s="1797"/>
      <c r="G22" s="1800">
        <f>'Expenditures 15-22'!K47-SUM('Expenditures 15-22'!G47,'Expenditures 15-22'!I47)+'Expenditures 15-22'!D243</f>
        <v>384310</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608289</v>
      </c>
      <c r="F23" s="1797"/>
      <c r="G23" s="1799">
        <f>'Expenditures 15-22'!K53-SUM('Expenditures 15-22'!G53,'Expenditures 15-22'!I53)+'Expenditures 15-22'!D257+'Expenditures 15-22'!K330-SUM('Expenditures 15-22'!G330,'Expenditures 15-22'!I330)</f>
        <v>608289</v>
      </c>
      <c r="H23" s="817"/>
      <c r="I23" s="157"/>
    </row>
    <row r="24" spans="1:9" s="542" customFormat="1" ht="12" customHeight="1" x14ac:dyDescent="0.2">
      <c r="A24" s="824" t="s">
        <v>562</v>
      </c>
      <c r="B24" s="825"/>
      <c r="C24" s="823">
        <v>2400</v>
      </c>
      <c r="D24" s="1797"/>
      <c r="E24" s="1799">
        <f>'Expenditures 15-22'!K57-SUM('Expenditures 15-22'!G57,'Expenditures 15-22'!I57)+'Expenditures 15-22'!D261</f>
        <v>1207246</v>
      </c>
      <c r="F24" s="1797"/>
      <c r="G24" s="1800">
        <f>'Expenditures 15-22'!K57-SUM('Expenditures 15-22'!G57,'Expenditures 15-22'!I57)+'Expenditures 15-22'!D261</f>
        <v>1207246</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539454</v>
      </c>
      <c r="E27" s="1799">
        <f>E8</f>
        <v>0</v>
      </c>
      <c r="F27" s="1799">
        <f>'Expenditures 15-22'!K60-SUM('Expenditures 15-22'!G60,'Expenditures 15-22'!I60)+'Expenditures 15-22'!D264-E8</f>
        <v>539454</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1987081</v>
      </c>
      <c r="F28" s="1801">
        <f>'Expenditures 15-22'!K61-SUM('Expenditures 15-22'!G61,'Expenditures 15-22'!I61)+'Expenditures 15-22'!K124-SUM('Expenditures 15-22'!G124,'Expenditures 15-22'!I124)+'Expenditures 15-22'!D266-E9</f>
        <v>1987081</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1712912</v>
      </c>
      <c r="F29" s="1797"/>
      <c r="G29" s="1800">
        <f>'Expenditures 15-22'!K62-SUM('Expenditures 15-22'!G62,'Expenditures 15-22'!I62)+'Expenditures 15-22'!K125-SUM('Expenditures 15-22'!G125,'Expenditures 15-22'!I125)+'Expenditures 15-22'!K182-SUM('Expenditures 15-22'!G182,'Expenditures 15-22'!I182)+'Expenditures 15-22'!D267</f>
        <v>1712912</v>
      </c>
      <c r="H29" s="815"/>
    </row>
    <row r="30" spans="1:9" ht="12" customHeight="1" x14ac:dyDescent="0.2">
      <c r="A30" s="824" t="s">
        <v>100</v>
      </c>
      <c r="B30" s="827"/>
      <c r="C30" s="823">
        <v>2560</v>
      </c>
      <c r="D30" s="1797"/>
      <c r="E30" s="1799">
        <f>'Expenditures 15-22'!K63-SUM('Expenditures 15-22'!G63,'Expenditures 15-22'!I63)+'Expenditures 15-22'!D268-E10</f>
        <v>555276</v>
      </c>
      <c r="F30" s="1797"/>
      <c r="G30" s="1799">
        <f>'Expenditures 15-22'!K63-SUM('Expenditures 15-22'!G63,'Expenditures 15-22'!I63)+'Expenditures 15-22'!D268-E10</f>
        <v>555276</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824" t="s">
        <v>1054</v>
      </c>
      <c r="B35" s="827"/>
      <c r="C35" s="82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4882</v>
      </c>
      <c r="E37" s="1799">
        <f>E14</f>
        <v>0</v>
      </c>
      <c r="F37" s="1799">
        <f>'Expenditures 15-22'!K71-SUM('Expenditures 15-22'!G71,'Expenditures 15-22'!I71)+'Expenditures 15-22'!D276-E14</f>
        <v>4882</v>
      </c>
      <c r="G37" s="1799">
        <f>E14</f>
        <v>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0</v>
      </c>
      <c r="F38" s="1797"/>
      <c r="G38" s="17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19399</v>
      </c>
      <c r="F39" s="1797"/>
      <c r="G39" s="1799">
        <f>'Expenditures 15-22'!K75-SUM('Expenditures 15-22'!G75,'Expenditures 15-22'!I75)+'Expenditures 15-22'!K130-SUM('Expenditures 15-22'!G130,'Expenditures 15-22'!I130)+'Expenditures 15-22'!K185-SUM('Expenditures 15-22'!G185,'Expenditures 15-22'!I185)+'Expenditures 15-22'!D280</f>
        <v>19399</v>
      </c>
    </row>
    <row r="40" spans="1:7" ht="12" customHeight="1" x14ac:dyDescent="0.2">
      <c r="A40" s="820" t="s">
        <v>1798</v>
      </c>
      <c r="B40" s="821"/>
      <c r="C40" s="823"/>
      <c r="D40" s="1797"/>
      <c r="E40" s="1801">
        <f>-'Contracts Paid in CY 29'!F142</f>
        <v>-1946620</v>
      </c>
      <c r="F40" s="1797"/>
      <c r="G40" s="1801">
        <f>-'Contracts Paid in CY 29'!F142</f>
        <v>-1946620</v>
      </c>
    </row>
    <row r="41" spans="1:7" ht="12" customHeight="1" x14ac:dyDescent="0.2">
      <c r="A41" s="828" t="s">
        <v>155</v>
      </c>
      <c r="B41" s="829"/>
      <c r="C41" s="830"/>
      <c r="D41" s="1801">
        <f>SUM(D19:D39)</f>
        <v>544336</v>
      </c>
      <c r="E41" s="1801">
        <f>SUM(E19:E40)</f>
        <v>17687612</v>
      </c>
      <c r="F41" s="1801">
        <f>SUM(F19:F39)</f>
        <v>2531417</v>
      </c>
      <c r="G41" s="1801">
        <f>SUM(G19:G40)</f>
        <v>15700531</v>
      </c>
    </row>
    <row r="42" spans="1:7" x14ac:dyDescent="0.2">
      <c r="A42" s="817"/>
      <c r="B42" s="157"/>
      <c r="C42" s="831"/>
      <c r="D42" s="2398" t="s">
        <v>519</v>
      </c>
      <c r="E42" s="2399"/>
      <c r="F42" s="832" t="s">
        <v>520</v>
      </c>
      <c r="G42" s="833"/>
    </row>
    <row r="43" spans="1:7" ht="12" customHeight="1" x14ac:dyDescent="0.2">
      <c r="A43" s="817"/>
      <c r="B43" s="157"/>
      <c r="C43" s="831"/>
      <c r="D43" s="1450" t="s">
        <v>470</v>
      </c>
      <c r="E43" s="1802">
        <f>D41</f>
        <v>544336</v>
      </c>
      <c r="F43" s="1450" t="s">
        <v>470</v>
      </c>
      <c r="G43" s="1802">
        <f>F41</f>
        <v>2531417</v>
      </c>
    </row>
    <row r="44" spans="1:7" ht="12" customHeight="1" x14ac:dyDescent="0.2">
      <c r="A44" s="817"/>
      <c r="B44" s="157"/>
      <c r="C44" s="831"/>
      <c r="D44" s="1450" t="s">
        <v>471</v>
      </c>
      <c r="E44" s="1802">
        <f>E41</f>
        <v>17687612</v>
      </c>
      <c r="F44" s="1450" t="s">
        <v>471</v>
      </c>
      <c r="G44" s="1802">
        <f>G41</f>
        <v>15700531</v>
      </c>
    </row>
    <row r="45" spans="1:7" ht="12" customHeight="1" x14ac:dyDescent="0.2">
      <c r="A45" s="817"/>
      <c r="B45" s="157"/>
      <c r="C45" s="157"/>
      <c r="D45" s="1451" t="s">
        <v>999</v>
      </c>
      <c r="E45" s="1803">
        <f>(E43/E44)</f>
        <v>3.0774985340022157E-2</v>
      </c>
      <c r="F45" s="1451" t="s">
        <v>999</v>
      </c>
      <c r="G45" s="1803">
        <f>(G43/G44)</f>
        <v>0.16123129848283474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E11" sqref="E11"/>
      <selection pane="bottomLeft" activeCell="E11" sqref="E11"/>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17" t="s">
        <v>1365</v>
      </c>
      <c r="B1" s="2417"/>
      <c r="C1" s="2417"/>
      <c r="D1" s="2417"/>
      <c r="E1" s="2417"/>
      <c r="F1" s="2417"/>
    </row>
    <row r="2" spans="1:15" x14ac:dyDescent="0.2">
      <c r="A2" s="1505" t="s">
        <v>1878</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18" t="s">
        <v>1532</v>
      </c>
      <c r="B5" s="2419"/>
      <c r="C5" s="2420"/>
      <c r="D5" s="2420"/>
      <c r="E5" s="2420"/>
      <c r="F5" s="2420"/>
      <c r="G5" s="1499"/>
      <c r="L5" s="1499"/>
      <c r="M5" s="1847"/>
      <c r="N5" s="1847"/>
      <c r="O5" s="1847"/>
    </row>
    <row r="6" spans="1:15" ht="12" customHeight="1" x14ac:dyDescent="0.25">
      <c r="A6" s="1472"/>
      <c r="B6" s="1473"/>
      <c r="C6" s="2421" t="str">
        <f>COVER!A17</f>
        <v>Massac County Community Unit S.D. #1</v>
      </c>
      <c r="D6" s="2421"/>
      <c r="E6" s="2421"/>
      <c r="F6" s="1474"/>
      <c r="G6" s="1499"/>
      <c r="L6" s="1499"/>
      <c r="M6" s="1847"/>
      <c r="N6" s="1847"/>
      <c r="O6" s="1847"/>
    </row>
    <row r="7" spans="1:15" ht="11.25" customHeight="1" thickBot="1" x14ac:dyDescent="0.3">
      <c r="A7" s="1472"/>
      <c r="B7" s="1473"/>
      <c r="C7" s="2422" t="str">
        <f>COVER!A13</f>
        <v>021-061-0010-26</v>
      </c>
      <c r="D7" s="2422"/>
      <c r="E7" s="2422"/>
      <c r="F7" s="1474"/>
      <c r="G7" s="1499"/>
      <c r="L7" s="1499"/>
      <c r="M7" s="1847"/>
      <c r="N7" s="1847"/>
      <c r="O7" s="1847"/>
    </row>
    <row r="8" spans="1:15" ht="25.5" customHeight="1" thickBot="1" x14ac:dyDescent="0.25">
      <c r="A8" s="1511" t="s">
        <v>1874</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2019</v>
      </c>
      <c r="D26" s="1487" t="s">
        <v>2019</v>
      </c>
      <c r="E26" s="1490"/>
      <c r="F26" s="1489" t="s">
        <v>2051</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t="s">
        <v>2019</v>
      </c>
      <c r="D31" s="1487" t="s">
        <v>2019</v>
      </c>
      <c r="E31" s="1490"/>
      <c r="F31" s="1489" t="s">
        <v>2052</v>
      </c>
      <c r="G31" s="1499"/>
      <c r="H31" s="1499">
        <f t="shared" si="0"/>
        <v>5</v>
      </c>
      <c r="I31" s="1499">
        <f t="shared" si="1"/>
        <v>5</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0</v>
      </c>
      <c r="K34" s="1499">
        <f>SUM(H34:J34)</f>
        <v>20</v>
      </c>
      <c r="L34" s="1499"/>
      <c r="M34" s="1847"/>
      <c r="N34" s="1847"/>
      <c r="O34" s="1847"/>
    </row>
    <row r="35" spans="1:15" ht="12" customHeight="1" x14ac:dyDescent="0.2">
      <c r="A35" s="1492" t="s">
        <v>1378</v>
      </c>
      <c r="B35" s="1493"/>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494"/>
      <c r="B39" s="1494"/>
      <c r="C39" s="1494"/>
      <c r="D39" s="1494"/>
      <c r="E39" s="1494"/>
      <c r="F39" s="1494"/>
    </row>
    <row r="40" spans="1:15" s="1491" customFormat="1" ht="12" customHeight="1" x14ac:dyDescent="0.25">
      <c r="A40" s="1495" t="s">
        <v>1377</v>
      </c>
      <c r="B40" s="1496"/>
      <c r="C40" s="2412"/>
      <c r="D40" s="2412"/>
      <c r="E40" s="2412"/>
      <c r="F40" s="2413"/>
      <c r="H40" s="1500"/>
      <c r="I40" s="1500"/>
      <c r="J40" s="1500"/>
      <c r="K40" s="1500"/>
    </row>
    <row r="41" spans="1:15" s="1491" customFormat="1" ht="12" customHeight="1" x14ac:dyDescent="0.25">
      <c r="A41" s="2414"/>
      <c r="B41" s="2415"/>
      <c r="C41" s="2415"/>
      <c r="D41" s="2415"/>
      <c r="E41" s="2415"/>
      <c r="F41" s="2416"/>
      <c r="H41" s="1500"/>
      <c r="I41" s="1500"/>
      <c r="J41" s="1500"/>
      <c r="K41" s="1500"/>
    </row>
    <row r="42" spans="1:15" s="1491" customFormat="1" ht="12" customHeight="1" x14ac:dyDescent="0.25">
      <c r="A42" s="2414"/>
      <c r="B42" s="2415"/>
      <c r="C42" s="2415"/>
      <c r="D42" s="2415"/>
      <c r="E42" s="2415"/>
      <c r="F42" s="2416"/>
      <c r="H42" s="1500"/>
      <c r="I42" s="1500"/>
      <c r="J42" s="1500"/>
      <c r="K42" s="1500"/>
    </row>
    <row r="43" spans="1:15" s="1491" customFormat="1" ht="15" x14ac:dyDescent="0.25">
      <c r="A43" s="2403"/>
      <c r="B43" s="2404"/>
      <c r="C43" s="2404"/>
      <c r="D43" s="2404"/>
      <c r="E43" s="2404"/>
      <c r="F43" s="2405"/>
      <c r="H43" s="1500"/>
      <c r="I43" s="1500"/>
      <c r="J43" s="1500"/>
      <c r="K43" s="1500"/>
    </row>
    <row r="44" spans="1:15" s="1491" customFormat="1" ht="12" hidden="1" customHeight="1" x14ac:dyDescent="0.25">
      <c r="A44" s="2403"/>
      <c r="B44" s="2404"/>
      <c r="C44" s="2404"/>
      <c r="D44" s="2404"/>
      <c r="E44" s="2404"/>
      <c r="F44" s="2405"/>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F816D-C9DC-46D9-A6CF-A04046EEBD63}">
  <sheetPr>
    <tabColor rgb="FF99FF33"/>
    <pageSetUpPr fitToPage="1"/>
  </sheetPr>
  <dimension ref="A1:N72"/>
  <sheetViews>
    <sheetView showGridLines="0" topLeftCell="A55" zoomScaleNormal="100" workbookViewId="0">
      <selection activeCell="E67" sqref="E67"/>
    </sheetView>
  </sheetViews>
  <sheetFormatPr defaultRowHeight="15" x14ac:dyDescent="0.25"/>
  <cols>
    <col min="1" max="1" width="2.7109375" style="1931" customWidth="1"/>
    <col min="2" max="2" width="3" style="1931" customWidth="1"/>
    <col min="3" max="3" width="38" style="1931" customWidth="1"/>
    <col min="4" max="4" width="7.7109375" style="1931" customWidth="1"/>
    <col min="5" max="5" width="10.7109375" style="1931" customWidth="1"/>
    <col min="6" max="6" width="11" style="1931" customWidth="1"/>
    <col min="7" max="8" width="9.140625" style="1931"/>
    <col min="9" max="9" width="10.85546875" style="1931" customWidth="1"/>
    <col min="10" max="10" width="12.42578125" style="1931" customWidth="1"/>
    <col min="11" max="11" width="9.140625" style="1931"/>
    <col min="12" max="12" width="13.140625" style="1931" customWidth="1"/>
    <col min="13" max="13" width="9.140625" style="1931"/>
    <col min="14" max="14" width="17.85546875" style="1931" customWidth="1"/>
    <col min="15" max="16384" width="9.140625" style="1931"/>
  </cols>
  <sheetData>
    <row r="1" spans="1:14" x14ac:dyDescent="0.25">
      <c r="A1" s="1926"/>
      <c r="B1" s="1927"/>
      <c r="C1" s="1927"/>
      <c r="D1" s="1927"/>
      <c r="E1" s="1927"/>
      <c r="F1" s="1927"/>
      <c r="G1" s="1928" t="s">
        <v>402</v>
      </c>
      <c r="H1" s="1929"/>
      <c r="I1" s="1927"/>
      <c r="J1" s="1927"/>
      <c r="K1" s="1927"/>
      <c r="L1" s="1927"/>
      <c r="M1" s="1927"/>
      <c r="N1" s="1930"/>
    </row>
    <row r="2" spans="1:14" x14ac:dyDescent="0.25">
      <c r="A2" s="1932"/>
      <c r="B2" s="846"/>
      <c r="C2" s="846"/>
      <c r="D2" s="846"/>
      <c r="E2" s="846"/>
      <c r="F2" s="846"/>
      <c r="G2" s="1925" t="s">
        <v>2002</v>
      </c>
      <c r="H2" s="1933"/>
      <c r="I2" s="846"/>
      <c r="J2" s="846"/>
      <c r="K2" s="846"/>
      <c r="L2" s="846"/>
      <c r="M2" s="846"/>
      <c r="N2" s="1934"/>
    </row>
    <row r="3" spans="1:14" x14ac:dyDescent="0.25">
      <c r="A3" s="1932"/>
      <c r="B3" s="846"/>
      <c r="C3" s="846"/>
      <c r="D3" s="846"/>
      <c r="E3" s="846"/>
      <c r="F3" s="846"/>
      <c r="G3" s="1925" t="s">
        <v>403</v>
      </c>
      <c r="H3" s="846"/>
      <c r="I3" s="846"/>
      <c r="J3" s="846"/>
      <c r="K3" s="846"/>
      <c r="L3" s="846"/>
      <c r="M3" s="846"/>
      <c r="N3" s="1934"/>
    </row>
    <row r="4" spans="1:14" x14ac:dyDescent="0.25">
      <c r="A4" s="1932"/>
      <c r="B4" s="846"/>
      <c r="C4" s="846"/>
      <c r="D4" s="846"/>
      <c r="E4" s="846"/>
      <c r="F4" s="846"/>
      <c r="G4" s="1925" t="s">
        <v>863</v>
      </c>
      <c r="H4" s="846"/>
      <c r="I4" s="846"/>
      <c r="J4" s="846"/>
      <c r="K4" s="846"/>
      <c r="L4" s="846"/>
      <c r="M4" s="846"/>
      <c r="N4" s="1934"/>
    </row>
    <row r="5" spans="1:14" x14ac:dyDescent="0.25">
      <c r="A5" s="1932"/>
      <c r="B5" s="846"/>
      <c r="C5" s="846"/>
      <c r="D5" s="846"/>
      <c r="E5" s="846"/>
      <c r="F5" s="1925"/>
      <c r="G5" s="1925"/>
      <c r="H5" s="846"/>
      <c r="I5" s="846"/>
      <c r="J5" s="846"/>
      <c r="K5" s="846"/>
      <c r="L5" s="846"/>
      <c r="M5" s="846"/>
      <c r="N5" s="1934"/>
    </row>
    <row r="6" spans="1:14" x14ac:dyDescent="0.25">
      <c r="A6" s="1935" t="s">
        <v>667</v>
      </c>
      <c r="B6" s="1369"/>
      <c r="C6" s="1369"/>
      <c r="D6" s="1369"/>
      <c r="E6" s="1370"/>
      <c r="F6" s="1936"/>
      <c r="G6" s="1925"/>
      <c r="H6" s="846"/>
      <c r="I6" s="1937" t="s">
        <v>1021</v>
      </c>
      <c r="J6" s="2427" t="str">
        <f>COVER!A17</f>
        <v>Massac County Community Unit S.D. #1</v>
      </c>
      <c r="K6" s="2427"/>
      <c r="L6" s="2428"/>
      <c r="M6" s="846"/>
      <c r="N6" s="1934"/>
    </row>
    <row r="7" spans="1:14" x14ac:dyDescent="0.25">
      <c r="A7" s="2429" t="s">
        <v>864</v>
      </c>
      <c r="B7" s="2430"/>
      <c r="C7" s="2430"/>
      <c r="D7" s="2430"/>
      <c r="E7" s="2431"/>
      <c r="F7" s="1938"/>
      <c r="G7" s="846"/>
      <c r="H7" s="846"/>
      <c r="I7" s="1937" t="s">
        <v>369</v>
      </c>
      <c r="J7" s="2432" t="str">
        <f>COVER!A13</f>
        <v>021-061-0010-26</v>
      </c>
      <c r="K7" s="2432"/>
      <c r="L7" s="2432"/>
      <c r="M7" s="846"/>
      <c r="N7" s="1934"/>
    </row>
    <row r="8" spans="1:14" x14ac:dyDescent="0.25">
      <c r="A8" s="1939"/>
      <c r="B8" s="1940"/>
      <c r="C8" s="1940"/>
      <c r="D8" s="1940"/>
      <c r="E8" s="1941"/>
      <c r="F8" s="1942"/>
      <c r="G8" s="1943"/>
      <c r="H8" s="1943"/>
      <c r="I8" s="1943"/>
      <c r="J8" s="1943"/>
      <c r="K8" s="1943"/>
      <c r="L8" s="1943"/>
      <c r="M8" s="846"/>
      <c r="N8" s="1934"/>
    </row>
    <row r="9" spans="1:14" x14ac:dyDescent="0.25">
      <c r="A9" s="1944"/>
      <c r="B9" s="1945"/>
      <c r="C9" s="1945"/>
      <c r="D9" s="1946"/>
      <c r="E9" s="1947" t="s">
        <v>2177</v>
      </c>
      <c r="F9" s="1948"/>
      <c r="G9" s="1948"/>
      <c r="H9" s="1948"/>
      <c r="I9" s="1949" t="s">
        <v>2178</v>
      </c>
      <c r="J9" s="1948"/>
      <c r="K9" s="1948"/>
      <c r="L9" s="1950"/>
      <c r="M9" s="846"/>
      <c r="N9" s="1934"/>
    </row>
    <row r="10" spans="1:14" x14ac:dyDescent="0.25">
      <c r="A10" s="1932"/>
      <c r="B10" s="846"/>
      <c r="C10" s="1925"/>
      <c r="D10" s="1951"/>
      <c r="E10" s="1952" t="s">
        <v>422</v>
      </c>
      <c r="F10" s="1953" t="s">
        <v>423</v>
      </c>
      <c r="G10" s="1954" t="s">
        <v>429</v>
      </c>
      <c r="H10" s="1955"/>
      <c r="I10" s="1953" t="s">
        <v>422</v>
      </c>
      <c r="J10" s="1953" t="s">
        <v>423</v>
      </c>
      <c r="K10" s="1954" t="s">
        <v>429</v>
      </c>
      <c r="L10" s="1953"/>
      <c r="M10" s="846"/>
      <c r="N10" s="1934"/>
    </row>
    <row r="11" spans="1:14" ht="51" x14ac:dyDescent="0.25">
      <c r="A11" s="2433" t="s">
        <v>478</v>
      </c>
      <c r="B11" s="2434"/>
      <c r="C11" s="2435"/>
      <c r="D11" s="1956" t="s">
        <v>866</v>
      </c>
      <c r="E11" s="1956" t="s">
        <v>64</v>
      </c>
      <c r="F11" s="1956" t="s">
        <v>6</v>
      </c>
      <c r="G11" s="1957" t="s">
        <v>2179</v>
      </c>
      <c r="H11" s="1958" t="s">
        <v>155</v>
      </c>
      <c r="I11" s="1956" t="s">
        <v>64</v>
      </c>
      <c r="J11" s="1956" t="s">
        <v>6</v>
      </c>
      <c r="K11" s="1957" t="s">
        <v>2001</v>
      </c>
      <c r="L11" s="1958" t="s">
        <v>155</v>
      </c>
      <c r="M11" s="846"/>
      <c r="N11" s="1934"/>
    </row>
    <row r="12" spans="1:14" x14ac:dyDescent="0.25">
      <c r="A12" s="1959">
        <v>1</v>
      </c>
      <c r="B12" s="1960" t="s">
        <v>813</v>
      </c>
      <c r="C12" s="1961"/>
      <c r="D12" s="1962">
        <v>2320</v>
      </c>
      <c r="E12" s="1963">
        <f>'Expenditures 15-22'!K50</f>
        <v>150390</v>
      </c>
      <c r="F12" s="1964"/>
      <c r="G12" s="1965">
        <f>G68</f>
        <v>0</v>
      </c>
      <c r="H12" s="1966">
        <f t="shared" ref="H12:H18" si="0">SUM(E12:G12)</f>
        <v>150390</v>
      </c>
      <c r="I12" s="1967">
        <v>155259</v>
      </c>
      <c r="J12" s="1964"/>
      <c r="K12" s="1967"/>
      <c r="L12" s="1966">
        <f t="shared" ref="L12:L18" si="1">SUM(I12:K12)</f>
        <v>155259</v>
      </c>
      <c r="M12" s="846"/>
      <c r="N12" s="1934"/>
    </row>
    <row r="13" spans="1:14" x14ac:dyDescent="0.25">
      <c r="A13" s="1959">
        <v>2</v>
      </c>
      <c r="B13" s="1960" t="s">
        <v>42</v>
      </c>
      <c r="C13" s="1961"/>
      <c r="D13" s="1962">
        <v>2330</v>
      </c>
      <c r="E13" s="1963">
        <f>'Expenditures 15-22'!K51</f>
        <v>21060</v>
      </c>
      <c r="F13" s="1964"/>
      <c r="G13" s="1965">
        <f>H68</f>
        <v>0</v>
      </c>
      <c r="H13" s="1966">
        <f t="shared" si="0"/>
        <v>21060</v>
      </c>
      <c r="I13" s="1967">
        <v>26422</v>
      </c>
      <c r="J13" s="1964"/>
      <c r="K13" s="1967"/>
      <c r="L13" s="1966">
        <f t="shared" si="1"/>
        <v>26422</v>
      </c>
      <c r="M13" s="846"/>
      <c r="N13" s="1934"/>
    </row>
    <row r="14" spans="1:14" x14ac:dyDescent="0.25">
      <c r="A14" s="1959">
        <v>3</v>
      </c>
      <c r="B14" s="1960" t="s">
        <v>43</v>
      </c>
      <c r="C14" s="1961"/>
      <c r="D14" s="1968">
        <v>2490</v>
      </c>
      <c r="E14" s="1963">
        <f>'Expenditures 15-22'!K56</f>
        <v>3883</v>
      </c>
      <c r="F14" s="1964"/>
      <c r="G14" s="1965">
        <f>I68</f>
        <v>0</v>
      </c>
      <c r="H14" s="1966">
        <f t="shared" si="0"/>
        <v>3883</v>
      </c>
      <c r="I14" s="1967">
        <v>4160</v>
      </c>
      <c r="J14" s="1964"/>
      <c r="K14" s="1967"/>
      <c r="L14" s="1966">
        <f t="shared" si="1"/>
        <v>4160</v>
      </c>
      <c r="M14" s="846"/>
      <c r="N14" s="1934"/>
    </row>
    <row r="15" spans="1:14" x14ac:dyDescent="0.25">
      <c r="A15" s="1959">
        <v>4</v>
      </c>
      <c r="B15" s="1960" t="s">
        <v>1061</v>
      </c>
      <c r="C15" s="1961"/>
      <c r="D15" s="1962">
        <v>2510</v>
      </c>
      <c r="E15" s="1963">
        <f>'Expenditures 15-22'!K59</f>
        <v>0</v>
      </c>
      <c r="F15" s="1963">
        <f>'Expenditures 15-22'!K122</f>
        <v>0</v>
      </c>
      <c r="G15" s="1965">
        <f>J68</f>
        <v>0</v>
      </c>
      <c r="H15" s="1966">
        <f t="shared" si="0"/>
        <v>0</v>
      </c>
      <c r="I15" s="1967"/>
      <c r="J15" s="1967"/>
      <c r="K15" s="1967"/>
      <c r="L15" s="1966">
        <f t="shared" si="1"/>
        <v>0</v>
      </c>
      <c r="M15" s="846"/>
      <c r="N15" s="1934"/>
    </row>
    <row r="16" spans="1:14" x14ac:dyDescent="0.25">
      <c r="A16" s="1959">
        <v>5</v>
      </c>
      <c r="B16" s="1960" t="s">
        <v>101</v>
      </c>
      <c r="C16" s="1961"/>
      <c r="D16" s="1962">
        <v>2570</v>
      </c>
      <c r="E16" s="1963">
        <f>'Expenditures 15-22'!K64</f>
        <v>0</v>
      </c>
      <c r="F16" s="1964"/>
      <c r="G16" s="1965">
        <f>K68</f>
        <v>0</v>
      </c>
      <c r="H16" s="1966">
        <f t="shared" si="0"/>
        <v>0</v>
      </c>
      <c r="I16" s="1967">
        <v>1000</v>
      </c>
      <c r="J16" s="1964"/>
      <c r="K16" s="1967"/>
      <c r="L16" s="1966">
        <f t="shared" si="1"/>
        <v>1000</v>
      </c>
      <c r="M16" s="846"/>
      <c r="N16" s="1934"/>
    </row>
    <row r="17" spans="1:14" x14ac:dyDescent="0.25">
      <c r="A17" s="1959">
        <v>6</v>
      </c>
      <c r="B17" s="1960" t="s">
        <v>1053</v>
      </c>
      <c r="C17" s="1961"/>
      <c r="D17" s="1962">
        <v>2610</v>
      </c>
      <c r="E17" s="1963">
        <f>'Expenditures 15-22'!K67</f>
        <v>0</v>
      </c>
      <c r="F17" s="1964"/>
      <c r="G17" s="1965">
        <f>L68</f>
        <v>0</v>
      </c>
      <c r="H17" s="1966">
        <f t="shared" si="0"/>
        <v>0</v>
      </c>
      <c r="I17" s="1967">
        <v>4800</v>
      </c>
      <c r="J17" s="1964"/>
      <c r="K17" s="1967"/>
      <c r="L17" s="1966">
        <f t="shared" si="1"/>
        <v>4800</v>
      </c>
      <c r="M17" s="846"/>
      <c r="N17" s="1934"/>
    </row>
    <row r="18" spans="1:14" ht="28.5" customHeight="1" x14ac:dyDescent="0.25">
      <c r="A18" s="1969">
        <v>7</v>
      </c>
      <c r="B18" s="2436" t="s">
        <v>7</v>
      </c>
      <c r="C18" s="2436"/>
      <c r="D18" s="2437"/>
      <c r="E18" s="1967"/>
      <c r="F18" s="1967"/>
      <c r="G18" s="1967"/>
      <c r="H18" s="1966">
        <f t="shared" si="0"/>
        <v>0</v>
      </c>
      <c r="I18" s="1967"/>
      <c r="J18" s="1967"/>
      <c r="K18" s="1967"/>
      <c r="L18" s="1966">
        <f t="shared" si="1"/>
        <v>0</v>
      </c>
      <c r="M18" s="846"/>
      <c r="N18" s="1934"/>
    </row>
    <row r="19" spans="1:14" ht="15.75" thickBot="1" x14ac:dyDescent="0.3">
      <c r="A19" s="1959">
        <v>8</v>
      </c>
      <c r="B19" s="1970" t="s">
        <v>1153</v>
      </c>
      <c r="C19" s="846"/>
      <c r="D19" s="1971"/>
      <c r="E19" s="1972">
        <f t="shared" ref="E19:L19" si="2">SUM(E12:E17)-E18</f>
        <v>175333</v>
      </c>
      <c r="F19" s="1972">
        <f t="shared" si="2"/>
        <v>0</v>
      </c>
      <c r="G19" s="1972">
        <f t="shared" ref="G19" si="3">SUM(G12:G17)-G18</f>
        <v>0</v>
      </c>
      <c r="H19" s="1972">
        <f t="shared" si="2"/>
        <v>175333</v>
      </c>
      <c r="I19" s="1972">
        <f t="shared" si="2"/>
        <v>191641</v>
      </c>
      <c r="J19" s="1972">
        <f t="shared" si="2"/>
        <v>0</v>
      </c>
      <c r="K19" s="1972">
        <f t="shared" si="2"/>
        <v>0</v>
      </c>
      <c r="L19" s="1972">
        <f t="shared" si="2"/>
        <v>191641</v>
      </c>
      <c r="M19" s="846"/>
      <c r="N19" s="1934"/>
    </row>
    <row r="20" spans="1:14" ht="15.75" thickTop="1" x14ac:dyDescent="0.25">
      <c r="A20" s="1959">
        <v>9</v>
      </c>
      <c r="B20" s="2425" t="s">
        <v>2180</v>
      </c>
      <c r="C20" s="2425"/>
      <c r="D20" s="2426"/>
      <c r="E20" s="1973"/>
      <c r="F20" s="1973"/>
      <c r="G20" s="1973"/>
      <c r="H20" s="1973"/>
      <c r="I20" s="1973"/>
      <c r="J20" s="1973"/>
      <c r="K20" s="1973"/>
      <c r="L20" s="1974">
        <f>IF(AND(H19&gt;0,L19&gt;0),(((L19-H19)/H19)),"Enter Budget Data")</f>
        <v>9.3011583672212308E-2</v>
      </c>
      <c r="M20" s="846"/>
      <c r="N20" s="1934"/>
    </row>
    <row r="21" spans="1:14" x14ac:dyDescent="0.25">
      <c r="A21" s="1975" t="s">
        <v>194</v>
      </c>
      <c r="B21" s="294" t="s">
        <v>2181</v>
      </c>
      <c r="C21" s="846"/>
      <c r="D21" s="1976"/>
      <c r="E21" s="1977"/>
      <c r="F21" s="1978"/>
      <c r="G21" s="1978"/>
      <c r="H21" s="1978"/>
      <c r="I21" s="1978"/>
      <c r="J21" s="1978"/>
      <c r="K21" s="1978"/>
      <c r="L21" s="1979"/>
      <c r="M21" s="846"/>
      <c r="N21" s="1934"/>
    </row>
    <row r="22" spans="1:14" x14ac:dyDescent="0.25">
      <c r="A22" s="1932"/>
      <c r="B22" s="1980"/>
      <c r="C22" s="846"/>
      <c r="D22" s="846"/>
      <c r="E22" s="846"/>
      <c r="F22" s="846"/>
      <c r="G22" s="846"/>
      <c r="H22" s="846"/>
      <c r="I22" s="846"/>
      <c r="J22" s="846"/>
      <c r="K22" s="846"/>
      <c r="L22" s="846"/>
      <c r="M22" s="846"/>
      <c r="N22" s="1934"/>
    </row>
    <row r="23" spans="1:14" x14ac:dyDescent="0.25">
      <c r="A23" s="1981" t="s">
        <v>132</v>
      </c>
      <c r="B23" s="1980"/>
      <c r="C23" s="846"/>
      <c r="D23" s="846"/>
      <c r="E23" s="846"/>
      <c r="F23" s="846"/>
      <c r="G23" s="846"/>
      <c r="H23" s="846"/>
      <c r="I23" s="846"/>
      <c r="J23" s="846"/>
      <c r="K23" s="846"/>
      <c r="L23" s="846"/>
      <c r="M23" s="846"/>
      <c r="N23" s="1934"/>
    </row>
    <row r="24" spans="1:14" x14ac:dyDescent="0.25">
      <c r="A24" s="1982" t="s">
        <v>2182</v>
      </c>
      <c r="B24" s="1983"/>
      <c r="C24" s="1984"/>
      <c r="D24" s="1984"/>
      <c r="E24" s="1984"/>
      <c r="F24" s="1984"/>
      <c r="G24" s="1984"/>
      <c r="H24" s="1984"/>
      <c r="I24" s="1984"/>
      <c r="J24" s="1984"/>
      <c r="K24" s="1984"/>
      <c r="L24" s="846"/>
      <c r="M24" s="846"/>
      <c r="N24" s="1934"/>
    </row>
    <row r="25" spans="1:14" x14ac:dyDescent="0.25">
      <c r="A25" s="1982" t="s">
        <v>2183</v>
      </c>
      <c r="B25" s="1983"/>
      <c r="C25" s="1984"/>
      <c r="D25" s="1984"/>
      <c r="E25" s="1984"/>
      <c r="F25" s="1984"/>
      <c r="G25" s="1984"/>
      <c r="H25" s="1984"/>
      <c r="I25" s="1984"/>
      <c r="J25" s="1984"/>
      <c r="K25" s="1984"/>
      <c r="L25" s="846"/>
      <c r="M25" s="846"/>
      <c r="N25" s="1934"/>
    </row>
    <row r="26" spans="1:14" x14ac:dyDescent="0.25">
      <c r="A26" s="1985"/>
      <c r="B26" s="1980"/>
      <c r="C26" s="846"/>
      <c r="D26" s="846"/>
      <c r="E26" s="846"/>
      <c r="F26" s="846"/>
      <c r="G26" s="846"/>
      <c r="H26" s="846"/>
      <c r="I26" s="846"/>
      <c r="J26" s="846"/>
      <c r="K26" s="846"/>
      <c r="L26" s="846"/>
      <c r="M26" s="846"/>
      <c r="N26" s="1934"/>
    </row>
    <row r="27" spans="1:14" x14ac:dyDescent="0.25">
      <c r="A27" s="1932"/>
      <c r="B27" s="1980"/>
      <c r="C27" s="2440"/>
      <c r="D27" s="2440"/>
      <c r="E27" s="1986"/>
      <c r="F27" s="2441"/>
      <c r="G27" s="2441"/>
      <c r="H27" s="2441"/>
      <c r="I27" s="846"/>
      <c r="J27" s="846"/>
      <c r="K27" s="846"/>
      <c r="L27" s="846"/>
      <c r="M27" s="846"/>
      <c r="N27" s="1934"/>
    </row>
    <row r="28" spans="1:14" x14ac:dyDescent="0.25">
      <c r="A28" s="1932"/>
      <c r="B28" s="1980"/>
      <c r="C28" s="1987" t="s">
        <v>1026</v>
      </c>
      <c r="D28" s="1988"/>
      <c r="E28" s="1989"/>
      <c r="F28" s="2442" t="s">
        <v>1495</v>
      </c>
      <c r="G28" s="2442"/>
      <c r="H28" s="2442"/>
      <c r="I28" s="846"/>
      <c r="J28" s="846"/>
      <c r="K28" s="846"/>
      <c r="L28" s="846"/>
      <c r="M28" s="846"/>
      <c r="N28" s="1934"/>
    </row>
    <row r="29" spans="1:14" x14ac:dyDescent="0.25">
      <c r="A29" s="1932"/>
      <c r="B29" s="1980"/>
      <c r="C29" s="2443"/>
      <c r="D29" s="2443"/>
      <c r="E29" s="845"/>
      <c r="F29" s="2443"/>
      <c r="G29" s="2443"/>
      <c r="H29" s="2443"/>
      <c r="I29" s="846"/>
      <c r="J29" s="846"/>
      <c r="K29" s="846"/>
      <c r="L29" s="846"/>
      <c r="M29" s="846"/>
      <c r="N29" s="1934"/>
    </row>
    <row r="30" spans="1:14" x14ac:dyDescent="0.25">
      <c r="A30" s="1932"/>
      <c r="B30" s="1980"/>
      <c r="C30" s="1990" t="s">
        <v>1547</v>
      </c>
      <c r="D30" s="846"/>
      <c r="E30" s="1991"/>
      <c r="F30" s="2444" t="s">
        <v>1496</v>
      </c>
      <c r="G30" s="2444"/>
      <c r="H30" s="2444"/>
      <c r="I30" s="846"/>
      <c r="J30" s="846"/>
      <c r="K30" s="846"/>
      <c r="L30" s="846"/>
      <c r="M30" s="846"/>
      <c r="N30" s="1934"/>
    </row>
    <row r="31" spans="1:14" x14ac:dyDescent="0.25">
      <c r="A31" s="1932"/>
      <c r="B31" s="1980"/>
      <c r="C31" s="1992"/>
      <c r="D31" s="846"/>
      <c r="E31" s="1976"/>
      <c r="F31" s="1977"/>
      <c r="G31" s="1977"/>
      <c r="H31" s="1977"/>
      <c r="I31" s="846"/>
      <c r="J31" s="846"/>
      <c r="K31" s="846"/>
      <c r="L31" s="846"/>
      <c r="M31" s="846"/>
      <c r="N31" s="1934"/>
    </row>
    <row r="32" spans="1:14" x14ac:dyDescent="0.25">
      <c r="A32" s="1932"/>
      <c r="B32" s="1993" t="s">
        <v>1027</v>
      </c>
      <c r="C32" s="846"/>
      <c r="D32" s="846"/>
      <c r="E32" s="846"/>
      <c r="F32" s="846"/>
      <c r="G32" s="846"/>
      <c r="H32" s="846"/>
      <c r="I32" s="846"/>
      <c r="J32" s="846"/>
      <c r="K32" s="846"/>
      <c r="L32" s="846"/>
      <c r="M32" s="846"/>
      <c r="N32" s="1934"/>
    </row>
    <row r="33" spans="1:14" x14ac:dyDescent="0.25">
      <c r="A33" s="1932"/>
      <c r="B33" s="1994"/>
      <c r="C33" s="846"/>
      <c r="D33" s="846"/>
      <c r="E33" s="846"/>
      <c r="F33" s="846"/>
      <c r="G33" s="846"/>
      <c r="H33" s="846"/>
      <c r="I33" s="846"/>
      <c r="J33" s="846"/>
      <c r="K33" s="846"/>
      <c r="L33" s="846"/>
      <c r="M33" s="846"/>
      <c r="N33" s="1934"/>
    </row>
    <row r="34" spans="1:14" x14ac:dyDescent="0.25">
      <c r="A34" s="1932"/>
      <c r="B34" s="1995"/>
      <c r="C34" s="2445" t="s">
        <v>2184</v>
      </c>
      <c r="D34" s="2445"/>
      <c r="E34" s="2445"/>
      <c r="F34" s="2445"/>
      <c r="G34" s="2445"/>
      <c r="H34" s="2445"/>
      <c r="I34" s="2445"/>
      <c r="J34" s="2445"/>
      <c r="K34" s="1996"/>
      <c r="L34" s="846"/>
      <c r="M34" s="846"/>
      <c r="N34" s="1934"/>
    </row>
    <row r="35" spans="1:14" x14ac:dyDescent="0.25">
      <c r="A35" s="1932"/>
      <c r="B35" s="846"/>
      <c r="C35" s="2445"/>
      <c r="D35" s="2445"/>
      <c r="E35" s="2445"/>
      <c r="F35" s="2445"/>
      <c r="G35" s="2445"/>
      <c r="H35" s="2445"/>
      <c r="I35" s="2445"/>
      <c r="J35" s="2445"/>
      <c r="K35" s="1996"/>
      <c r="L35" s="846"/>
      <c r="M35" s="846"/>
      <c r="N35" s="1934"/>
    </row>
    <row r="36" spans="1:14" x14ac:dyDescent="0.25">
      <c r="A36" s="1932"/>
      <c r="B36" s="846"/>
      <c r="C36" s="1997"/>
      <c r="D36" s="846"/>
      <c r="E36" s="846"/>
      <c r="F36" s="846"/>
      <c r="G36" s="846"/>
      <c r="H36" s="846"/>
      <c r="I36" s="846"/>
      <c r="J36" s="846"/>
      <c r="K36" s="846"/>
      <c r="L36" s="846"/>
      <c r="M36" s="846"/>
      <c r="N36" s="1934"/>
    </row>
    <row r="37" spans="1:14" x14ac:dyDescent="0.25">
      <c r="A37" s="1932"/>
      <c r="B37" s="1995"/>
      <c r="C37" s="2445" t="s">
        <v>2185</v>
      </c>
      <c r="D37" s="2445"/>
      <c r="E37" s="2445"/>
      <c r="F37" s="2445"/>
      <c r="G37" s="2445"/>
      <c r="H37" s="2445"/>
      <c r="I37" s="2445"/>
      <c r="J37" s="2445"/>
      <c r="K37" s="1996"/>
      <c r="L37" s="838"/>
      <c r="M37" s="846"/>
      <c r="N37" s="1934"/>
    </row>
    <row r="38" spans="1:14" x14ac:dyDescent="0.25">
      <c r="A38" s="1932"/>
      <c r="B38" s="846"/>
      <c r="C38" s="2445"/>
      <c r="D38" s="2445"/>
      <c r="E38" s="2445"/>
      <c r="F38" s="2445"/>
      <c r="G38" s="2445"/>
      <c r="H38" s="2445"/>
      <c r="I38" s="2445"/>
      <c r="J38" s="2445"/>
      <c r="K38" s="1996"/>
      <c r="L38" s="838"/>
      <c r="M38" s="846"/>
      <c r="N38" s="1934"/>
    </row>
    <row r="39" spans="1:14" x14ac:dyDescent="0.25">
      <c r="A39" s="1932"/>
      <c r="B39" s="846"/>
      <c r="C39" s="1997"/>
      <c r="D39" s="846"/>
      <c r="E39" s="1998"/>
      <c r="F39" s="1999"/>
      <c r="G39" s="1999"/>
      <c r="H39" s="1998"/>
      <c r="I39" s="846"/>
      <c r="J39" s="846"/>
      <c r="K39" s="846"/>
      <c r="L39" s="846"/>
      <c r="M39" s="846"/>
      <c r="N39" s="1934"/>
    </row>
    <row r="40" spans="1:14" x14ac:dyDescent="0.25">
      <c r="A40" s="1932"/>
      <c r="B40" s="1995"/>
      <c r="C40" s="2446" t="s">
        <v>2186</v>
      </c>
      <c r="D40" s="2447"/>
      <c r="E40" s="2447"/>
      <c r="F40" s="2447"/>
      <c r="G40" s="2447"/>
      <c r="H40" s="2447"/>
      <c r="I40" s="2447"/>
      <c r="J40" s="2447"/>
      <c r="K40" s="2000"/>
      <c r="L40" s="846"/>
      <c r="M40" s="846"/>
      <c r="N40" s="1934"/>
    </row>
    <row r="41" spans="1:14" x14ac:dyDescent="0.25">
      <c r="A41" s="1932"/>
      <c r="B41" s="846"/>
      <c r="C41" s="839"/>
      <c r="D41" s="839"/>
      <c r="E41" s="839"/>
      <c r="F41" s="839"/>
      <c r="G41" s="839"/>
      <c r="H41" s="839"/>
      <c r="I41" s="839"/>
      <c r="J41" s="839"/>
      <c r="K41" s="839"/>
      <c r="L41" s="846"/>
      <c r="M41" s="846"/>
      <c r="N41" s="1934"/>
    </row>
    <row r="42" spans="1:14" ht="15.75" thickBot="1" x14ac:dyDescent="0.3">
      <c r="A42" s="2001"/>
      <c r="B42" s="2002"/>
      <c r="C42" s="2002"/>
      <c r="D42" s="2002"/>
      <c r="E42" s="2002"/>
      <c r="F42" s="2002"/>
      <c r="G42" s="2002"/>
      <c r="H42" s="2002"/>
      <c r="I42" s="2002"/>
      <c r="J42" s="2002"/>
      <c r="K42" s="2002"/>
      <c r="L42" s="2002"/>
      <c r="M42" s="2002"/>
      <c r="N42" s="2003"/>
    </row>
    <row r="43" spans="1:14" ht="27" thickBot="1" x14ac:dyDescent="0.45">
      <c r="A43" s="2448" t="s">
        <v>2187</v>
      </c>
      <c r="B43" s="2449"/>
      <c r="C43" s="2449"/>
      <c r="D43" s="2449"/>
      <c r="E43" s="2449"/>
      <c r="F43" s="2449"/>
      <c r="G43" s="2449"/>
      <c r="H43" s="2449"/>
      <c r="I43" s="2449"/>
      <c r="J43" s="2449"/>
      <c r="K43" s="2449"/>
      <c r="L43" s="2449"/>
      <c r="M43" s="2449"/>
      <c r="N43" s="2450"/>
    </row>
    <row r="44" spans="1:14" x14ac:dyDescent="0.25">
      <c r="A44" s="2004"/>
      <c r="B44" s="2005"/>
      <c r="C44" s="2005"/>
      <c r="D44" s="2005"/>
      <c r="E44" s="2005"/>
      <c r="F44" s="2005"/>
      <c r="G44" s="2005"/>
      <c r="H44" s="2005"/>
      <c r="I44" s="2005"/>
      <c r="J44" s="2005"/>
      <c r="K44" s="2005"/>
      <c r="L44" s="2005"/>
      <c r="M44" s="2005"/>
      <c r="N44" s="2006"/>
    </row>
    <row r="45" spans="1:14" x14ac:dyDescent="0.25">
      <c r="A45" s="2004" t="s">
        <v>2188</v>
      </c>
      <c r="B45" s="2005"/>
      <c r="C45" s="2005"/>
      <c r="D45" s="2005"/>
      <c r="E45" s="2005"/>
      <c r="F45" s="2005"/>
      <c r="G45" s="2005"/>
      <c r="H45" s="2005"/>
      <c r="I45" s="2005"/>
      <c r="J45" s="2005"/>
      <c r="K45" s="2005"/>
      <c r="L45" s="2005"/>
      <c r="M45" s="2005"/>
      <c r="N45" s="2006"/>
    </row>
    <row r="46" spans="1:14" x14ac:dyDescent="0.25">
      <c r="A46" s="2451" t="s">
        <v>2189</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2007"/>
      <c r="B48" s="2005"/>
      <c r="C48" s="2005"/>
      <c r="D48" s="2008"/>
      <c r="E48" s="2008"/>
      <c r="F48" s="2008"/>
      <c r="G48" s="2008"/>
      <c r="H48" s="2008"/>
      <c r="I48" s="2008"/>
      <c r="J48" s="2008"/>
      <c r="K48" s="2008"/>
      <c r="L48" s="2008"/>
      <c r="M48" s="2008"/>
      <c r="N48" s="2009"/>
    </row>
    <row r="49" spans="1:14" ht="15.75" x14ac:dyDescent="0.25">
      <c r="A49" s="2010" t="s">
        <v>2190</v>
      </c>
      <c r="B49" s="2011"/>
      <c r="C49" s="2011"/>
      <c r="D49" s="2012"/>
      <c r="E49" s="2012"/>
      <c r="F49" s="2012"/>
      <c r="G49" s="2012"/>
      <c r="H49" s="2012"/>
      <c r="I49" s="2012"/>
      <c r="J49" s="2012"/>
      <c r="K49" s="2012"/>
      <c r="L49" s="2012"/>
      <c r="M49" s="2012"/>
      <c r="N49" s="2013"/>
    </row>
    <row r="50" spans="1:14" x14ac:dyDescent="0.25">
      <c r="A50" s="2010" t="s">
        <v>2191</v>
      </c>
      <c r="B50" s="2005"/>
      <c r="C50" s="2005"/>
      <c r="D50" s="2005"/>
      <c r="E50" s="2005"/>
      <c r="F50" s="2005"/>
      <c r="G50" s="2005"/>
      <c r="H50" s="2005"/>
      <c r="I50" s="2005"/>
      <c r="J50" s="2005"/>
      <c r="K50" s="2005"/>
      <c r="L50" s="2005"/>
      <c r="M50" s="2005"/>
      <c r="N50" s="2006"/>
    </row>
    <row r="51" spans="1:14" x14ac:dyDescent="0.25">
      <c r="A51" s="2004"/>
      <c r="B51" s="2005"/>
      <c r="C51" s="2005"/>
      <c r="D51" s="2005"/>
      <c r="E51" s="2005"/>
      <c r="F51" s="2005"/>
      <c r="G51" s="2005"/>
      <c r="H51" s="2005"/>
      <c r="I51" s="2005"/>
      <c r="J51" s="2005"/>
      <c r="K51" s="2005"/>
      <c r="L51" s="2005"/>
      <c r="M51" s="2005"/>
      <c r="N51" s="2006"/>
    </row>
    <row r="52" spans="1:14" x14ac:dyDescent="0.25">
      <c r="A52" s="2004"/>
      <c r="B52" s="2005"/>
      <c r="C52" s="2005"/>
      <c r="D52" s="2005"/>
      <c r="E52" s="2005"/>
      <c r="F52" s="2005"/>
      <c r="G52" s="2005"/>
      <c r="H52" s="2005"/>
      <c r="I52" s="2005"/>
      <c r="J52" s="2005"/>
      <c r="K52" s="1937" t="s">
        <v>1021</v>
      </c>
      <c r="L52" s="2438" t="str">
        <f>J6</f>
        <v>Massac County Community Unit S.D. #1</v>
      </c>
      <c r="M52" s="2438"/>
      <c r="N52" s="2439"/>
    </row>
    <row r="53" spans="1:14" x14ac:dyDescent="0.25">
      <c r="A53" s="2004"/>
      <c r="B53" s="2005"/>
      <c r="C53" s="2005"/>
      <c r="D53" s="2005"/>
      <c r="E53" s="2005"/>
      <c r="F53" s="2005"/>
      <c r="G53" s="2005"/>
      <c r="H53" s="2005"/>
      <c r="I53" s="2005"/>
      <c r="J53" s="2005"/>
      <c r="K53" s="1937" t="s">
        <v>369</v>
      </c>
      <c r="L53" s="2456" t="str">
        <f>J7</f>
        <v>021-061-0010-26</v>
      </c>
      <c r="M53" s="2456"/>
      <c r="N53" s="2457"/>
    </row>
    <row r="54" spans="1:14" ht="15.75" thickBot="1" x14ac:dyDescent="0.3">
      <c r="A54" s="2004"/>
      <c r="B54" s="2005"/>
      <c r="C54" s="2005"/>
      <c r="D54" s="2005"/>
      <c r="E54" s="2005"/>
      <c r="F54" s="2005"/>
      <c r="G54" s="2005"/>
      <c r="H54" s="2005"/>
      <c r="I54" s="2005"/>
      <c r="J54" s="2005"/>
      <c r="K54" s="2005"/>
      <c r="L54" s="2005"/>
      <c r="M54" s="2005"/>
      <c r="N54" s="2006"/>
    </row>
    <row r="55" spans="1:14" x14ac:dyDescent="0.25">
      <c r="A55" s="2458"/>
      <c r="B55" s="2459"/>
      <c r="C55" s="2459"/>
      <c r="D55" s="2014"/>
      <c r="E55" s="2014"/>
      <c r="F55" s="2014"/>
      <c r="G55" s="2460" t="s">
        <v>2192</v>
      </c>
      <c r="H55" s="2460"/>
      <c r="I55" s="2460"/>
      <c r="J55" s="2460"/>
      <c r="K55" s="2460"/>
      <c r="L55" s="2460"/>
      <c r="M55" s="2460"/>
      <c r="N55" s="2461"/>
    </row>
    <row r="56" spans="1:14" ht="64.5" x14ac:dyDescent="0.25">
      <c r="A56" s="2462" t="s">
        <v>2193</v>
      </c>
      <c r="B56" s="2463"/>
      <c r="C56" s="2464"/>
      <c r="D56" s="2015" t="s">
        <v>2194</v>
      </c>
      <c r="E56" s="2015" t="s">
        <v>2195</v>
      </c>
      <c r="F56" s="2016"/>
      <c r="G56" s="2015" t="s">
        <v>2196</v>
      </c>
      <c r="H56" s="2015" t="s">
        <v>2197</v>
      </c>
      <c r="I56" s="2015" t="s">
        <v>2198</v>
      </c>
      <c r="J56" s="2015" t="s">
        <v>2199</v>
      </c>
      <c r="K56" s="2015" t="s">
        <v>2200</v>
      </c>
      <c r="L56" s="2015" t="s">
        <v>2201</v>
      </c>
      <c r="M56" s="2015" t="s">
        <v>2202</v>
      </c>
      <c r="N56" s="2017" t="s">
        <v>2203</v>
      </c>
    </row>
    <row r="57" spans="1:14" ht="24" customHeight="1" x14ac:dyDescent="0.25">
      <c r="A57" s="2465" t="s">
        <v>296</v>
      </c>
      <c r="B57" s="2466"/>
      <c r="C57" s="2466"/>
      <c r="D57" s="2018">
        <v>2361</v>
      </c>
      <c r="E57" s="2019">
        <f>'Expenditures 15-22'!K319</f>
        <v>0</v>
      </c>
      <c r="F57" s="2020"/>
      <c r="G57" s="2021"/>
      <c r="H57" s="2022"/>
      <c r="I57" s="2022"/>
      <c r="J57" s="2022"/>
      <c r="K57" s="2022"/>
      <c r="L57" s="2022"/>
      <c r="M57" s="2022"/>
      <c r="N57" s="2023">
        <f>IF((SUM(G57:M57))=E57,SUM(G57:M57),"Column N does not agree with Column E")</f>
        <v>0</v>
      </c>
    </row>
    <row r="58" spans="1:14" ht="24.75" customHeight="1" x14ac:dyDescent="0.25">
      <c r="A58" s="2467" t="s">
        <v>2204</v>
      </c>
      <c r="B58" s="2468"/>
      <c r="C58" s="2468"/>
      <c r="D58" s="2024">
        <v>2362</v>
      </c>
      <c r="E58" s="2025">
        <f>'Expenditures 15-22'!K320</f>
        <v>143247</v>
      </c>
      <c r="F58" s="2020"/>
      <c r="G58" s="2026"/>
      <c r="H58" s="2027"/>
      <c r="I58" s="2027"/>
      <c r="J58" s="2027"/>
      <c r="K58" s="2027"/>
      <c r="L58" s="2027"/>
      <c r="M58" s="2027">
        <v>143247</v>
      </c>
      <c r="N58" s="2023">
        <f>IF((SUM(G58:M58))=E58,SUM(G58:M58),"Column N does not agree with Column E")</f>
        <v>143247</v>
      </c>
    </row>
    <row r="59" spans="1:14" ht="24.75" customHeight="1" x14ac:dyDescent="0.25">
      <c r="A59" s="2454" t="s">
        <v>297</v>
      </c>
      <c r="B59" s="2455"/>
      <c r="C59" s="2455"/>
      <c r="D59" s="2024">
        <v>2363</v>
      </c>
      <c r="E59" s="2025">
        <f>'Expenditures 15-22'!K321</f>
        <v>0</v>
      </c>
      <c r="F59" s="2020"/>
      <c r="G59" s="2026"/>
      <c r="H59" s="2027"/>
      <c r="I59" s="2027"/>
      <c r="J59" s="2027"/>
      <c r="K59" s="2027"/>
      <c r="L59" s="2027"/>
      <c r="M59" s="2027"/>
      <c r="N59" s="2023">
        <f t="shared" ref="N59:N67" si="4">IF((SUM(G59:M59))=E59,SUM(G59:M59),"Column N does not agree with Column E")</f>
        <v>0</v>
      </c>
    </row>
    <row r="60" spans="1:14" ht="24.75" customHeight="1" x14ac:dyDescent="0.25">
      <c r="A60" s="2454" t="s">
        <v>236</v>
      </c>
      <c r="B60" s="2455"/>
      <c r="C60" s="2455"/>
      <c r="D60" s="2024">
        <v>2364</v>
      </c>
      <c r="E60" s="2025">
        <f>'Expenditures 15-22'!K322</f>
        <v>157444</v>
      </c>
      <c r="F60" s="2020"/>
      <c r="G60" s="2026"/>
      <c r="H60" s="2027"/>
      <c r="I60" s="2027"/>
      <c r="J60" s="2027"/>
      <c r="K60" s="2027"/>
      <c r="L60" s="2027"/>
      <c r="M60" s="2027">
        <v>157444</v>
      </c>
      <c r="N60" s="2023">
        <f t="shared" si="4"/>
        <v>157444</v>
      </c>
    </row>
    <row r="61" spans="1:14" ht="24.75" customHeight="1" x14ac:dyDescent="0.25">
      <c r="A61" s="2454" t="s">
        <v>697</v>
      </c>
      <c r="B61" s="2455"/>
      <c r="C61" s="2455"/>
      <c r="D61" s="2024">
        <v>2365</v>
      </c>
      <c r="E61" s="2025">
        <f>'Expenditures 15-22'!K323</f>
        <v>0</v>
      </c>
      <c r="F61" s="2020"/>
      <c r="G61" s="2026"/>
      <c r="H61" s="2027"/>
      <c r="I61" s="2027"/>
      <c r="J61" s="2027"/>
      <c r="K61" s="2027"/>
      <c r="L61" s="2027"/>
      <c r="M61" s="2027"/>
      <c r="N61" s="2023">
        <f t="shared" si="4"/>
        <v>0</v>
      </c>
    </row>
    <row r="62" spans="1:14" ht="24.75" customHeight="1" x14ac:dyDescent="0.25">
      <c r="A62" s="2454" t="s">
        <v>237</v>
      </c>
      <c r="B62" s="2455"/>
      <c r="C62" s="2455"/>
      <c r="D62" s="2024">
        <v>2366</v>
      </c>
      <c r="E62" s="2025">
        <f>'Expenditures 15-22'!K324</f>
        <v>0</v>
      </c>
      <c r="F62" s="2020"/>
      <c r="G62" s="2026"/>
      <c r="H62" s="2027"/>
      <c r="I62" s="2027"/>
      <c r="J62" s="2027"/>
      <c r="K62" s="2027"/>
      <c r="L62" s="2027"/>
      <c r="M62" s="2027"/>
      <c r="N62" s="2023">
        <f t="shared" si="4"/>
        <v>0</v>
      </c>
    </row>
    <row r="63" spans="1:14" ht="24.75" customHeight="1" x14ac:dyDescent="0.25">
      <c r="A63" s="2467" t="s">
        <v>1022</v>
      </c>
      <c r="B63" s="2468"/>
      <c r="C63" s="2468"/>
      <c r="D63" s="2024">
        <v>2367</v>
      </c>
      <c r="E63" s="2025">
        <f>'Expenditures 15-22'!K325</f>
        <v>0</v>
      </c>
      <c r="F63" s="2020"/>
      <c r="G63" s="2026"/>
      <c r="H63" s="2027"/>
      <c r="I63" s="2027"/>
      <c r="J63" s="2027"/>
      <c r="K63" s="2027"/>
      <c r="L63" s="2027"/>
      <c r="M63" s="2027"/>
      <c r="N63" s="2023">
        <f t="shared" si="4"/>
        <v>0</v>
      </c>
    </row>
    <row r="64" spans="1:14" ht="24.75" customHeight="1" x14ac:dyDescent="0.25">
      <c r="A64" s="2454" t="s">
        <v>1023</v>
      </c>
      <c r="B64" s="2455"/>
      <c r="C64" s="2455"/>
      <c r="D64" s="2024">
        <v>2368</v>
      </c>
      <c r="E64" s="2025">
        <f>'Expenditures 15-22'!K326</f>
        <v>0</v>
      </c>
      <c r="F64" s="2020"/>
      <c r="G64" s="2026"/>
      <c r="H64" s="2027"/>
      <c r="I64" s="2027"/>
      <c r="J64" s="2027"/>
      <c r="K64" s="2027"/>
      <c r="L64" s="2027"/>
      <c r="M64" s="2027"/>
      <c r="N64" s="2023">
        <f t="shared" si="4"/>
        <v>0</v>
      </c>
    </row>
    <row r="65" spans="1:14" ht="24" customHeight="1" x14ac:dyDescent="0.25">
      <c r="A65" s="2454" t="s">
        <v>965</v>
      </c>
      <c r="B65" s="2455"/>
      <c r="C65" s="2455"/>
      <c r="D65" s="2024">
        <v>2369</v>
      </c>
      <c r="E65" s="2025">
        <f>'Expenditures 15-22'!K327</f>
        <v>21107</v>
      </c>
      <c r="F65" s="2020"/>
      <c r="G65" s="2026"/>
      <c r="H65" s="2027"/>
      <c r="I65" s="2027"/>
      <c r="J65" s="2027"/>
      <c r="K65" s="2027"/>
      <c r="L65" s="2027"/>
      <c r="M65" s="2027">
        <v>21107</v>
      </c>
      <c r="N65" s="2023">
        <f t="shared" si="4"/>
        <v>21107</v>
      </c>
    </row>
    <row r="66" spans="1:14" ht="24.75" customHeight="1" x14ac:dyDescent="0.25">
      <c r="A66" s="2454" t="s">
        <v>469</v>
      </c>
      <c r="B66" s="2455"/>
      <c r="C66" s="2455"/>
      <c r="D66" s="2024">
        <v>2371</v>
      </c>
      <c r="E66" s="2025">
        <f>'Expenditures 15-22'!K328</f>
        <v>0</v>
      </c>
      <c r="F66" s="2020"/>
      <c r="G66" s="2026"/>
      <c r="H66" s="2027"/>
      <c r="I66" s="2027"/>
      <c r="J66" s="2027"/>
      <c r="K66" s="2027"/>
      <c r="L66" s="2027"/>
      <c r="M66" s="2027"/>
      <c r="N66" s="2023">
        <f t="shared" si="4"/>
        <v>0</v>
      </c>
    </row>
    <row r="67" spans="1:14" ht="24.75" customHeight="1" x14ac:dyDescent="0.25">
      <c r="A67" s="2473" t="s">
        <v>2205</v>
      </c>
      <c r="B67" s="2474"/>
      <c r="C67" s="2474"/>
      <c r="D67" s="2028">
        <v>2372</v>
      </c>
      <c r="E67" s="2029">
        <f>'Expenditures 15-22'!K329</f>
        <v>0</v>
      </c>
      <c r="F67" s="2020"/>
      <c r="G67" s="2030"/>
      <c r="H67" s="2031"/>
      <c r="I67" s="2031"/>
      <c r="J67" s="2031"/>
      <c r="K67" s="2031"/>
      <c r="L67" s="2031"/>
      <c r="M67" s="2031"/>
      <c r="N67" s="2023">
        <f t="shared" si="4"/>
        <v>0</v>
      </c>
    </row>
    <row r="68" spans="1:14" x14ac:dyDescent="0.25">
      <c r="A68" s="2475" t="s">
        <v>1153</v>
      </c>
      <c r="B68" s="2476"/>
      <c r="C68" s="2476"/>
      <c r="D68" s="2014"/>
      <c r="E68" s="2032">
        <f>SUM(E57:E67)</f>
        <v>321798</v>
      </c>
      <c r="F68" s="2033"/>
      <c r="G68" s="2032">
        <f t="shared" ref="G68:N68" si="5">SUM(G57:G67)</f>
        <v>0</v>
      </c>
      <c r="H68" s="2032">
        <f t="shared" si="5"/>
        <v>0</v>
      </c>
      <c r="I68" s="2032">
        <f t="shared" si="5"/>
        <v>0</v>
      </c>
      <c r="J68" s="2032">
        <f t="shared" si="5"/>
        <v>0</v>
      </c>
      <c r="K68" s="2032">
        <f t="shared" si="5"/>
        <v>0</v>
      </c>
      <c r="L68" s="2032">
        <f t="shared" si="5"/>
        <v>0</v>
      </c>
      <c r="M68" s="2032">
        <f t="shared" si="5"/>
        <v>321798</v>
      </c>
      <c r="N68" s="2034">
        <f t="shared" si="5"/>
        <v>321798</v>
      </c>
    </row>
    <row r="69" spans="1:14" x14ac:dyDescent="0.25">
      <c r="A69" s="2035"/>
      <c r="B69" s="2036"/>
      <c r="C69" s="2036"/>
      <c r="D69" s="2036"/>
      <c r="E69" s="2036"/>
      <c r="F69" s="2036"/>
      <c r="G69" s="2036"/>
      <c r="H69" s="2037" t="s">
        <v>2206</v>
      </c>
      <c r="I69" s="2036"/>
      <c r="J69" s="2036"/>
      <c r="K69" s="2036"/>
      <c r="L69" s="2037" t="s">
        <v>2207</v>
      </c>
      <c r="M69" s="2036"/>
      <c r="N69" s="2038"/>
    </row>
    <row r="70" spans="1:14" ht="46.5" customHeight="1" x14ac:dyDescent="0.25">
      <c r="A70" s="2039" t="s">
        <v>2208</v>
      </c>
      <c r="B70" s="2036"/>
      <c r="C70" s="2036"/>
      <c r="D70" s="2036"/>
      <c r="E70" s="2036"/>
      <c r="F70" s="2036"/>
      <c r="G70" s="2036"/>
      <c r="H70" s="2469" t="s">
        <v>2209</v>
      </c>
      <c r="I70" s="2469"/>
      <c r="J70" s="2469"/>
      <c r="K70" s="2036"/>
      <c r="L70" s="2469" t="s">
        <v>2210</v>
      </c>
      <c r="M70" s="2469"/>
      <c r="N70" s="2477"/>
    </row>
    <row r="71" spans="1:14" ht="42.75" customHeight="1" x14ac:dyDescent="0.25">
      <c r="A71" s="2035"/>
      <c r="B71" s="2036"/>
      <c r="C71" s="2036"/>
      <c r="D71" s="2036"/>
      <c r="E71" s="2036"/>
      <c r="F71" s="2036"/>
      <c r="G71" s="2036"/>
      <c r="H71" s="2469" t="s">
        <v>2211</v>
      </c>
      <c r="I71" s="2469"/>
      <c r="J71" s="2469"/>
      <c r="K71" s="2036"/>
      <c r="L71" s="2470" t="s">
        <v>2212</v>
      </c>
      <c r="M71" s="2470"/>
      <c r="N71" s="2471"/>
    </row>
    <row r="72" spans="1:14" ht="52.5" customHeight="1" thickBot="1" x14ac:dyDescent="0.3">
      <c r="A72" s="2040"/>
      <c r="B72" s="2041"/>
      <c r="C72" s="2041"/>
      <c r="D72" s="2041"/>
      <c r="E72" s="2041"/>
      <c r="F72" s="2041"/>
      <c r="G72" s="2041"/>
      <c r="H72" s="2472" t="s">
        <v>2213</v>
      </c>
      <c r="I72" s="2472"/>
      <c r="J72" s="2472"/>
      <c r="K72" s="2041"/>
      <c r="L72" s="2041"/>
      <c r="M72" s="2041"/>
      <c r="N72" s="2042"/>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DD3099A3-6C52-4B03-85F1-C4BB31678C52}"/>
    <dataValidation allowBlank="1" showInputMessage="1" showErrorMessage="1" prompt="Link cell K328 from &quot;Expenditures 15-22&quot; tab" sqref="E66" xr:uid="{B275C4FA-ADB1-49F2-A766-462668184056}"/>
    <dataValidation allowBlank="1" showInputMessage="1" showErrorMessage="1" prompt="Link cell K327 from &quot;Expenditures 15-22&quot; tab" sqref="E65" xr:uid="{0C36742A-6EA3-4E3F-AFA2-531C5D39640B}"/>
    <dataValidation allowBlank="1" showInputMessage="1" showErrorMessage="1" prompt="Link cell K326 from &quot;Expenditures 15-22&quot; tab" sqref="E64" xr:uid="{5AEC570C-CEC0-4EE9-9CF1-56D4DEF29D78}"/>
    <dataValidation allowBlank="1" showInputMessage="1" showErrorMessage="1" prompt="Link cell K325 from &quot;Expenditures 15-22&quot; tab" sqref="E63" xr:uid="{B9B96965-6B3D-40C6-A11C-DFC98F9FCFBF}"/>
    <dataValidation allowBlank="1" showInputMessage="1" showErrorMessage="1" prompt="Link cell K324 from &quot;Expenditures 15-22&quot; tab" sqref="E62" xr:uid="{6109BF87-9884-41F7-B386-38F1108FA95D}"/>
    <dataValidation allowBlank="1" showInputMessage="1" showErrorMessage="1" prompt="Link cell K323 from &quot;Expenditures 15-22&quot; tab" sqref="E61" xr:uid="{9B977C59-2235-4572-88E8-7D17604747BB}"/>
    <dataValidation allowBlank="1" showInputMessage="1" showErrorMessage="1" prompt="Link cell K322 from &quot;Expenditures 15-22&quot; tab" sqref="E60" xr:uid="{43829F7A-DBB0-4F4B-BA96-C24A7FE4C098}"/>
    <dataValidation allowBlank="1" showInputMessage="1" showErrorMessage="1" prompt="Link cell K321 from &quot;Expenditures 15-22&quot; tab" sqref="E59" xr:uid="{C9B52DB9-7F7A-4838-A7F9-A59E6574B8F0}"/>
    <dataValidation allowBlank="1" showInputMessage="1" showErrorMessage="1" prompt="Link cell K320 from &quot;Expenditures 15-22&quot; tab" sqref="E58" xr:uid="{D1FD718B-0221-49F8-862A-E7B4309B181A}"/>
    <dataValidation allowBlank="1" showInputMessage="1" showErrorMessage="1" prompt="Link cell K319 from &quot;Expenditures 15-22&quot; tab" sqref="E57" xr:uid="{92808097-694A-4150-8D5E-7A986D55820E}"/>
    <dataValidation allowBlank="1" showInputMessage="1" showErrorMessage="1" prompt="Link cell K122 from &quot;Expenditures 15-22&quot; tab" sqref="F15" xr:uid="{D5F95734-D781-43C9-AC90-C1298DB4783D}"/>
    <dataValidation allowBlank="1" showInputMessage="1" showErrorMessage="1" prompt="Link cell K67 from &quot;Expenditures 15-22&quot; tab" sqref="E17" xr:uid="{D644AC9E-2B12-43BF-BD60-1D41722BC728}"/>
    <dataValidation allowBlank="1" showInputMessage="1" showErrorMessage="1" prompt="Link cell K64 from &quot;Expenditures 15-22&quot; tab" sqref="E16" xr:uid="{0D86FA61-04DB-4D26-85BC-D6256FA2D0D8}"/>
    <dataValidation allowBlank="1" showInputMessage="1" showErrorMessage="1" prompt="Link cell K59 from &quot;Expenditures 15-22&quot; tab" sqref="E15" xr:uid="{B662FF88-ACBE-41DD-8CCB-713B69BCAA27}"/>
    <dataValidation allowBlank="1" showInputMessage="1" showErrorMessage="1" prompt="Link cell K56 from &quot;Expenditures 15-22&quot; tab" sqref="E14" xr:uid="{6BD124D6-2A8A-494C-93AE-44FF1144B05F}"/>
    <dataValidation allowBlank="1" showInputMessage="1" showErrorMessage="1" prompt="Link cell K51 from &quot;Expenditures 15-22&quot; tab" sqref="E13" xr:uid="{CAC155D8-0631-485F-8D82-0396BB6EE7E9}"/>
    <dataValidation allowBlank="1" showInputMessage="1" showErrorMessage="1" prompt="Link cell K50 from &quot;Expenditures 15-22&quot; tab " sqref="E12" xr:uid="{DC675FD5-C12C-4725-B2CD-FFE561CC0E05}"/>
    <dataValidation allowBlank="1" showInputMessage="1" showErrorMessage="1" prompt="Link cell A13 from &quot;Cover&quot; tab" sqref="J7:L7" xr:uid="{E94D492C-31CD-481A-9066-34331DBCE0E5}"/>
    <dataValidation allowBlank="1" showInputMessage="1" showErrorMessage="1" prompt="Link cell A17 from &quot;Cover&quot; tab" sqref="J6:L6" xr:uid="{CDD89770-E1C0-4CAF-B857-40A8659A7A3B}"/>
  </dataValidations>
  <printOptions horizontalCentered="1"/>
  <pageMargins left="1" right="1" top="0.75" bottom="0.5" header="0.3" footer="0.42"/>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F65"/>
  <sheetViews>
    <sheetView showGridLines="0" zoomScale="110" zoomScaleNormal="110" workbookViewId="0"/>
  </sheetViews>
  <sheetFormatPr defaultRowHeight="12.75" x14ac:dyDescent="0.2"/>
  <cols>
    <col min="1" max="1" width="3" style="307" customWidth="1"/>
    <col min="2" max="2" width="15.5703125" style="1911" customWidth="1"/>
    <col min="3" max="3" width="9.85546875" style="1911" customWidth="1"/>
    <col min="4" max="4" width="25.42578125" style="1911" customWidth="1"/>
    <col min="5" max="5" width="37.5703125" style="307" customWidth="1"/>
    <col min="6" max="6" width="12.140625" style="307" customWidth="1"/>
    <col min="7" max="16384" width="9.140625" style="307"/>
  </cols>
  <sheetData>
    <row r="2" spans="1:6" x14ac:dyDescent="0.2">
      <c r="A2" s="366" t="s">
        <v>256</v>
      </c>
    </row>
    <row r="3" spans="1:6" x14ac:dyDescent="0.2">
      <c r="A3" s="307" t="s">
        <v>257</v>
      </c>
    </row>
    <row r="4" spans="1:6" s="1911" customFormat="1" x14ac:dyDescent="0.2">
      <c r="B4" s="1912" t="s">
        <v>2053</v>
      </c>
      <c r="C4" s="1912" t="s">
        <v>1070</v>
      </c>
      <c r="D4" s="1912" t="s">
        <v>2054</v>
      </c>
      <c r="E4" s="1912" t="s">
        <v>478</v>
      </c>
      <c r="F4" s="1912" t="s">
        <v>860</v>
      </c>
    </row>
    <row r="5" spans="1:6" ht="15" x14ac:dyDescent="0.35">
      <c r="A5" s="840">
        <v>1</v>
      </c>
      <c r="B5" s="1911">
        <v>190</v>
      </c>
      <c r="C5" s="1911">
        <v>20</v>
      </c>
      <c r="E5" s="307" t="s">
        <v>2055</v>
      </c>
      <c r="F5" s="1919">
        <v>1354</v>
      </c>
    </row>
    <row r="6" spans="1:6" x14ac:dyDescent="0.2">
      <c r="A6" s="840"/>
    </row>
    <row r="7" spans="1:6" x14ac:dyDescent="0.2">
      <c r="A7" s="840">
        <v>2</v>
      </c>
      <c r="B7" s="1911">
        <v>1690</v>
      </c>
      <c r="C7" s="1911">
        <v>10</v>
      </c>
      <c r="E7" s="307" t="s">
        <v>2056</v>
      </c>
      <c r="F7" s="1913">
        <v>2079</v>
      </c>
    </row>
    <row r="8" spans="1:6" x14ac:dyDescent="0.2">
      <c r="A8" s="840"/>
      <c r="E8" s="307" t="s">
        <v>2057</v>
      </c>
      <c r="F8" s="1914">
        <v>877</v>
      </c>
    </row>
    <row r="9" spans="1:6" x14ac:dyDescent="0.2">
      <c r="A9" s="841"/>
      <c r="F9" s="1915">
        <f>SUM(F7:F8)</f>
        <v>2956</v>
      </c>
    </row>
    <row r="10" spans="1:6" x14ac:dyDescent="0.2">
      <c r="A10" s="841"/>
    </row>
    <row r="11" spans="1:6" x14ac:dyDescent="0.2">
      <c r="A11" s="841"/>
    </row>
    <row r="12" spans="1:6" x14ac:dyDescent="0.2">
      <c r="A12" s="841">
        <v>3</v>
      </c>
      <c r="B12" s="1911">
        <v>1999</v>
      </c>
      <c r="C12" s="1911">
        <v>10</v>
      </c>
      <c r="E12" s="307" t="s">
        <v>2058</v>
      </c>
      <c r="F12" s="1913">
        <v>6170</v>
      </c>
    </row>
    <row r="13" spans="1:6" x14ac:dyDescent="0.2">
      <c r="A13" s="841"/>
      <c r="E13" s="307" t="s">
        <v>2059</v>
      </c>
      <c r="F13" s="1916">
        <v>3954</v>
      </c>
    </row>
    <row r="14" spans="1:6" x14ac:dyDescent="0.2">
      <c r="A14" s="841"/>
      <c r="E14" s="307" t="s">
        <v>2060</v>
      </c>
      <c r="F14" s="1916">
        <v>5622</v>
      </c>
    </row>
    <row r="15" spans="1:6" ht="15" x14ac:dyDescent="0.35">
      <c r="A15" s="841"/>
      <c r="E15" s="307" t="s">
        <v>2061</v>
      </c>
      <c r="F15" s="1917">
        <v>12832</v>
      </c>
    </row>
    <row r="16" spans="1:6" ht="15" x14ac:dyDescent="0.35">
      <c r="A16" s="841"/>
      <c r="F16" s="1918">
        <f>SUM(F12:F15)</f>
        <v>28578</v>
      </c>
    </row>
    <row r="17" spans="1:6" x14ac:dyDescent="0.2">
      <c r="A17" s="841"/>
    </row>
    <row r="18" spans="1:6" x14ac:dyDescent="0.2">
      <c r="A18" s="841">
        <v>4</v>
      </c>
      <c r="B18" s="1911">
        <v>1999</v>
      </c>
      <c r="C18" s="1911">
        <v>20</v>
      </c>
      <c r="E18" s="307" t="s">
        <v>2061</v>
      </c>
      <c r="F18" s="1915">
        <v>2923</v>
      </c>
    </row>
    <row r="19" spans="1:6" x14ac:dyDescent="0.2">
      <c r="A19" s="841"/>
    </row>
    <row r="20" spans="1:6" x14ac:dyDescent="0.2">
      <c r="A20" s="841">
        <v>5</v>
      </c>
      <c r="B20" s="1911">
        <v>3999</v>
      </c>
      <c r="C20" s="1911">
        <v>10</v>
      </c>
      <c r="E20" s="307" t="s">
        <v>2063</v>
      </c>
      <c r="F20" s="1913">
        <v>21047</v>
      </c>
    </row>
    <row r="21" spans="1:6" x14ac:dyDescent="0.2">
      <c r="A21" s="841"/>
      <c r="E21" s="307" t="s">
        <v>2062</v>
      </c>
      <c r="F21" s="1914">
        <v>12681</v>
      </c>
    </row>
    <row r="22" spans="1:6" x14ac:dyDescent="0.2">
      <c r="A22" s="841"/>
      <c r="F22" s="1915">
        <f>F20+F21</f>
        <v>33728</v>
      </c>
    </row>
    <row r="23" spans="1:6" x14ac:dyDescent="0.2">
      <c r="A23" s="841"/>
    </row>
    <row r="24" spans="1:6" ht="15" x14ac:dyDescent="0.35">
      <c r="A24" s="841">
        <v>6</v>
      </c>
      <c r="B24" s="1911">
        <v>2190</v>
      </c>
      <c r="C24" s="1911">
        <v>10</v>
      </c>
      <c r="D24" s="1911">
        <v>100</v>
      </c>
      <c r="E24" s="307" t="s">
        <v>2064</v>
      </c>
      <c r="F24" s="1919">
        <v>48885</v>
      </c>
    </row>
    <row r="25" spans="1:6" ht="15" x14ac:dyDescent="0.35">
      <c r="A25" s="841"/>
      <c r="F25" s="1919"/>
    </row>
    <row r="26" spans="1:6" ht="15" x14ac:dyDescent="0.35">
      <c r="A26" s="841">
        <v>7</v>
      </c>
      <c r="B26" s="1911">
        <v>2190</v>
      </c>
      <c r="C26" s="1911">
        <v>10</v>
      </c>
      <c r="D26" s="1911">
        <v>200</v>
      </c>
      <c r="E26" s="307" t="s">
        <v>2065</v>
      </c>
      <c r="F26" s="1919">
        <v>1902</v>
      </c>
    </row>
    <row r="27" spans="1:6" x14ac:dyDescent="0.2">
      <c r="A27" s="841"/>
    </row>
    <row r="28" spans="1:6" x14ac:dyDescent="0.2">
      <c r="A28" s="841">
        <v>8</v>
      </c>
      <c r="B28" s="1911">
        <v>2190</v>
      </c>
      <c r="C28" s="1911">
        <v>10</v>
      </c>
      <c r="D28" s="1911">
        <v>300</v>
      </c>
      <c r="E28" s="307" t="s">
        <v>2066</v>
      </c>
      <c r="F28" s="1913">
        <v>10800</v>
      </c>
    </row>
    <row r="29" spans="1:6" ht="15" x14ac:dyDescent="0.35">
      <c r="A29" s="841"/>
      <c r="E29" s="307" t="s">
        <v>2067</v>
      </c>
      <c r="F29" s="1917">
        <v>1951</v>
      </c>
    </row>
    <row r="30" spans="1:6" ht="15" x14ac:dyDescent="0.35">
      <c r="F30" s="1919">
        <f>SUM(F28:F29)</f>
        <v>12751</v>
      </c>
    </row>
    <row r="31" spans="1:6" x14ac:dyDescent="0.2">
      <c r="A31" s="841"/>
    </row>
    <row r="32" spans="1:6" x14ac:dyDescent="0.2">
      <c r="A32" s="841"/>
    </row>
    <row r="33" spans="1:6" ht="15" x14ac:dyDescent="0.35">
      <c r="A33" s="841">
        <v>9</v>
      </c>
      <c r="B33" s="1911">
        <v>2190</v>
      </c>
      <c r="C33" s="1911">
        <v>10</v>
      </c>
      <c r="D33" s="1911">
        <v>400</v>
      </c>
      <c r="E33" s="307" t="s">
        <v>2068</v>
      </c>
      <c r="F33" s="1919">
        <v>5310</v>
      </c>
    </row>
    <row r="34" spans="1:6" x14ac:dyDescent="0.2">
      <c r="A34" s="841"/>
    </row>
    <row r="35" spans="1:6" ht="15" x14ac:dyDescent="0.35">
      <c r="A35" s="841">
        <v>10</v>
      </c>
      <c r="B35" s="1911">
        <v>2190</v>
      </c>
      <c r="C35" s="1911">
        <v>10</v>
      </c>
      <c r="D35" s="1911">
        <v>600</v>
      </c>
      <c r="E35" s="307" t="s">
        <v>2069</v>
      </c>
      <c r="F35" s="1919">
        <v>1378</v>
      </c>
    </row>
    <row r="36" spans="1:6" ht="15" x14ac:dyDescent="0.35">
      <c r="A36" s="841"/>
      <c r="F36" s="1922"/>
    </row>
    <row r="37" spans="1:6" ht="15" x14ac:dyDescent="0.35">
      <c r="A37" s="841">
        <v>11</v>
      </c>
      <c r="B37" s="1911">
        <v>2490</v>
      </c>
      <c r="C37" s="1911">
        <v>10</v>
      </c>
      <c r="D37" s="1911">
        <v>100</v>
      </c>
      <c r="E37" s="307" t="s">
        <v>2070</v>
      </c>
      <c r="F37" s="1919">
        <v>3711</v>
      </c>
    </row>
    <row r="38" spans="1:6" ht="15" x14ac:dyDescent="0.35">
      <c r="A38" s="841"/>
      <c r="F38" s="1919"/>
    </row>
    <row r="39" spans="1:6" ht="15" x14ac:dyDescent="0.35">
      <c r="A39" s="841">
        <v>12</v>
      </c>
      <c r="B39" s="1911">
        <v>2490</v>
      </c>
      <c r="C39" s="1911">
        <v>10</v>
      </c>
      <c r="D39" s="1911">
        <v>200</v>
      </c>
      <c r="E39" s="307" t="s">
        <v>2071</v>
      </c>
      <c r="F39" s="1919">
        <v>172</v>
      </c>
    </row>
    <row r="40" spans="1:6" x14ac:dyDescent="0.2">
      <c r="A40" s="841"/>
    </row>
    <row r="41" spans="1:6" x14ac:dyDescent="0.2">
      <c r="A41" s="841">
        <v>13</v>
      </c>
      <c r="B41" s="1911">
        <v>4190</v>
      </c>
      <c r="C41" s="1911">
        <v>10</v>
      </c>
      <c r="D41" s="1911">
        <v>600</v>
      </c>
      <c r="E41" s="307" t="s">
        <v>2072</v>
      </c>
      <c r="F41" s="1913">
        <v>45730</v>
      </c>
    </row>
    <row r="42" spans="1:6" ht="15" x14ac:dyDescent="0.35">
      <c r="A42" s="841"/>
      <c r="E42" s="307" t="s">
        <v>2073</v>
      </c>
      <c r="F42" s="1917">
        <f>61953+2056</f>
        <v>64009</v>
      </c>
    </row>
    <row r="43" spans="1:6" ht="15" x14ac:dyDescent="0.35">
      <c r="A43" s="841"/>
      <c r="F43" s="1919">
        <f>F41+F42</f>
        <v>109739</v>
      </c>
    </row>
    <row r="44" spans="1:6" x14ac:dyDescent="0.2">
      <c r="A44" s="841"/>
    </row>
    <row r="45" spans="1:6" ht="15" x14ac:dyDescent="0.35">
      <c r="A45" s="841">
        <v>14</v>
      </c>
      <c r="B45" s="1911">
        <v>5400</v>
      </c>
      <c r="C45" s="1911">
        <v>30</v>
      </c>
      <c r="D45" s="1911">
        <v>600</v>
      </c>
      <c r="E45" s="307" t="s">
        <v>2074</v>
      </c>
      <c r="F45" s="1919">
        <v>15000</v>
      </c>
    </row>
    <row r="46" spans="1:6" x14ac:dyDescent="0.2">
      <c r="A46" s="841"/>
    </row>
    <row r="47" spans="1:6" ht="15" x14ac:dyDescent="0.35">
      <c r="A47" s="841">
        <v>15</v>
      </c>
      <c r="B47" s="1911">
        <v>2190</v>
      </c>
      <c r="C47" s="1911">
        <v>50</v>
      </c>
      <c r="D47" s="1911">
        <v>200</v>
      </c>
      <c r="E47" s="307" t="s">
        <v>2065</v>
      </c>
      <c r="F47" s="1919">
        <v>1089</v>
      </c>
    </row>
    <row r="48" spans="1:6" x14ac:dyDescent="0.2">
      <c r="A48" s="841"/>
    </row>
    <row r="49" spans="1:6" x14ac:dyDescent="0.2">
      <c r="A49" s="841">
        <v>16</v>
      </c>
      <c r="B49" s="1911">
        <v>2490</v>
      </c>
      <c r="C49" s="1911">
        <v>50</v>
      </c>
      <c r="D49" s="1911">
        <v>200</v>
      </c>
      <c r="E49" s="307" t="s">
        <v>2071</v>
      </c>
      <c r="F49" s="1915">
        <v>51</v>
      </c>
    </row>
    <row r="50" spans="1:6" x14ac:dyDescent="0.2">
      <c r="A50" s="841"/>
    </row>
    <row r="51" spans="1:6" x14ac:dyDescent="0.2">
      <c r="A51" s="841"/>
    </row>
    <row r="52" spans="1:6" x14ac:dyDescent="0.2">
      <c r="A52" s="841"/>
    </row>
    <row r="53" spans="1:6" x14ac:dyDescent="0.2">
      <c r="A53" s="841"/>
    </row>
    <row r="54" spans="1:6" x14ac:dyDescent="0.2">
      <c r="A54" s="841"/>
    </row>
    <row r="55" spans="1:6" x14ac:dyDescent="0.2">
      <c r="A55" s="841"/>
    </row>
    <row r="56" spans="1:6" x14ac:dyDescent="0.2">
      <c r="A56" s="841"/>
    </row>
    <row r="57" spans="1:6" x14ac:dyDescent="0.2">
      <c r="A57" s="841"/>
    </row>
    <row r="58" spans="1:6" x14ac:dyDescent="0.2">
      <c r="A58" s="841"/>
    </row>
    <row r="59" spans="1:6" x14ac:dyDescent="0.2">
      <c r="A59" s="841"/>
    </row>
    <row r="60" spans="1:6" x14ac:dyDescent="0.2">
      <c r="A60" s="841"/>
    </row>
    <row r="61" spans="1:6" x14ac:dyDescent="0.2">
      <c r="A61" s="841"/>
    </row>
    <row r="62" spans="1:6" x14ac:dyDescent="0.2">
      <c r="A62" s="841"/>
    </row>
    <row r="63" spans="1:6" x14ac:dyDescent="0.2">
      <c r="A63" s="841"/>
    </row>
    <row r="64" spans="1:6" x14ac:dyDescent="0.2">
      <c r="A64" s="841"/>
      <c r="B64" s="1920" t="str">
        <f>COVER!A17</f>
        <v>Massac County Community Unit S.D. #1</v>
      </c>
    </row>
    <row r="65" spans="2:2" x14ac:dyDescent="0.2">
      <c r="B65" s="1921" t="str">
        <f>COVER!A13</f>
        <v>021-061-0010-26</v>
      </c>
    </row>
  </sheetData>
  <phoneticPr fontId="15" type="noConversion"/>
  <printOptions horizontalCentered="1"/>
  <pageMargins left="0.2" right="0.2" top="1.17" bottom="0.75" header="0.19" footer="0.16"/>
  <pageSetup scale="7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2" t="s">
        <v>1597</v>
      </c>
    </row>
    <row r="23" spans="1:5" x14ac:dyDescent="0.2">
      <c r="A23" s="163"/>
      <c r="B23" s="157" t="s">
        <v>1828</v>
      </c>
      <c r="D23" s="162" t="s">
        <v>632</v>
      </c>
      <c r="E23" s="1462"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9" t="s">
        <v>1058</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1594</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8" t="s">
        <v>1753</v>
      </c>
    </row>
    <row r="60" spans="1:3" x14ac:dyDescent="0.2">
      <c r="A60" s="191"/>
      <c r="B60" s="124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9" sqref="B2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1973</v>
      </c>
    </row>
    <row r="17" spans="1:2" ht="6" customHeight="1" x14ac:dyDescent="0.2"/>
    <row r="18" spans="1:2" ht="24.75" customHeight="1" x14ac:dyDescent="0.2">
      <c r="A18" s="2478" t="s">
        <v>1668</v>
      </c>
      <c r="B18" s="2478"/>
    </row>
  </sheetData>
  <sheetProtection selectLockedCells="1"/>
  <mergeCells count="1">
    <mergeCell ref="A18:B18"/>
  </mergeCells>
  <phoneticPr fontId="15"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381000</xdr:colOff>
                <xdr:row>3</xdr:row>
                <xdr:rowOff>47625</xdr:rowOff>
              </from>
              <to>
                <xdr:col>1</xdr:col>
                <xdr:colOff>1295400</xdr:colOff>
                <xdr:row>7</xdr:row>
                <xdr:rowOff>85725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K11" sqref="K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1672</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5"/>
      <c r="H2" s="845"/>
    </row>
    <row r="3" spans="1:8" ht="57" customHeight="1" x14ac:dyDescent="0.2">
      <c r="A3" s="2492" t="s">
        <v>1972</v>
      </c>
      <c r="B3" s="2493"/>
      <c r="C3" s="2493"/>
      <c r="D3" s="2493"/>
      <c r="E3" s="2493"/>
      <c r="F3" s="2494"/>
      <c r="G3" s="845"/>
      <c r="H3" s="845"/>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5"/>
      <c r="H4" s="845"/>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5"/>
      <c r="H5" s="845"/>
    </row>
    <row r="6" spans="1:8" s="846" customFormat="1" ht="41.25" customHeight="1" x14ac:dyDescent="0.2">
      <c r="A6" s="2495" t="s">
        <v>1673</v>
      </c>
      <c r="B6" s="2496"/>
      <c r="C6" s="2496"/>
      <c r="D6" s="2496"/>
      <c r="E6" s="2496"/>
      <c r="F6" s="2497"/>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18410354</v>
      </c>
      <c r="C8" s="1805">
        <f>'Acct Summary 7-8'!D8</f>
        <v>2130747</v>
      </c>
      <c r="D8" s="1805">
        <f>'Acct Summary 7-8'!F8</f>
        <v>1779248</v>
      </c>
      <c r="E8" s="1805">
        <f>'Acct Summary 7-8'!I8</f>
        <v>69739</v>
      </c>
      <c r="F8" s="1805">
        <f>SUM(B8:E8)</f>
        <v>22390088</v>
      </c>
    </row>
    <row r="9" spans="1:8" s="850" customFormat="1" ht="14.25" customHeight="1" thickBot="1" x14ac:dyDescent="0.25">
      <c r="A9" s="849" t="s">
        <v>1355</v>
      </c>
      <c r="B9" s="1806">
        <f>'Acct Summary 7-8'!C17</f>
        <v>16813620</v>
      </c>
      <c r="C9" s="1806">
        <f>'Acct Summary 7-8'!D17</f>
        <v>1928677</v>
      </c>
      <c r="D9" s="1806">
        <f>'Acct Summary 7-8'!F17</f>
        <v>1709110</v>
      </c>
      <c r="E9" s="1805"/>
      <c r="F9" s="1805">
        <f>SUM(B9:E9)</f>
        <v>20451407</v>
      </c>
    </row>
    <row r="10" spans="1:8" s="850" customFormat="1" ht="14.25" thickTop="1" thickBot="1" x14ac:dyDescent="0.25">
      <c r="A10" s="851" t="s">
        <v>1356</v>
      </c>
      <c r="B10" s="1807">
        <f>(B8-B9)</f>
        <v>1596734</v>
      </c>
      <c r="C10" s="1807">
        <f>(C8-C9)</f>
        <v>202070</v>
      </c>
      <c r="D10" s="1807">
        <f>(D8-D9)</f>
        <v>70138</v>
      </c>
      <c r="E10" s="1806">
        <f>(E8-E9)</f>
        <v>69739</v>
      </c>
      <c r="F10" s="1808">
        <f>SUM(F8-F9)</f>
        <v>1938681</v>
      </c>
    </row>
    <row r="11" spans="1:8" s="850" customFormat="1" ht="14.25" thickTop="1" thickBot="1" x14ac:dyDescent="0.25">
      <c r="A11" s="852" t="s">
        <v>1903</v>
      </c>
      <c r="B11" s="1809">
        <f>'Acct Summary 7-8'!C81</f>
        <v>7486613</v>
      </c>
      <c r="C11" s="1809">
        <f>'Acct Summary 7-8'!D81</f>
        <v>356481</v>
      </c>
      <c r="D11" s="1809">
        <f>'Acct Summary 7-8'!F81</f>
        <v>139587</v>
      </c>
      <c r="E11" s="1809">
        <f>'Acct Summary 7-8'!I81</f>
        <v>232370</v>
      </c>
      <c r="F11" s="1810">
        <f>SUM(B11:E11)</f>
        <v>8215051</v>
      </c>
    </row>
    <row r="12" spans="1:8" ht="16.5" customHeight="1" thickTop="1" x14ac:dyDescent="0.2">
      <c r="A12" s="853"/>
      <c r="B12" s="854"/>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55"/>
      <c r="B13" s="856"/>
      <c r="C13" s="2483"/>
      <c r="D13" s="2484"/>
      <c r="E13" s="2484"/>
      <c r="F13" s="2485"/>
      <c r="H13" s="845"/>
    </row>
    <row r="14" spans="1:8" ht="19.5" customHeight="1" x14ac:dyDescent="0.2">
      <c r="A14" s="855"/>
      <c r="B14" s="856"/>
      <c r="C14" s="2483"/>
      <c r="D14" s="2484"/>
      <c r="E14" s="2484"/>
      <c r="F14" s="2485"/>
      <c r="H14" s="845"/>
    </row>
    <row r="15" spans="1:8" ht="17.25" customHeight="1" x14ac:dyDescent="0.2">
      <c r="A15" s="855"/>
      <c r="B15" s="856"/>
      <c r="C15" s="2486"/>
      <c r="D15" s="2487"/>
      <c r="E15" s="2487"/>
      <c r="F15" s="2488"/>
      <c r="H15" s="845"/>
    </row>
    <row r="16" spans="1:8" s="288" customFormat="1" ht="51.75" hidden="1" customHeight="1" x14ac:dyDescent="0.2">
      <c r="A16" s="2482" t="s">
        <v>1669</v>
      </c>
      <c r="B16" s="2482"/>
      <c r="C16" s="2482"/>
      <c r="D16" s="2482"/>
      <c r="E16" s="2482"/>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J19" sqref="J1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04" t="s">
        <v>660</v>
      </c>
      <c r="B3" s="2505"/>
      <c r="C3" s="2505"/>
      <c r="D3" s="2506"/>
    </row>
    <row r="4" spans="1:4" x14ac:dyDescent="0.2">
      <c r="A4" s="923" t="s">
        <v>1674</v>
      </c>
      <c r="B4" s="924"/>
      <c r="C4" s="925"/>
      <c r="D4" s="926"/>
    </row>
    <row r="5" spans="1:4" ht="21" customHeight="1" x14ac:dyDescent="0.2">
      <c r="A5" s="919"/>
      <c r="B5" s="920">
        <v>1</v>
      </c>
      <c r="C5" s="921" t="s">
        <v>1974</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15" t="s">
        <v>1490</v>
      </c>
      <c r="D7" s="2516"/>
    </row>
    <row r="8" spans="1:4" s="542" customFormat="1" ht="12.75" x14ac:dyDescent="0.2">
      <c r="A8" s="909"/>
      <c r="B8" s="864"/>
      <c r="C8" s="867" t="s">
        <v>1489</v>
      </c>
      <c r="D8" s="868"/>
    </row>
    <row r="9" spans="1:4" s="542" customFormat="1" ht="14.25" customHeight="1" x14ac:dyDescent="0.2">
      <c r="A9" s="909"/>
      <c r="B9" s="864">
        <f>B7+1</f>
        <v>4</v>
      </c>
      <c r="C9" s="865" t="s">
        <v>1879</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27" t="s">
        <v>1675</v>
      </c>
      <c r="B17" s="928"/>
      <c r="C17" s="929"/>
      <c r="D17" s="930"/>
    </row>
    <row r="18" spans="1:10" s="542" customFormat="1" ht="12.75" customHeight="1" x14ac:dyDescent="0.2">
      <c r="A18" s="931" t="s">
        <v>1975</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19" t="s">
        <v>311</v>
      </c>
      <c r="D21" s="2520"/>
    </row>
    <row r="22" spans="1:10" ht="12.75" x14ac:dyDescent="0.2">
      <c r="A22" s="910"/>
      <c r="B22" s="911">
        <v>2</v>
      </c>
      <c r="C22" s="2517" t="s">
        <v>1510</v>
      </c>
      <c r="D22" s="2518"/>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str">
        <f>IF('Aud Quest 2'!B53="X",IF('Aud Quest 2'!F53&gt;"00/00/00 ","Enter Effective Date","ok"))</f>
        <v>ok</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21" t="s">
        <v>533</v>
      </c>
      <c r="D43" s="2522"/>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13" t="s">
        <v>779</v>
      </c>
      <c r="D56" s="2514"/>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1880</v>
      </c>
      <c r="D66" s="896"/>
    </row>
    <row r="67" spans="1:4" x14ac:dyDescent="0.2">
      <c r="A67" s="890"/>
      <c r="B67" s="911"/>
      <c r="C67" s="918" t="s">
        <v>1014</v>
      </c>
      <c r="D67" s="896"/>
    </row>
    <row r="68" spans="1:4" x14ac:dyDescent="0.2">
      <c r="A68" s="871"/>
      <c r="B68" s="881"/>
      <c r="C68" s="873" t="s">
        <v>1881</v>
      </c>
      <c r="D68" s="895" t="str">
        <f>IF('Short-Term Long-Term Debt 24'!F49=SUM(,'Acct Summary 7-8'!C33:K33),"OK","ERROR!")</f>
        <v>OK</v>
      </c>
    </row>
    <row r="69" spans="1:4" x14ac:dyDescent="0.2">
      <c r="A69" s="871"/>
      <c r="B69" s="881"/>
      <c r="C69" s="873" t="s">
        <v>1882</v>
      </c>
      <c r="D69" s="895" t="str">
        <f>IF('Expenditures 15-22'!H170&lt;&gt;'Short-Term Long-Term Debt 24'!H49,"ERROR!","OK")</f>
        <v>OK</v>
      </c>
    </row>
    <row r="70" spans="1:4" x14ac:dyDescent="0.2">
      <c r="A70" s="869"/>
      <c r="B70" s="891">
        <f>B66+1</f>
        <v>9</v>
      </c>
      <c r="C70" s="2513" t="s">
        <v>1677</v>
      </c>
      <c r="D70" s="2514"/>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1883</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1988</v>
      </c>
      <c r="D78" s="895" t="str">
        <f>IF(ISNUMBER('Acct Summary 7-8'!C9),"OK","ENTRY IS REQUIRED!")</f>
        <v>OK</v>
      </c>
    </row>
    <row r="79" spans="1:4" x14ac:dyDescent="0.2">
      <c r="A79" s="890"/>
      <c r="B79" s="891">
        <f>B74+1+1</f>
        <v>12</v>
      </c>
      <c r="C79" s="901" t="s">
        <v>1871</v>
      </c>
      <c r="D79" s="902" t="str">
        <f>IF(OR(COVER!$B$6="X",'PCTC-OEPP 27-28'!F79&gt;0),"OK","PLEASE ENTER 9 MO ADA.")</f>
        <v>OK</v>
      </c>
    </row>
    <row r="80" spans="1:4" x14ac:dyDescent="0.2">
      <c r="A80" s="869"/>
      <c r="B80" s="891">
        <v>13</v>
      </c>
      <c r="C80" s="901" t="s">
        <v>1976</v>
      </c>
      <c r="D80" s="902" t="str">
        <f>IF(OR(COVER!$B$6="X",ISNUMBER('PCTC-OEPP 27-28'!F172)),"OK","PLEASE ENTER AMOUNT or 0.")</f>
        <v>OK</v>
      </c>
    </row>
    <row r="81" spans="1:4" x14ac:dyDescent="0.2">
      <c r="A81" s="869"/>
      <c r="B81" s="891">
        <v>14</v>
      </c>
      <c r="C81" s="901" t="s">
        <v>1977</v>
      </c>
      <c r="D81" s="902" t="str">
        <f>IF(OR(COVER!$B$6="X",ISNUMBER('PCTC-OEPP 27-28'!F173)),"OK","PLEASE ENTER AMOUNT or 0.")</f>
        <v>OK</v>
      </c>
    </row>
    <row r="82" spans="1:4" x14ac:dyDescent="0.2">
      <c r="A82" s="869"/>
      <c r="B82" s="891">
        <v>15</v>
      </c>
      <c r="C82" s="901" t="s">
        <v>1884</v>
      </c>
      <c r="D82" s="1891" t="str">
        <f>IF('Contracts Paid in CY 29'!$D$142&gt;0,"OK","PLEASE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1967</v>
      </c>
      <c r="F1" s="1535" t="s">
        <v>1968</v>
      </c>
      <c r="G1" s="1890" t="s">
        <v>1978</v>
      </c>
    </row>
    <row r="2" spans="1:7" ht="15.75" x14ac:dyDescent="0.25">
      <c r="A2" t="s">
        <v>260</v>
      </c>
      <c r="B2" s="135" t="str">
        <f>COVER!A13</f>
        <v>021-061-0010-26</v>
      </c>
      <c r="E2" s="1534">
        <v>2020</v>
      </c>
      <c r="F2" s="1534">
        <v>1</v>
      </c>
      <c r="G2" s="1889">
        <v>101000300</v>
      </c>
    </row>
    <row r="3" spans="1:7" ht="15" x14ac:dyDescent="0.25">
      <c r="A3" t="s">
        <v>950</v>
      </c>
      <c r="B3" s="135" t="str">
        <f>COVER!A15</f>
        <v>Massac</v>
      </c>
      <c r="E3" s="1822" t="s">
        <v>1971</v>
      </c>
      <c r="F3" s="1822" t="s">
        <v>1970</v>
      </c>
      <c r="G3" s="1889">
        <v>101000400</v>
      </c>
    </row>
    <row r="4" spans="1:7" ht="15" x14ac:dyDescent="0.25">
      <c r="A4" t="s">
        <v>1000</v>
      </c>
      <c r="B4" s="135" t="str">
        <f>COVER!A17</f>
        <v>Massac County Community Unit S.D. #1</v>
      </c>
      <c r="E4" s="1820">
        <v>44119</v>
      </c>
      <c r="F4" s="1821">
        <v>44151</v>
      </c>
      <c r="G4" s="1889">
        <v>101000600</v>
      </c>
    </row>
    <row r="5" spans="1:7" ht="15" x14ac:dyDescent="0.25">
      <c r="A5" t="s">
        <v>699</v>
      </c>
      <c r="B5" s="135">
        <f>COVER!A38</f>
        <v>0</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Yes</v>
      </c>
      <c r="G12" s="1889">
        <v>202100600</v>
      </c>
    </row>
    <row r="13" spans="1:7" ht="15" x14ac:dyDescent="0.25">
      <c r="A13" s="1" t="s">
        <v>1530</v>
      </c>
      <c r="B13" s="135" t="str">
        <f>IF(COVER!J30="x","Yes",IF(COVER!L30="x","No",0))</f>
        <v>Yes</v>
      </c>
      <c r="G13" s="1889">
        <v>202100800</v>
      </c>
    </row>
    <row r="14" spans="1:7" ht="15" x14ac:dyDescent="0.25">
      <c r="A14" t="s">
        <v>473</v>
      </c>
      <c r="B14" s="135" t="str">
        <f>IF(COVER!J31="x","Yes",IF(COVER!L31="x","No",0))</f>
        <v>Yes</v>
      </c>
      <c r="G14" s="1889">
        <v>402100300</v>
      </c>
    </row>
    <row r="15" spans="1:7" ht="15" x14ac:dyDescent="0.25">
      <c r="A15" t="s">
        <v>573</v>
      </c>
      <c r="B15" s="135" t="str">
        <f>COVER!T23</f>
        <v>066-003889</v>
      </c>
      <c r="G15" s="1889">
        <v>402100400</v>
      </c>
    </row>
    <row r="16" spans="1:7" ht="15" x14ac:dyDescent="0.25">
      <c r="A16" t="s">
        <v>419</v>
      </c>
      <c r="B16" s="135" t="str">
        <f>COVER!T13</f>
        <v>Beussink, Hey, Roe &amp; Stroder, L.L.C.</v>
      </c>
      <c r="G16" s="1889">
        <v>402100600</v>
      </c>
    </row>
    <row r="17" spans="1:7" ht="15" x14ac:dyDescent="0.25">
      <c r="A17" t="s">
        <v>878</v>
      </c>
      <c r="B17" s="135" t="str">
        <f>COVER!T15</f>
        <v>Jeffrey C. Stroder, CPA</v>
      </c>
      <c r="G17" s="1889">
        <v>402100800</v>
      </c>
    </row>
    <row r="18" spans="1:7" ht="15" x14ac:dyDescent="0.25">
      <c r="A18" t="s">
        <v>1142</v>
      </c>
      <c r="B18" s="135" t="str">
        <f>COVER!T17</f>
        <v>16 South Silver Springs Road</v>
      </c>
      <c r="G18" s="1889">
        <v>102200300</v>
      </c>
    </row>
    <row r="19" spans="1:7" ht="15" x14ac:dyDescent="0.25">
      <c r="A19" t="s">
        <v>880</v>
      </c>
      <c r="B19" s="135" t="str">
        <f>COVER!T25</f>
        <v>jstroder@bhrcpas.com</v>
      </c>
      <c r="G19" s="1889">
        <v>102200400</v>
      </c>
    </row>
    <row r="20" spans="1:7" ht="15" x14ac:dyDescent="0.25">
      <c r="A20" t="s">
        <v>881</v>
      </c>
      <c r="B20" s="135" t="str">
        <f>COVER!T19</f>
        <v>Cape Giradeau</v>
      </c>
      <c r="G20" s="1889">
        <v>102200600</v>
      </c>
    </row>
    <row r="21" spans="1:7" ht="15" x14ac:dyDescent="0.25">
      <c r="A21" t="s">
        <v>476</v>
      </c>
      <c r="B21" s="135" t="str">
        <f>COVER!X19</f>
        <v>MO</v>
      </c>
      <c r="G21" s="1889">
        <v>102200800</v>
      </c>
    </row>
    <row r="22" spans="1:7" ht="15" x14ac:dyDescent="0.25">
      <c r="A22" t="s">
        <v>882</v>
      </c>
      <c r="B22" s="135">
        <f>COVER!Z19</f>
        <v>63703</v>
      </c>
      <c r="G22" s="1889">
        <v>102300300</v>
      </c>
    </row>
    <row r="23" spans="1:7" ht="15" x14ac:dyDescent="0.25">
      <c r="A23" t="s">
        <v>1144</v>
      </c>
      <c r="B23" s="135" t="str">
        <f>COVER!T21</f>
        <v>573-334-7971</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Yes</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Yes</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Yes</v>
      </c>
      <c r="G49" s="1889">
        <v>102540800</v>
      </c>
    </row>
    <row r="50" spans="1:7" ht="15" x14ac:dyDescent="0.25">
      <c r="A50" s="1" t="s">
        <v>1466</v>
      </c>
      <c r="B50" s="146">
        <f>'Aud Quest 2'!H53</f>
        <v>36837</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5795200</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0</v>
      </c>
      <c r="D76" s="2" t="str">
        <f t="shared" si="0"/>
        <v>Error?</v>
      </c>
      <c r="G76" s="1889">
        <v>102570600</v>
      </c>
    </row>
    <row r="77" spans="1:7" ht="15" x14ac:dyDescent="0.25">
      <c r="A77" s="5">
        <v>16</v>
      </c>
      <c r="B77" s="1824">
        <f>'Assets-Liab 5-6'!C13</f>
        <v>7487322</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709</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709</v>
      </c>
      <c r="C91" s="2" t="s">
        <v>569</v>
      </c>
      <c r="D91" s="2" t="str">
        <f t="shared" si="0"/>
        <v>Error?</v>
      </c>
      <c r="G91" s="1889">
        <v>102640400</v>
      </c>
    </row>
    <row r="92" spans="1:7" ht="15" x14ac:dyDescent="0.25">
      <c r="A92" s="5">
        <v>31</v>
      </c>
      <c r="B92" s="1824">
        <f>'Assets-Liab 5-6'!C39</f>
        <v>7486613</v>
      </c>
      <c r="D92" s="2" t="str">
        <f t="shared" si="0"/>
        <v>Error?</v>
      </c>
      <c r="G92" s="1889">
        <v>102640600</v>
      </c>
    </row>
    <row r="93" spans="1:7" ht="15" x14ac:dyDescent="0.25">
      <c r="A93" s="5">
        <v>32</v>
      </c>
      <c r="B93" s="1824">
        <f>'Assets-Liab 5-6'!C41</f>
        <v>7487322</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1354</v>
      </c>
      <c r="D108" s="2" t="str">
        <f t="shared" si="0"/>
        <v>Error?</v>
      </c>
      <c r="G108" s="1889">
        <v>402900600</v>
      </c>
    </row>
    <row r="109" spans="1:7" ht="15" x14ac:dyDescent="0.25">
      <c r="A109" s="5">
        <v>48</v>
      </c>
      <c r="B109" s="1824">
        <f>'Assets-Liab 5-6'!D13</f>
        <v>356481</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356481</v>
      </c>
      <c r="D123" s="2" t="str">
        <f t="shared" si="0"/>
        <v>Error?</v>
      </c>
      <c r="G123" s="1889">
        <v>203000400</v>
      </c>
    </row>
    <row r="124" spans="1:7" ht="15" x14ac:dyDescent="0.25">
      <c r="A124" s="5">
        <v>63</v>
      </c>
      <c r="B124" s="1824">
        <f>'Assets-Liab 5-6'!D41</f>
        <v>356481</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115000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533548</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533548</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139587</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139587</v>
      </c>
      <c r="D170" s="2" t="str">
        <f t="shared" si="1"/>
        <v>Error?</v>
      </c>
    </row>
    <row r="171" spans="1:4" x14ac:dyDescent="0.2">
      <c r="A171" s="5">
        <v>110</v>
      </c>
      <c r="B171" s="1824">
        <f>'Assets-Liab 5-6'!F41</f>
        <v>139587</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595215</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44</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44</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595215</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115830</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115830</v>
      </c>
      <c r="D212" s="2" t="str">
        <f t="shared" si="2"/>
        <v>Error?</v>
      </c>
    </row>
    <row r="213" spans="1:4" x14ac:dyDescent="0.2">
      <c r="A213" s="12">
        <v>152</v>
      </c>
      <c r="B213" s="1824">
        <f>'Assets-Liab 5-6'!H41</f>
        <v>115830</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1227227</v>
      </c>
      <c r="D273" s="2" t="str">
        <f t="shared" si="3"/>
        <v>Error?</v>
      </c>
    </row>
    <row r="274" spans="1:4" x14ac:dyDescent="0.2">
      <c r="A274" s="5">
        <v>213</v>
      </c>
      <c r="B274" s="1824">
        <f>'Assets-Liab 5-6'!M17</f>
        <v>24852091</v>
      </c>
      <c r="D274" s="2" t="str">
        <f t="shared" si="3"/>
        <v>Error?</v>
      </c>
    </row>
    <row r="275" spans="1:4" x14ac:dyDescent="0.2">
      <c r="A275" s="5">
        <v>214</v>
      </c>
      <c r="B275" s="1824">
        <f>'Assets-Liab 5-6'!M18</f>
        <v>6446266</v>
      </c>
      <c r="D275" s="2" t="str">
        <f t="shared" si="3"/>
        <v>Error?</v>
      </c>
    </row>
    <row r="276" spans="1:4" x14ac:dyDescent="0.2">
      <c r="A276" s="5">
        <v>215</v>
      </c>
      <c r="B276" s="1824">
        <f>'Assets-Liab 5-6'!M19</f>
        <v>6471295</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38996879</v>
      </c>
      <c r="C279" s="2" t="s">
        <v>569</v>
      </c>
      <c r="D279" s="2" t="str">
        <f t="shared" si="3"/>
        <v>Error?</v>
      </c>
    </row>
    <row r="280" spans="1:4" x14ac:dyDescent="0.2">
      <c r="A280" s="5">
        <v>219</v>
      </c>
      <c r="B280" s="1824">
        <f>'Assets-Liab 5-6'!M40</f>
        <v>38996879</v>
      </c>
      <c r="D280" s="2" t="str">
        <f t="shared" si="3"/>
        <v>Error?</v>
      </c>
    </row>
    <row r="281" spans="1:4" x14ac:dyDescent="0.2">
      <c r="A281" s="5">
        <v>220</v>
      </c>
      <c r="B281" s="1824">
        <f>'Assets-Liab 5-6'!M41</f>
        <v>38996879</v>
      </c>
      <c r="C281" s="2" t="s">
        <v>569</v>
      </c>
      <c r="D281" s="2" t="str">
        <f t="shared" si="3"/>
        <v>Error?</v>
      </c>
    </row>
    <row r="282" spans="1:4" x14ac:dyDescent="0.2">
      <c r="A282" s="5">
        <v>221</v>
      </c>
      <c r="B282" s="1824">
        <f>'Assets-Liab 5-6'!N21</f>
        <v>533548</v>
      </c>
      <c r="D282" s="2" t="str">
        <f t="shared" si="3"/>
        <v>Error?</v>
      </c>
    </row>
    <row r="283" spans="1:4" x14ac:dyDescent="0.2">
      <c r="A283" s="5">
        <v>222</v>
      </c>
      <c r="B283" s="1824">
        <f>'Assets-Liab 5-6'!N22</f>
        <v>2355952</v>
      </c>
      <c r="D283" s="2" t="str">
        <f t="shared" si="3"/>
        <v>Error?</v>
      </c>
    </row>
    <row r="284" spans="1:4" x14ac:dyDescent="0.2">
      <c r="A284" s="5">
        <v>223</v>
      </c>
      <c r="B284" s="1824">
        <f>'Assets-Liab 5-6'!N23</f>
        <v>2889500</v>
      </c>
      <c r="C284" s="2" t="s">
        <v>569</v>
      </c>
      <c r="D284" s="2" t="str">
        <f t="shared" si="3"/>
        <v>Error?</v>
      </c>
    </row>
    <row r="285" spans="1:4" x14ac:dyDescent="0.2">
      <c r="A285" s="5">
        <v>224</v>
      </c>
      <c r="B285" s="1824">
        <f>'Assets-Liab 5-6'!N36</f>
        <v>2889500</v>
      </c>
      <c r="D285" s="2" t="str">
        <f t="shared" si="3"/>
        <v>Error?</v>
      </c>
    </row>
    <row r="286" spans="1:4" x14ac:dyDescent="0.2">
      <c r="A286" s="10">
        <v>225</v>
      </c>
      <c r="B286" s="1824"/>
      <c r="D286" s="2" t="str">
        <f t="shared" si="3"/>
        <v>OK</v>
      </c>
    </row>
    <row r="287" spans="1:4" x14ac:dyDescent="0.2">
      <c r="A287" s="5">
        <v>226</v>
      </c>
      <c r="B287" s="1824">
        <f>'Assets-Liab 5-6'!N37</f>
        <v>2889500</v>
      </c>
      <c r="C287" s="2" t="s">
        <v>569</v>
      </c>
      <c r="D287" s="2" t="str">
        <f t="shared" si="3"/>
        <v>Error?</v>
      </c>
    </row>
    <row r="288" spans="1:4" x14ac:dyDescent="0.2">
      <c r="A288" s="5">
        <v>227</v>
      </c>
      <c r="B288" s="1824">
        <f>'Assets-Liab 5-6'!N41</f>
        <v>2889500</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5923133</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491980</v>
      </c>
      <c r="D717" s="2" t="str">
        <f t="shared" si="10"/>
        <v>Error?</v>
      </c>
    </row>
    <row r="718" spans="1:4" x14ac:dyDescent="0.2">
      <c r="A718" s="5">
        <v>657</v>
      </c>
      <c r="B718" s="1824">
        <f>'Expenditures 15-22'!C14</f>
        <v>173722</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9405545</v>
      </c>
      <c r="C720" s="2" t="s">
        <v>569</v>
      </c>
      <c r="D720" s="2" t="str">
        <f t="shared" si="10"/>
        <v>Error?</v>
      </c>
    </row>
    <row r="721" spans="1:4" x14ac:dyDescent="0.2">
      <c r="A721" s="5">
        <v>660</v>
      </c>
      <c r="B721" s="1824">
        <f>'Expenditures 15-22'!C36</f>
        <v>129613</v>
      </c>
      <c r="D721" s="2" t="str">
        <f t="shared" si="10"/>
        <v>Error?</v>
      </c>
    </row>
    <row r="722" spans="1:4" x14ac:dyDescent="0.2">
      <c r="A722" s="5">
        <v>661</v>
      </c>
      <c r="B722" s="1824">
        <f>'Expenditures 15-22'!C37</f>
        <v>141166</v>
      </c>
      <c r="D722" s="2" t="str">
        <f t="shared" si="10"/>
        <v>Error?</v>
      </c>
    </row>
    <row r="723" spans="1:4" x14ac:dyDescent="0.2">
      <c r="A723" s="5">
        <v>662</v>
      </c>
      <c r="B723" s="1824">
        <f>'Expenditures 15-22'!C38</f>
        <v>92889</v>
      </c>
      <c r="D723" s="2" t="str">
        <f t="shared" si="10"/>
        <v>Error?</v>
      </c>
    </row>
    <row r="724" spans="1:4" x14ac:dyDescent="0.2">
      <c r="A724" s="5">
        <v>663</v>
      </c>
      <c r="B724" s="1824">
        <f>'Expenditures 15-22'!C39</f>
        <v>68593</v>
      </c>
      <c r="D724" s="2" t="str">
        <f t="shared" si="10"/>
        <v>Error?</v>
      </c>
    </row>
    <row r="725" spans="1:4" x14ac:dyDescent="0.2">
      <c r="A725" s="5">
        <v>664</v>
      </c>
      <c r="B725" s="1824">
        <f>'Expenditures 15-22'!C40</f>
        <v>194481</v>
      </c>
      <c r="D725" s="2" t="str">
        <f t="shared" si="10"/>
        <v>Error?</v>
      </c>
    </row>
    <row r="726" spans="1:4" x14ac:dyDescent="0.2">
      <c r="A726" s="5">
        <v>665</v>
      </c>
      <c r="B726" s="1824">
        <f>'Expenditures 15-22'!C41</f>
        <v>48885</v>
      </c>
      <c r="D726" s="2" t="str">
        <f t="shared" si="10"/>
        <v>Error?</v>
      </c>
    </row>
    <row r="727" spans="1:4" x14ac:dyDescent="0.2">
      <c r="A727" s="5">
        <v>666</v>
      </c>
      <c r="B727" s="1824">
        <f>'Expenditures 15-22'!C42</f>
        <v>675627</v>
      </c>
      <c r="C727" s="2" t="s">
        <v>569</v>
      </c>
      <c r="D727" s="2" t="str">
        <f t="shared" si="10"/>
        <v>Error?</v>
      </c>
    </row>
    <row r="728" spans="1:4" x14ac:dyDescent="0.2">
      <c r="A728" s="5">
        <v>667</v>
      </c>
      <c r="B728" s="1824">
        <f>'Expenditures 15-22'!C44</f>
        <v>69737</v>
      </c>
      <c r="D728" s="2" t="str">
        <f t="shared" si="10"/>
        <v>Error?</v>
      </c>
    </row>
    <row r="729" spans="1:4" x14ac:dyDescent="0.2">
      <c r="A729" s="5">
        <v>668</v>
      </c>
      <c r="B729" s="1824">
        <f>'Expenditures 15-22'!C45</f>
        <v>147909</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217646</v>
      </c>
      <c r="C731" s="2" t="s">
        <v>569</v>
      </c>
      <c r="D731" s="2" t="str">
        <f t="shared" si="10"/>
        <v>Error?</v>
      </c>
    </row>
    <row r="732" spans="1:4" x14ac:dyDescent="0.2">
      <c r="A732" s="5">
        <v>671</v>
      </c>
      <c r="B732" s="1824">
        <f>'Expenditures 15-22'!C49</f>
        <v>5000</v>
      </c>
      <c r="D732" s="2" t="str">
        <f t="shared" si="10"/>
        <v>Error?</v>
      </c>
    </row>
    <row r="733" spans="1:4" x14ac:dyDescent="0.2">
      <c r="A733" s="5">
        <v>672</v>
      </c>
      <c r="B733" s="1824">
        <f>'Expenditures 15-22'!C50</f>
        <v>118450</v>
      </c>
      <c r="D733" s="2" t="str">
        <f t="shared" si="10"/>
        <v>Error?</v>
      </c>
    </row>
    <row r="734" spans="1:4" x14ac:dyDescent="0.2">
      <c r="A734" s="5">
        <v>673</v>
      </c>
      <c r="B734" s="1824">
        <f>'Expenditures 15-22'!C53</f>
        <v>126978</v>
      </c>
      <c r="C734" s="2" t="s">
        <v>569</v>
      </c>
      <c r="D734" s="2" t="str">
        <f t="shared" si="10"/>
        <v>Error?</v>
      </c>
    </row>
    <row r="735" spans="1:4" x14ac:dyDescent="0.2">
      <c r="A735" s="5">
        <v>674</v>
      </c>
      <c r="B735" s="1824">
        <f>'Expenditures 15-22'!C55</f>
        <v>905848</v>
      </c>
      <c r="D735" s="2" t="str">
        <f t="shared" si="10"/>
        <v>Error?</v>
      </c>
    </row>
    <row r="736" spans="1:4" x14ac:dyDescent="0.2">
      <c r="A736" s="5">
        <v>675</v>
      </c>
      <c r="B736" s="1824">
        <f>'Expenditures 15-22'!C56</f>
        <v>3711</v>
      </c>
      <c r="D736" s="2" t="str">
        <f t="shared" si="10"/>
        <v>Error?</v>
      </c>
    </row>
    <row r="737" spans="1:4" x14ac:dyDescent="0.2">
      <c r="A737" s="5">
        <v>676</v>
      </c>
      <c r="B737" s="1824">
        <f>'Expenditures 15-22'!C57</f>
        <v>909559</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248340</v>
      </c>
      <c r="D739" s="2" t="str">
        <f t="shared" si="10"/>
        <v>Error?</v>
      </c>
    </row>
    <row r="740" spans="1:4" x14ac:dyDescent="0.2">
      <c r="A740" s="5">
        <v>679</v>
      </c>
      <c r="B740" s="1824">
        <f>'Expenditures 15-22'!C61</f>
        <v>0</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422088</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670428</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0</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2600238</v>
      </c>
      <c r="C755" s="2" t="s">
        <v>569</v>
      </c>
      <c r="D755" s="2" t="str">
        <f t="shared" si="10"/>
        <v>Error?</v>
      </c>
    </row>
    <row r="756" spans="1:4" x14ac:dyDescent="0.2">
      <c r="A756" s="5">
        <v>695</v>
      </c>
      <c r="B756" s="1824">
        <f>'Expenditures 15-22'!C75</f>
        <v>0</v>
      </c>
      <c r="D756" s="2" t="str">
        <f t="shared" si="10"/>
        <v>Error?</v>
      </c>
    </row>
    <row r="757" spans="1:4" x14ac:dyDescent="0.2">
      <c r="A757" s="5">
        <v>696</v>
      </c>
      <c r="B757" s="1824">
        <f>'Expenditures 15-22'!C114</f>
        <v>12005783</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1351696</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82554</v>
      </c>
      <c r="D775" s="2" t="str">
        <f t="shared" si="11"/>
        <v>Error?</v>
      </c>
    </row>
    <row r="776" spans="1:4" x14ac:dyDescent="0.2">
      <c r="A776" s="5">
        <v>715</v>
      </c>
      <c r="B776" s="1824">
        <f>'Expenditures 15-22'!D14</f>
        <v>5212</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2061956</v>
      </c>
      <c r="C778" s="2" t="s">
        <v>569</v>
      </c>
      <c r="D778" s="2" t="str">
        <f t="shared" si="11"/>
        <v>Error?</v>
      </c>
    </row>
    <row r="779" spans="1:4" x14ac:dyDescent="0.2">
      <c r="A779" s="5">
        <v>718</v>
      </c>
      <c r="B779" s="1824">
        <f>'Expenditures 15-22'!D36</f>
        <v>30556</v>
      </c>
      <c r="D779" s="2" t="str">
        <f t="shared" si="11"/>
        <v>Error?</v>
      </c>
    </row>
    <row r="780" spans="1:4" x14ac:dyDescent="0.2">
      <c r="A780" s="5">
        <v>719</v>
      </c>
      <c r="B780" s="1824">
        <f>'Expenditures 15-22'!D37</f>
        <v>28755</v>
      </c>
      <c r="D780" s="2" t="str">
        <f t="shared" si="11"/>
        <v>Error?</v>
      </c>
    </row>
    <row r="781" spans="1:4" x14ac:dyDescent="0.2">
      <c r="A781" s="5">
        <v>720</v>
      </c>
      <c r="B781" s="1824">
        <f>'Expenditures 15-22'!D38</f>
        <v>3820</v>
      </c>
      <c r="D781" s="2" t="str">
        <f t="shared" si="11"/>
        <v>Error?</v>
      </c>
    </row>
    <row r="782" spans="1:4" x14ac:dyDescent="0.2">
      <c r="A782" s="5">
        <v>721</v>
      </c>
      <c r="B782" s="1824">
        <f>'Expenditures 15-22'!D39</f>
        <v>15251</v>
      </c>
      <c r="D782" s="2" t="str">
        <f t="shared" si="11"/>
        <v>Error?</v>
      </c>
    </row>
    <row r="783" spans="1:4" x14ac:dyDescent="0.2">
      <c r="A783" s="5">
        <v>722</v>
      </c>
      <c r="B783" s="1824">
        <f>'Expenditures 15-22'!D40</f>
        <v>34602</v>
      </c>
      <c r="D783" s="2" t="str">
        <f t="shared" si="11"/>
        <v>Error?</v>
      </c>
    </row>
    <row r="784" spans="1:4" x14ac:dyDescent="0.2">
      <c r="A784" s="5">
        <v>723</v>
      </c>
      <c r="B784" s="1824">
        <f>'Expenditures 15-22'!D41</f>
        <v>1902</v>
      </c>
      <c r="D784" s="2" t="str">
        <f t="shared" si="11"/>
        <v>Error?</v>
      </c>
    </row>
    <row r="785" spans="1:4" x14ac:dyDescent="0.2">
      <c r="A785" s="5">
        <v>724</v>
      </c>
      <c r="B785" s="1824">
        <f>'Expenditures 15-22'!D42</f>
        <v>114886</v>
      </c>
      <c r="C785" s="2" t="s">
        <v>569</v>
      </c>
      <c r="D785" s="2" t="str">
        <f t="shared" si="11"/>
        <v>Error?</v>
      </c>
    </row>
    <row r="786" spans="1:4" x14ac:dyDescent="0.2">
      <c r="A786" s="5">
        <v>725</v>
      </c>
      <c r="B786" s="1824">
        <f>'Expenditures 15-22'!D44</f>
        <v>21268</v>
      </c>
      <c r="D786" s="2" t="str">
        <f t="shared" si="11"/>
        <v>Error?</v>
      </c>
    </row>
    <row r="787" spans="1:4" x14ac:dyDescent="0.2">
      <c r="A787" s="5">
        <v>726</v>
      </c>
      <c r="B787" s="1824">
        <f>'Expenditures 15-22'!D45</f>
        <v>37587</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58855</v>
      </c>
      <c r="C789" s="2" t="s">
        <v>569</v>
      </c>
      <c r="D789" s="2" t="str">
        <f t="shared" si="11"/>
        <v>Error?</v>
      </c>
    </row>
    <row r="790" spans="1:4" x14ac:dyDescent="0.2">
      <c r="A790" s="5">
        <v>729</v>
      </c>
      <c r="B790" s="1824">
        <f>'Expenditures 15-22'!D49</f>
        <v>26446</v>
      </c>
      <c r="D790" s="2" t="str">
        <f t="shared" si="11"/>
        <v>Error?</v>
      </c>
    </row>
    <row r="791" spans="1:4" x14ac:dyDescent="0.2">
      <c r="A791" s="5">
        <v>730</v>
      </c>
      <c r="B791" s="1824">
        <f>'Expenditures 15-22'!D50</f>
        <v>28063</v>
      </c>
      <c r="D791" s="2" t="str">
        <f t="shared" si="11"/>
        <v>Error?</v>
      </c>
    </row>
    <row r="792" spans="1:4" x14ac:dyDescent="0.2">
      <c r="A792" s="5">
        <v>731</v>
      </c>
      <c r="B792" s="1824">
        <f>'Expenditures 15-22'!D53</f>
        <v>54632</v>
      </c>
      <c r="C792" s="2" t="s">
        <v>569</v>
      </c>
      <c r="D792" s="2" t="str">
        <f t="shared" si="11"/>
        <v>Error?</v>
      </c>
    </row>
    <row r="793" spans="1:4" x14ac:dyDescent="0.2">
      <c r="A793" s="5">
        <v>732</v>
      </c>
      <c r="B793" s="1824">
        <f>'Expenditures 15-22'!D55</f>
        <v>145050</v>
      </c>
      <c r="D793" s="2" t="str">
        <f t="shared" si="11"/>
        <v>Error?</v>
      </c>
    </row>
    <row r="794" spans="1:4" x14ac:dyDescent="0.2">
      <c r="A794" s="5">
        <v>733</v>
      </c>
      <c r="B794" s="1824">
        <f>'Expenditures 15-22'!D56</f>
        <v>172</v>
      </c>
      <c r="D794" s="2" t="str">
        <f t="shared" si="11"/>
        <v>Error?</v>
      </c>
    </row>
    <row r="795" spans="1:4" x14ac:dyDescent="0.2">
      <c r="A795" s="5">
        <v>734</v>
      </c>
      <c r="B795" s="1824">
        <f>'Expenditures 15-22'!D57</f>
        <v>145222</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220252</v>
      </c>
      <c r="D797" s="2" t="str">
        <f t="shared" si="11"/>
        <v>Error?</v>
      </c>
    </row>
    <row r="798" spans="1:4" x14ac:dyDescent="0.2">
      <c r="A798" s="5">
        <v>737</v>
      </c>
      <c r="B798" s="1824">
        <f>'Expenditures 15-22'!D61</f>
        <v>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66611</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286863</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660458</v>
      </c>
      <c r="C813" s="2" t="s">
        <v>569</v>
      </c>
      <c r="D813" s="2" t="str">
        <f t="shared" si="11"/>
        <v>Error?</v>
      </c>
    </row>
    <row r="814" spans="1:4" x14ac:dyDescent="0.2">
      <c r="A814" s="5">
        <v>753</v>
      </c>
      <c r="B814" s="1824">
        <f>'Expenditures 15-22'!D75</f>
        <v>0</v>
      </c>
      <c r="D814" s="2" t="str">
        <f t="shared" si="11"/>
        <v>Error?</v>
      </c>
    </row>
    <row r="815" spans="1:4" x14ac:dyDescent="0.2">
      <c r="A815" s="5">
        <v>754</v>
      </c>
      <c r="B815" s="1824">
        <f>'Expenditures 15-22'!D114</f>
        <v>2722414</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18222</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2248</v>
      </c>
      <c r="D833" s="2" t="str">
        <f t="shared" si="12"/>
        <v>Error?</v>
      </c>
    </row>
    <row r="834" spans="1:4" x14ac:dyDescent="0.2">
      <c r="A834" s="5">
        <v>773</v>
      </c>
      <c r="B834" s="1824">
        <f>'Expenditures 15-22'!E14</f>
        <v>40158</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119097</v>
      </c>
      <c r="C836" s="2" t="s">
        <v>569</v>
      </c>
      <c r="D836" s="2" t="str">
        <f t="shared" si="12"/>
        <v>Error?</v>
      </c>
    </row>
    <row r="837" spans="1:4" x14ac:dyDescent="0.2">
      <c r="A837" s="5">
        <v>776</v>
      </c>
      <c r="B837" s="1824">
        <f>'Expenditures 15-22'!E36</f>
        <v>535</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33908</v>
      </c>
      <c r="D839" s="2" t="str">
        <f t="shared" si="12"/>
        <v>Error?</v>
      </c>
    </row>
    <row r="840" spans="1:4" x14ac:dyDescent="0.2">
      <c r="A840" s="5">
        <v>779</v>
      </c>
      <c r="B840" s="1824">
        <f>'Expenditures 15-22'!E39</f>
        <v>248</v>
      </c>
      <c r="D840" s="2" t="str">
        <f t="shared" si="12"/>
        <v>Error?</v>
      </c>
    </row>
    <row r="841" spans="1:4" x14ac:dyDescent="0.2">
      <c r="A841" s="5">
        <v>780</v>
      </c>
      <c r="B841" s="1824">
        <f>'Expenditures 15-22'!E40</f>
        <v>439</v>
      </c>
      <c r="D841" s="2" t="str">
        <f t="shared" si="12"/>
        <v>Error?</v>
      </c>
    </row>
    <row r="842" spans="1:4" x14ac:dyDescent="0.2">
      <c r="A842" s="5">
        <v>781</v>
      </c>
      <c r="B842" s="1824">
        <f>'Expenditures 15-22'!E41</f>
        <v>12751</v>
      </c>
      <c r="D842" s="2" t="str">
        <f t="shared" si="12"/>
        <v>Error?</v>
      </c>
    </row>
    <row r="843" spans="1:4" x14ac:dyDescent="0.2">
      <c r="A843" s="5">
        <v>782</v>
      </c>
      <c r="B843" s="1824">
        <f>'Expenditures 15-22'!E42</f>
        <v>47881</v>
      </c>
      <c r="C843" s="2" t="s">
        <v>569</v>
      </c>
      <c r="D843" s="2" t="str">
        <f t="shared" si="12"/>
        <v>Error?</v>
      </c>
    </row>
    <row r="844" spans="1:4" x14ac:dyDescent="0.2">
      <c r="A844" s="5">
        <v>783</v>
      </c>
      <c r="B844" s="1824">
        <f>'Expenditures 15-22'!E44</f>
        <v>25144</v>
      </c>
      <c r="D844" s="2" t="str">
        <f t="shared" si="12"/>
        <v>Error?</v>
      </c>
    </row>
    <row r="845" spans="1:4" x14ac:dyDescent="0.2">
      <c r="A845" s="5">
        <v>784</v>
      </c>
      <c r="B845" s="1824">
        <f>'Expenditures 15-22'!E45</f>
        <v>12411</v>
      </c>
      <c r="D845" s="2" t="str">
        <f t="shared" si="12"/>
        <v>Error?</v>
      </c>
    </row>
    <row r="846" spans="1:4" x14ac:dyDescent="0.2">
      <c r="A846" s="5">
        <v>785</v>
      </c>
      <c r="B846" s="1824">
        <f>'Expenditures 15-22'!E46</f>
        <v>60314</v>
      </c>
      <c r="D846" s="2" t="str">
        <f t="shared" si="12"/>
        <v>Error?</v>
      </c>
    </row>
    <row r="847" spans="1:4" x14ac:dyDescent="0.2">
      <c r="A847" s="5">
        <v>786</v>
      </c>
      <c r="B847" s="1824">
        <f>'Expenditures 15-22'!E47</f>
        <v>97869</v>
      </c>
      <c r="C847" s="2" t="s">
        <v>569</v>
      </c>
      <c r="D847" s="2" t="str">
        <f t="shared" si="12"/>
        <v>Error?</v>
      </c>
    </row>
    <row r="848" spans="1:4" x14ac:dyDescent="0.2">
      <c r="A848" s="5">
        <v>787</v>
      </c>
      <c r="B848" s="1824">
        <f>'Expenditures 15-22'!E49</f>
        <v>58238</v>
      </c>
      <c r="D848" s="2" t="str">
        <f t="shared" si="12"/>
        <v>Error?</v>
      </c>
    </row>
    <row r="849" spans="1:4" x14ac:dyDescent="0.2">
      <c r="A849" s="5">
        <v>788</v>
      </c>
      <c r="B849" s="1824">
        <f>'Expenditures 15-22'!E50</f>
        <v>2790</v>
      </c>
      <c r="D849" s="2" t="str">
        <f t="shared" si="12"/>
        <v>Error?</v>
      </c>
    </row>
    <row r="850" spans="1:4" x14ac:dyDescent="0.2">
      <c r="A850" s="5">
        <v>789</v>
      </c>
      <c r="B850" s="1824">
        <f>'Expenditures 15-22'!E53</f>
        <v>75206</v>
      </c>
      <c r="C850" s="2" t="s">
        <v>569</v>
      </c>
      <c r="D850" s="2" t="str">
        <f t="shared" si="12"/>
        <v>Error?</v>
      </c>
    </row>
    <row r="851" spans="1:4" x14ac:dyDescent="0.2">
      <c r="A851" s="5">
        <v>790</v>
      </c>
      <c r="B851" s="1824">
        <f>'Expenditures 15-22'!E55</f>
        <v>31292</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31292</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12315</v>
      </c>
      <c r="D855" s="2" t="str">
        <f t="shared" si="12"/>
        <v>Error?</v>
      </c>
    </row>
    <row r="856" spans="1:4" x14ac:dyDescent="0.2">
      <c r="A856" s="5">
        <v>795</v>
      </c>
      <c r="B856" s="1824">
        <f>'Expenditures 15-22'!E61</f>
        <v>125</v>
      </c>
      <c r="D856" s="2" t="str">
        <f t="shared" si="12"/>
        <v>Error?</v>
      </c>
    </row>
    <row r="857" spans="1:4" x14ac:dyDescent="0.2">
      <c r="A857" s="5">
        <v>796</v>
      </c>
      <c r="B857" s="1824">
        <f>'Expenditures 15-22'!E62</f>
        <v>3802</v>
      </c>
      <c r="D857" s="2" t="str">
        <f t="shared" si="12"/>
        <v>Error?</v>
      </c>
    </row>
    <row r="858" spans="1:4" x14ac:dyDescent="0.2">
      <c r="A858" s="5">
        <v>797</v>
      </c>
      <c r="B858" s="1824">
        <f>'Expenditures 15-22'!E63</f>
        <v>54863</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71105</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4882</v>
      </c>
      <c r="D867" s="2" t="str">
        <f t="shared" si="12"/>
        <v>Error?</v>
      </c>
    </row>
    <row r="868" spans="1:4" x14ac:dyDescent="0.2">
      <c r="A868" s="10">
        <v>807</v>
      </c>
      <c r="B868" s="1824"/>
      <c r="D868" s="2" t="str">
        <f t="shared" si="12"/>
        <v>OK</v>
      </c>
    </row>
    <row r="869" spans="1:4" x14ac:dyDescent="0.2">
      <c r="A869" s="5">
        <v>808</v>
      </c>
      <c r="B869" s="1824">
        <f>'Expenditures 15-22'!E72</f>
        <v>4882</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328235</v>
      </c>
      <c r="C871" s="2" t="s">
        <v>569</v>
      </c>
      <c r="D871" s="2" t="str">
        <f t="shared" si="12"/>
        <v>Error?</v>
      </c>
    </row>
    <row r="872" spans="1:4" x14ac:dyDescent="0.2">
      <c r="A872" s="5">
        <v>811</v>
      </c>
      <c r="B872" s="1824">
        <f>'Expenditures 15-22'!E75</f>
        <v>17327</v>
      </c>
      <c r="D872" s="2" t="str">
        <f t="shared" si="12"/>
        <v>Error?</v>
      </c>
    </row>
    <row r="873" spans="1:4" x14ac:dyDescent="0.2">
      <c r="A873" s="5">
        <v>812</v>
      </c>
      <c r="B873" s="1824">
        <f>'Expenditures 15-22'!E114</f>
        <v>474488</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131166</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9238</v>
      </c>
      <c r="D891" s="2" t="str">
        <f t="shared" si="12"/>
        <v>Error?</v>
      </c>
    </row>
    <row r="892" spans="1:4" x14ac:dyDescent="0.2">
      <c r="A892" s="5">
        <v>831</v>
      </c>
      <c r="B892" s="1824">
        <f>'Expenditures 15-22'!F14</f>
        <v>40962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408361</v>
      </c>
      <c r="C894" s="2" t="s">
        <v>569</v>
      </c>
      <c r="D894" s="2" t="str">
        <f t="shared" si="12"/>
        <v>Error?</v>
      </c>
    </row>
    <row r="895" spans="1:4" x14ac:dyDescent="0.2">
      <c r="A895" s="5">
        <v>834</v>
      </c>
      <c r="B895" s="1824">
        <f>'Expenditures 15-22'!F36</f>
        <v>436</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4730</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0</v>
      </c>
      <c r="D899" s="2" t="str">
        <f t="shared" si="13"/>
        <v>Error?</v>
      </c>
    </row>
    <row r="900" spans="1:4" x14ac:dyDescent="0.2">
      <c r="A900" s="5">
        <v>839</v>
      </c>
      <c r="B900" s="1824">
        <f>'Expenditures 15-22'!F41</f>
        <v>5310</v>
      </c>
      <c r="D900" s="2" t="str">
        <f t="shared" si="13"/>
        <v>Error?</v>
      </c>
    </row>
    <row r="901" spans="1:4" x14ac:dyDescent="0.2">
      <c r="A901" s="5">
        <v>840</v>
      </c>
      <c r="B901" s="1824">
        <f>'Expenditures 15-22'!F42</f>
        <v>10476</v>
      </c>
      <c r="C901" s="2" t="s">
        <v>569</v>
      </c>
      <c r="D901" s="2" t="str">
        <f t="shared" si="13"/>
        <v>Error?</v>
      </c>
    </row>
    <row r="902" spans="1:4" x14ac:dyDescent="0.2">
      <c r="A902" s="5">
        <v>841</v>
      </c>
      <c r="B902" s="1824">
        <f>'Expenditures 15-22'!F44</f>
        <v>2240</v>
      </c>
      <c r="D902" s="2" t="str">
        <f t="shared" si="13"/>
        <v>Error?</v>
      </c>
    </row>
    <row r="903" spans="1:4" x14ac:dyDescent="0.2">
      <c r="A903" s="5">
        <v>842</v>
      </c>
      <c r="B903" s="1824">
        <f>'Expenditures 15-22'!F45</f>
        <v>4375</v>
      </c>
      <c r="D903" s="2" t="str">
        <f t="shared" si="13"/>
        <v>Error?</v>
      </c>
    </row>
    <row r="904" spans="1:4" x14ac:dyDescent="0.2">
      <c r="A904" s="5">
        <v>843</v>
      </c>
      <c r="B904" s="1824">
        <f>'Expenditures 15-22'!F46</f>
        <v>455</v>
      </c>
      <c r="D904" s="2" t="str">
        <f t="shared" si="13"/>
        <v>Error?</v>
      </c>
    </row>
    <row r="905" spans="1:4" x14ac:dyDescent="0.2">
      <c r="A905" s="5">
        <v>844</v>
      </c>
      <c r="B905" s="1824">
        <f>'Expenditures 15-22'!F47</f>
        <v>7070</v>
      </c>
      <c r="C905" s="2" t="s">
        <v>569</v>
      </c>
      <c r="D905" s="2" t="str">
        <f t="shared" si="13"/>
        <v>Error?</v>
      </c>
    </row>
    <row r="906" spans="1:4" x14ac:dyDescent="0.2">
      <c r="A906" s="5">
        <v>845</v>
      </c>
      <c r="B906" s="1824">
        <f>'Expenditures 15-22'!F49</f>
        <v>7889</v>
      </c>
      <c r="D906" s="2" t="str">
        <f t="shared" si="13"/>
        <v>Error?</v>
      </c>
    </row>
    <row r="907" spans="1:4" x14ac:dyDescent="0.2">
      <c r="A907" s="5">
        <v>846</v>
      </c>
      <c r="B907" s="1824">
        <f>'Expenditures 15-22'!F50</f>
        <v>79</v>
      </c>
      <c r="D907" s="2" t="str">
        <f t="shared" si="13"/>
        <v>Error?</v>
      </c>
    </row>
    <row r="908" spans="1:4" x14ac:dyDescent="0.2">
      <c r="A908" s="5">
        <v>847</v>
      </c>
      <c r="B908" s="1824">
        <f>'Expenditures 15-22'!F53</f>
        <v>7968</v>
      </c>
      <c r="C908" s="2" t="s">
        <v>569</v>
      </c>
      <c r="D908" s="2" t="str">
        <f t="shared" si="13"/>
        <v>Error?</v>
      </c>
    </row>
    <row r="909" spans="1:4" x14ac:dyDescent="0.2">
      <c r="A909" s="5">
        <v>848</v>
      </c>
      <c r="B909" s="1824">
        <f>'Expenditures 15-22'!F55</f>
        <v>55930</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55930</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15151</v>
      </c>
      <c r="D913" s="2" t="str">
        <f t="shared" si="13"/>
        <v>Error?</v>
      </c>
    </row>
    <row r="914" spans="1:4" x14ac:dyDescent="0.2">
      <c r="A914" s="5">
        <v>853</v>
      </c>
      <c r="B914" s="1824">
        <f>'Expenditures 15-22'!F61</f>
        <v>0</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734563</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749714</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831158</v>
      </c>
      <c r="C929" s="2" t="s">
        <v>569</v>
      </c>
      <c r="D929" s="2" t="str">
        <f t="shared" si="13"/>
        <v>Error?</v>
      </c>
    </row>
    <row r="930" spans="1:4" x14ac:dyDescent="0.2">
      <c r="A930" s="5">
        <v>869</v>
      </c>
      <c r="B930" s="1824">
        <f>'Expenditures 15-22'!F75</f>
        <v>2072</v>
      </c>
      <c r="D930" s="2" t="str">
        <f t="shared" si="13"/>
        <v>Error?</v>
      </c>
    </row>
    <row r="931" spans="1:4" x14ac:dyDescent="0.2">
      <c r="A931" s="5">
        <v>870</v>
      </c>
      <c r="B931" s="1824">
        <f>'Expenditures 15-22'!F114</f>
        <v>1241591</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17706</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1100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36377</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3725</v>
      </c>
      <c r="C966" s="2" t="s">
        <v>569</v>
      </c>
      <c r="D966" s="2" t="str">
        <f t="shared" si="14"/>
        <v>Error?</v>
      </c>
    </row>
    <row r="967" spans="1:4" x14ac:dyDescent="0.2">
      <c r="A967" s="5">
        <v>906</v>
      </c>
      <c r="B967" s="1824">
        <f>'Expenditures 15-22'!G55</f>
        <v>2275</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2275</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859</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5749</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6608</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13813</v>
      </c>
      <c r="D983" s="2" t="str">
        <f t="shared" si="14"/>
        <v>Error?</v>
      </c>
    </row>
    <row r="984" spans="1:4" x14ac:dyDescent="0.2">
      <c r="A984" s="10">
        <v>923</v>
      </c>
      <c r="B984" s="1824"/>
      <c r="D984" s="2" t="str">
        <f t="shared" si="14"/>
        <v>OK</v>
      </c>
    </row>
    <row r="985" spans="1:4" x14ac:dyDescent="0.2">
      <c r="A985" s="5">
        <v>924</v>
      </c>
      <c r="B985" s="1824">
        <f>'Expenditures 15-22'!G72</f>
        <v>13813</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26421</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62798</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1481</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1975</v>
      </c>
      <c r="D1007" s="2" t="str">
        <f t="shared" si="14"/>
        <v>Error?</v>
      </c>
    </row>
    <row r="1008" spans="1:4" x14ac:dyDescent="0.2">
      <c r="A1008" s="5">
        <v>947</v>
      </c>
      <c r="B1008" s="1824">
        <f>'Expenditures 15-22'!H14</f>
        <v>8782</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12637</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40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1378</v>
      </c>
      <c r="D1016" s="2" t="str">
        <f t="shared" si="14"/>
        <v>Error?</v>
      </c>
    </row>
    <row r="1017" spans="1:4" x14ac:dyDescent="0.2">
      <c r="A1017" s="5">
        <v>956</v>
      </c>
      <c r="B1017" s="1824">
        <f>'Expenditures 15-22'!H42</f>
        <v>1418</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18623</v>
      </c>
      <c r="D1022" s="2" t="str">
        <f t="shared" si="14"/>
        <v>Error?</v>
      </c>
    </row>
    <row r="1023" spans="1:4" x14ac:dyDescent="0.2">
      <c r="A1023" s="5">
        <v>962</v>
      </c>
      <c r="B1023" s="1824">
        <f>'Expenditures 15-22'!H50</f>
        <v>1008</v>
      </c>
      <c r="D1023" s="2" t="str">
        <f t="shared" ref="D1023:D1086" si="15">IF(ISBLANK(B1023),"OK",IF(A1023-B1023=0,"OK","Error?"))</f>
        <v>Error?</v>
      </c>
    </row>
    <row r="1024" spans="1:4" x14ac:dyDescent="0.2">
      <c r="A1024" s="5">
        <v>963</v>
      </c>
      <c r="B1024" s="1824">
        <f>'Expenditures 15-22'!H53</f>
        <v>19631</v>
      </c>
      <c r="C1024" s="2" t="s">
        <v>569</v>
      </c>
      <c r="D1024" s="2" t="str">
        <f t="shared" si="15"/>
        <v>Error?</v>
      </c>
    </row>
    <row r="1025" spans="1:4" x14ac:dyDescent="0.2">
      <c r="A1025" s="5">
        <v>964</v>
      </c>
      <c r="B1025" s="1824">
        <f>'Expenditures 15-22'!H55</f>
        <v>3837</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3837</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4147</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1336</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5483</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30369</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263540</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306546</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7443404</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589095</v>
      </c>
      <c r="C1105" s="2" t="s">
        <v>569</v>
      </c>
      <c r="D1105" s="2" t="str">
        <f t="shared" si="16"/>
        <v>Error?</v>
      </c>
    </row>
    <row r="1106" spans="1:4" x14ac:dyDescent="0.2">
      <c r="A1106" s="5">
        <v>1045</v>
      </c>
      <c r="B1106" s="1824">
        <f>'Expenditures 15-22'!K14</f>
        <v>268836</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12043973</v>
      </c>
      <c r="C1108" s="2" t="s">
        <v>569</v>
      </c>
      <c r="D1108" s="2" t="str">
        <f t="shared" si="16"/>
        <v>Error?</v>
      </c>
    </row>
    <row r="1109" spans="1:4" x14ac:dyDescent="0.2">
      <c r="A1109" s="5">
        <v>1048</v>
      </c>
      <c r="B1109" s="1824">
        <f>'Expenditures 15-22'!K36</f>
        <v>161140</v>
      </c>
      <c r="C1109" s="2" t="s">
        <v>569</v>
      </c>
      <c r="D1109" s="2" t="str">
        <f t="shared" si="16"/>
        <v>Error?</v>
      </c>
    </row>
    <row r="1110" spans="1:4" x14ac:dyDescent="0.2">
      <c r="A1110" s="5">
        <v>1049</v>
      </c>
      <c r="B1110" s="1824">
        <f>'Expenditures 15-22'!K37</f>
        <v>169921</v>
      </c>
      <c r="C1110" s="2" t="s">
        <v>569</v>
      </c>
      <c r="D1110" s="2" t="str">
        <f t="shared" si="16"/>
        <v>Error?</v>
      </c>
    </row>
    <row r="1111" spans="1:4" x14ac:dyDescent="0.2">
      <c r="A1111" s="5">
        <v>1050</v>
      </c>
      <c r="B1111" s="1824">
        <f>'Expenditures 15-22'!K38</f>
        <v>135387</v>
      </c>
      <c r="C1111" s="2" t="s">
        <v>569</v>
      </c>
      <c r="D1111" s="2" t="str">
        <f t="shared" si="16"/>
        <v>Error?</v>
      </c>
    </row>
    <row r="1112" spans="1:4" x14ac:dyDescent="0.2">
      <c r="A1112" s="5">
        <v>1051</v>
      </c>
      <c r="B1112" s="1824">
        <f>'Expenditures 15-22'!K39</f>
        <v>84092</v>
      </c>
      <c r="C1112" s="2" t="s">
        <v>569</v>
      </c>
      <c r="D1112" s="2" t="str">
        <f t="shared" si="16"/>
        <v>Error?</v>
      </c>
    </row>
    <row r="1113" spans="1:4" x14ac:dyDescent="0.2">
      <c r="A1113" s="5">
        <v>1052</v>
      </c>
      <c r="B1113" s="1824">
        <f>'Expenditures 15-22'!K40</f>
        <v>229522</v>
      </c>
      <c r="C1113" s="2" t="s">
        <v>569</v>
      </c>
      <c r="D1113" s="2" t="str">
        <f t="shared" si="16"/>
        <v>Error?</v>
      </c>
    </row>
    <row r="1114" spans="1:4" x14ac:dyDescent="0.2">
      <c r="A1114" s="5">
        <v>1053</v>
      </c>
      <c r="B1114" s="1824">
        <f>'Expenditures 15-22'!K41</f>
        <v>70226</v>
      </c>
      <c r="C1114" s="2" t="s">
        <v>569</v>
      </c>
      <c r="D1114" s="2" t="str">
        <f t="shared" si="16"/>
        <v>Error?</v>
      </c>
    </row>
    <row r="1115" spans="1:4" x14ac:dyDescent="0.2">
      <c r="A1115" s="5">
        <v>1054</v>
      </c>
      <c r="B1115" s="1824">
        <f>'Expenditures 15-22'!K42</f>
        <v>850288</v>
      </c>
      <c r="C1115" s="2" t="s">
        <v>569</v>
      </c>
      <c r="D1115" s="2" t="str">
        <f t="shared" si="16"/>
        <v>Error?</v>
      </c>
    </row>
    <row r="1116" spans="1:4" x14ac:dyDescent="0.2">
      <c r="A1116" s="5">
        <v>1055</v>
      </c>
      <c r="B1116" s="1824">
        <f>'Expenditures 15-22'!K44</f>
        <v>118389</v>
      </c>
      <c r="C1116" s="2" t="s">
        <v>569</v>
      </c>
      <c r="D1116" s="2" t="str">
        <f t="shared" si="16"/>
        <v>Error?</v>
      </c>
    </row>
    <row r="1117" spans="1:4" x14ac:dyDescent="0.2">
      <c r="A1117" s="5">
        <v>1056</v>
      </c>
      <c r="B1117" s="1824">
        <f>'Expenditures 15-22'!K45</f>
        <v>202282</v>
      </c>
      <c r="C1117" s="2" t="s">
        <v>569</v>
      </c>
      <c r="D1117" s="2" t="str">
        <f t="shared" si="16"/>
        <v>Error?</v>
      </c>
    </row>
    <row r="1118" spans="1:4" x14ac:dyDescent="0.2">
      <c r="A1118" s="5">
        <v>1057</v>
      </c>
      <c r="B1118" s="1824">
        <f>'Expenditures 15-22'!K46</f>
        <v>60769</v>
      </c>
      <c r="C1118" s="2" t="s">
        <v>569</v>
      </c>
      <c r="D1118" s="2" t="str">
        <f t="shared" si="16"/>
        <v>Error?</v>
      </c>
    </row>
    <row r="1119" spans="1:4" x14ac:dyDescent="0.2">
      <c r="A1119" s="5">
        <v>1058</v>
      </c>
      <c r="B1119" s="1824">
        <f>'Expenditures 15-22'!K47</f>
        <v>381440</v>
      </c>
      <c r="C1119" s="2" t="s">
        <v>569</v>
      </c>
      <c r="D1119" s="2" t="str">
        <f t="shared" si="16"/>
        <v>Error?</v>
      </c>
    </row>
    <row r="1120" spans="1:4" x14ac:dyDescent="0.2">
      <c r="A1120" s="5">
        <v>1059</v>
      </c>
      <c r="B1120" s="1824">
        <f>'Expenditures 15-22'!K49</f>
        <v>116196</v>
      </c>
      <c r="C1120" s="2" t="s">
        <v>569</v>
      </c>
      <c r="D1120" s="2" t="str">
        <f t="shared" si="16"/>
        <v>Error?</v>
      </c>
    </row>
    <row r="1121" spans="1:4" x14ac:dyDescent="0.2">
      <c r="A1121" s="5">
        <v>1060</v>
      </c>
      <c r="B1121" s="1824">
        <f>'Expenditures 15-22'!K50</f>
        <v>150390</v>
      </c>
      <c r="C1121" s="2" t="s">
        <v>569</v>
      </c>
      <c r="D1121" s="2" t="str">
        <f t="shared" si="16"/>
        <v>Error?</v>
      </c>
    </row>
    <row r="1122" spans="1:4" x14ac:dyDescent="0.2">
      <c r="A1122" s="5">
        <v>1061</v>
      </c>
      <c r="B1122" s="1824">
        <f>'Expenditures 15-22'!K53</f>
        <v>288140</v>
      </c>
      <c r="C1122" s="2" t="s">
        <v>569</v>
      </c>
      <c r="D1122" s="2" t="str">
        <f t="shared" si="16"/>
        <v>Error?</v>
      </c>
    </row>
    <row r="1123" spans="1:4" x14ac:dyDescent="0.2">
      <c r="A1123" s="5">
        <v>1062</v>
      </c>
      <c r="B1123" s="1824">
        <f>'Expenditures 15-22'!K55</f>
        <v>1144232</v>
      </c>
      <c r="C1123" s="2" t="s">
        <v>569</v>
      </c>
      <c r="D1123" s="2" t="str">
        <f t="shared" si="16"/>
        <v>Error?</v>
      </c>
    </row>
    <row r="1124" spans="1:4" x14ac:dyDescent="0.2">
      <c r="A1124" s="5">
        <v>1063</v>
      </c>
      <c r="B1124" s="1824">
        <f>'Expenditures 15-22'!K56</f>
        <v>3883</v>
      </c>
      <c r="C1124" s="2" t="s">
        <v>569</v>
      </c>
      <c r="D1124" s="2" t="str">
        <f t="shared" si="16"/>
        <v>Error?</v>
      </c>
    </row>
    <row r="1125" spans="1:4" x14ac:dyDescent="0.2">
      <c r="A1125" s="5">
        <v>1064</v>
      </c>
      <c r="B1125" s="1824">
        <f>'Expenditures 15-22'!K57</f>
        <v>1148115</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501064</v>
      </c>
      <c r="C1127" s="2" t="s">
        <v>569</v>
      </c>
      <c r="D1127" s="2" t="str">
        <f t="shared" si="16"/>
        <v>Error?</v>
      </c>
    </row>
    <row r="1128" spans="1:4" x14ac:dyDescent="0.2">
      <c r="A1128" s="5">
        <v>1067</v>
      </c>
      <c r="B1128" s="1824">
        <f>'Expenditures 15-22'!K61</f>
        <v>125</v>
      </c>
      <c r="C1128" s="2" t="s">
        <v>569</v>
      </c>
      <c r="D1128" s="2" t="str">
        <f t="shared" si="16"/>
        <v>Error?</v>
      </c>
    </row>
    <row r="1129" spans="1:4" x14ac:dyDescent="0.2">
      <c r="A1129" s="5">
        <v>1068</v>
      </c>
      <c r="B1129" s="1824">
        <f>'Expenditures 15-22'!K62</f>
        <v>3802</v>
      </c>
      <c r="C1129" s="2" t="s">
        <v>569</v>
      </c>
      <c r="D1129" s="2" t="str">
        <f t="shared" si="16"/>
        <v>Error?</v>
      </c>
    </row>
    <row r="1130" spans="1:4" x14ac:dyDescent="0.2">
      <c r="A1130" s="5">
        <v>1069</v>
      </c>
      <c r="B1130" s="1824">
        <f>'Expenditures 15-22'!K63</f>
        <v>1285210</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1790201</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18695</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18695</v>
      </c>
      <c r="C1141" s="2" t="s">
        <v>569</v>
      </c>
      <c r="D1141" s="2" t="str">
        <f t="shared" si="16"/>
        <v>Error?</v>
      </c>
    </row>
    <row r="1142" spans="1:4" x14ac:dyDescent="0.2">
      <c r="A1142" s="5">
        <v>1081</v>
      </c>
      <c r="B1142" s="1824">
        <f>'Expenditures 15-22'!K73</f>
        <v>0</v>
      </c>
      <c r="C1142" s="2" t="s">
        <v>569</v>
      </c>
      <c r="D1142" s="2" t="str">
        <f t="shared" si="16"/>
        <v>Error?</v>
      </c>
    </row>
    <row r="1143" spans="1:4" x14ac:dyDescent="0.2">
      <c r="A1143" s="5">
        <v>1082</v>
      </c>
      <c r="B1143" s="1824">
        <f>'Expenditures 15-22'!K74</f>
        <v>4476879</v>
      </c>
      <c r="C1143" s="2" t="s">
        <v>569</v>
      </c>
      <c r="D1143" s="2" t="str">
        <f t="shared" si="16"/>
        <v>Error?</v>
      </c>
    </row>
    <row r="1144" spans="1:4" x14ac:dyDescent="0.2">
      <c r="A1144" s="5">
        <v>1083</v>
      </c>
      <c r="B1144" s="1824">
        <f>'Expenditures 15-22'!K75</f>
        <v>19399</v>
      </c>
      <c r="C1144" s="2" t="s">
        <v>569</v>
      </c>
      <c r="D1144" s="2" t="str">
        <f t="shared" si="16"/>
        <v>Error?</v>
      </c>
    </row>
    <row r="1145" spans="1:4" x14ac:dyDescent="0.2">
      <c r="A1145" s="5">
        <v>1084</v>
      </c>
      <c r="B1145" s="1824">
        <f>'Expenditures 15-22'!K102</f>
        <v>273369</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16813620</v>
      </c>
      <c r="C1152" s="2" t="s">
        <v>569</v>
      </c>
      <c r="D1152" s="2" t="str">
        <f t="shared" si="17"/>
        <v>Error?</v>
      </c>
    </row>
    <row r="1153" spans="1:4" x14ac:dyDescent="0.2">
      <c r="A1153" s="5">
        <v>1092</v>
      </c>
      <c r="B1153" s="1824">
        <f>'Expenditures 15-22'!K115</f>
        <v>1596734</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735349</v>
      </c>
      <c r="D1221" s="2" t="str">
        <f t="shared" si="18"/>
        <v>Error?</v>
      </c>
    </row>
    <row r="1222" spans="1:4" x14ac:dyDescent="0.2">
      <c r="A1222" s="10">
        <v>1161</v>
      </c>
      <c r="B1222" s="1824"/>
      <c r="D1222" s="2" t="str">
        <f t="shared" si="18"/>
        <v>OK</v>
      </c>
    </row>
    <row r="1223" spans="1:4" x14ac:dyDescent="0.2">
      <c r="A1223" s="5">
        <v>1162</v>
      </c>
      <c r="B1223" s="1824">
        <f>'Expenditures 15-22'!C127</f>
        <v>735349</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735349</v>
      </c>
      <c r="C1225" s="2" t="s">
        <v>569</v>
      </c>
      <c r="D1225" s="2" t="str">
        <f t="shared" si="18"/>
        <v>Error?</v>
      </c>
    </row>
    <row r="1226" spans="1:4" x14ac:dyDescent="0.2">
      <c r="A1226" s="5">
        <v>1165</v>
      </c>
      <c r="B1226" s="1824">
        <f>'Expenditures 15-22'!C151</f>
        <v>735349</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97261</v>
      </c>
      <c r="D1229" s="2" t="str">
        <f t="shared" si="18"/>
        <v>Error?</v>
      </c>
    </row>
    <row r="1230" spans="1:4" x14ac:dyDescent="0.2">
      <c r="A1230" s="10">
        <v>1169</v>
      </c>
      <c r="B1230" s="1824"/>
      <c r="D1230" s="2" t="str">
        <f t="shared" si="18"/>
        <v>OK</v>
      </c>
    </row>
    <row r="1231" spans="1:4" x14ac:dyDescent="0.2">
      <c r="A1231" s="5">
        <v>1170</v>
      </c>
      <c r="B1231" s="1824">
        <f>'Expenditures 15-22'!D127</f>
        <v>97261</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97261</v>
      </c>
      <c r="C1233" s="2" t="s">
        <v>569</v>
      </c>
      <c r="D1233" s="2" t="str">
        <f t="shared" si="18"/>
        <v>Error?</v>
      </c>
    </row>
    <row r="1234" spans="1:4" x14ac:dyDescent="0.2">
      <c r="A1234" s="5">
        <v>1173</v>
      </c>
      <c r="B1234" s="1824">
        <f>'Expenditures 15-22'!D151</f>
        <v>97261</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409520</v>
      </c>
      <c r="D1237" s="2" t="str">
        <f t="shared" si="18"/>
        <v>Error?</v>
      </c>
    </row>
    <row r="1238" spans="1:4" x14ac:dyDescent="0.2">
      <c r="A1238" s="10">
        <v>1177</v>
      </c>
      <c r="B1238" s="1824"/>
      <c r="D1238" s="2" t="str">
        <f t="shared" si="18"/>
        <v>OK</v>
      </c>
    </row>
    <row r="1239" spans="1:4" x14ac:dyDescent="0.2">
      <c r="A1239" s="5">
        <v>1178</v>
      </c>
      <c r="B1239" s="1824">
        <f>'Expenditures 15-22'!E127</f>
        <v>409520</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409520</v>
      </c>
      <c r="C1241" s="2" t="s">
        <v>569</v>
      </c>
      <c r="D1241" s="2" t="str">
        <f t="shared" si="18"/>
        <v>Error?</v>
      </c>
    </row>
    <row r="1242" spans="1:4" x14ac:dyDescent="0.2">
      <c r="A1242" s="5">
        <v>1181</v>
      </c>
      <c r="B1242" s="1824">
        <f>'Expenditures 15-22'!E151</f>
        <v>409520</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629103</v>
      </c>
      <c r="D1245" s="2" t="str">
        <f t="shared" si="18"/>
        <v>Error?</v>
      </c>
    </row>
    <row r="1246" spans="1:4" x14ac:dyDescent="0.2">
      <c r="A1246" s="10">
        <v>1185</v>
      </c>
      <c r="B1246" s="1824"/>
      <c r="D1246" s="2" t="str">
        <f t="shared" si="18"/>
        <v>OK</v>
      </c>
    </row>
    <row r="1247" spans="1:4" x14ac:dyDescent="0.2">
      <c r="A1247" s="5">
        <v>1186</v>
      </c>
      <c r="B1247" s="1824">
        <f>'Expenditures 15-22'!F127</f>
        <v>629103</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629103</v>
      </c>
      <c r="C1249" s="2" t="s">
        <v>569</v>
      </c>
      <c r="D1249" s="2" t="str">
        <f t="shared" si="18"/>
        <v>Error?</v>
      </c>
    </row>
    <row r="1250" spans="1:4" x14ac:dyDescent="0.2">
      <c r="A1250" s="5">
        <v>1189</v>
      </c>
      <c r="B1250" s="1824">
        <f>'Expenditures 15-22'!F151</f>
        <v>629103</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57337</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57337</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57337</v>
      </c>
      <c r="C1258" s="2" t="s">
        <v>569</v>
      </c>
      <c r="D1258" s="2" t="str">
        <f t="shared" si="18"/>
        <v>Error?</v>
      </c>
    </row>
    <row r="1259" spans="1:4" x14ac:dyDescent="0.2">
      <c r="A1259" s="5">
        <v>1198</v>
      </c>
      <c r="B1259" s="1824">
        <f>'Expenditures 15-22'!G151</f>
        <v>57337</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107</v>
      </c>
      <c r="D1262" s="2" t="str">
        <f t="shared" si="18"/>
        <v>Error?</v>
      </c>
    </row>
    <row r="1263" spans="1:4" x14ac:dyDescent="0.2">
      <c r="A1263" s="10">
        <v>1202</v>
      </c>
      <c r="B1263" s="1824"/>
      <c r="D1263" s="2" t="str">
        <f t="shared" si="18"/>
        <v>OK</v>
      </c>
    </row>
    <row r="1264" spans="1:4" x14ac:dyDescent="0.2">
      <c r="A1264" s="5">
        <v>1203</v>
      </c>
      <c r="B1264" s="1824">
        <f>'Expenditures 15-22'!H127</f>
        <v>107</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107</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107</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1928677</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1928677</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1928677</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1928677</v>
      </c>
      <c r="C1288" s="2" t="s">
        <v>569</v>
      </c>
      <c r="D1288" s="2" t="str">
        <f t="shared" si="19"/>
        <v>Error?</v>
      </c>
    </row>
    <row r="1289" spans="1:4" x14ac:dyDescent="0.2">
      <c r="A1289" s="5">
        <v>1228</v>
      </c>
      <c r="B1289" s="1824">
        <f>'Expenditures 15-22'!K152</f>
        <v>202070</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80084</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654600</v>
      </c>
      <c r="D1315" s="2" t="str">
        <f t="shared" si="19"/>
        <v>Error?</v>
      </c>
    </row>
    <row r="1316" spans="1:4" x14ac:dyDescent="0.2">
      <c r="A1316" s="5">
        <v>1255</v>
      </c>
      <c r="B1316" s="1824">
        <f>'Expenditures 15-22'!H171</f>
        <v>15000</v>
      </c>
      <c r="D1316" s="2" t="str">
        <f t="shared" si="19"/>
        <v>Error?</v>
      </c>
    </row>
    <row r="1317" spans="1:4" x14ac:dyDescent="0.2">
      <c r="A1317" s="5">
        <v>1256</v>
      </c>
      <c r="B1317" s="1824">
        <f>'Expenditures 15-22'!H172</f>
        <v>749684</v>
      </c>
      <c r="C1317" s="2" t="s">
        <v>569</v>
      </c>
      <c r="D1317" s="2" t="str">
        <f t="shared" si="19"/>
        <v>Error?</v>
      </c>
    </row>
    <row r="1318" spans="1:4" x14ac:dyDescent="0.2">
      <c r="A1318" s="5">
        <v>1257</v>
      </c>
      <c r="B1318" s="1824">
        <f>'Expenditures 15-22'!H174</f>
        <v>749684</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80084</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654600</v>
      </c>
      <c r="C1329" s="2" t="s">
        <v>569</v>
      </c>
      <c r="D1329" s="2" t="str">
        <f t="shared" si="19"/>
        <v>Error?</v>
      </c>
    </row>
    <row r="1330" spans="1:4" x14ac:dyDescent="0.2">
      <c r="A1330" s="5">
        <v>1269</v>
      </c>
      <c r="B1330" s="1824">
        <f>'Expenditures 15-22'!K171</f>
        <v>15000</v>
      </c>
      <c r="C1330" s="2" t="s">
        <v>569</v>
      </c>
      <c r="D1330" s="2" t="str">
        <f t="shared" si="19"/>
        <v>Error?</v>
      </c>
    </row>
    <row r="1331" spans="1:4" x14ac:dyDescent="0.2">
      <c r="A1331" s="5">
        <v>1270</v>
      </c>
      <c r="B1331" s="1824">
        <f>'Expenditures 15-22'!K172</f>
        <v>749684</v>
      </c>
      <c r="C1331" s="2" t="s">
        <v>569</v>
      </c>
      <c r="D1331" s="2" t="str">
        <f t="shared" si="19"/>
        <v>Error?</v>
      </c>
    </row>
    <row r="1332" spans="1:4" x14ac:dyDescent="0.2">
      <c r="A1332" s="5">
        <v>1271</v>
      </c>
      <c r="B1332" s="1824">
        <f>'Expenditures 15-22'!K174</f>
        <v>749684</v>
      </c>
      <c r="C1332" s="2" t="s">
        <v>569</v>
      </c>
      <c r="D1332" s="2" t="str">
        <f t="shared" si="19"/>
        <v>Error?</v>
      </c>
    </row>
    <row r="1333" spans="1:4" x14ac:dyDescent="0.2">
      <c r="A1333" s="5">
        <v>1272</v>
      </c>
      <c r="B1333" s="1824">
        <f>'Expenditures 15-22'!K175</f>
        <v>-31190</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0</v>
      </c>
      <c r="C1339" s="2" t="s">
        <v>569</v>
      </c>
      <c r="D1339" s="2" t="str">
        <f t="shared" si="19"/>
        <v>Error?</v>
      </c>
    </row>
    <row r="1340" spans="1:4" x14ac:dyDescent="0.2">
      <c r="A1340" s="5">
        <v>1279</v>
      </c>
      <c r="B1340" s="1824">
        <f>'Expenditures 15-22'!C210</f>
        <v>0</v>
      </c>
      <c r="C1340" s="2" t="s">
        <v>569</v>
      </c>
      <c r="D1340" s="2" t="str">
        <f t="shared" si="19"/>
        <v>Error?</v>
      </c>
    </row>
    <row r="1341" spans="1:4" x14ac:dyDescent="0.2">
      <c r="A1341" s="5">
        <v>1280</v>
      </c>
      <c r="B1341" s="1824">
        <f>'Expenditures 15-22'!D182</f>
        <v>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0</v>
      </c>
      <c r="C1345" s="2" t="s">
        <v>569</v>
      </c>
      <c r="D1345" s="2" t="str">
        <f t="shared" si="20"/>
        <v>Error?</v>
      </c>
    </row>
    <row r="1346" spans="1:4" x14ac:dyDescent="0.2">
      <c r="A1346" s="5">
        <v>1285</v>
      </c>
      <c r="B1346" s="1824">
        <f>'Expenditures 15-22'!D210</f>
        <v>0</v>
      </c>
      <c r="C1346" s="2" t="s">
        <v>569</v>
      </c>
      <c r="D1346" s="2" t="str">
        <f t="shared" si="20"/>
        <v>Error?</v>
      </c>
    </row>
    <row r="1347" spans="1:4" x14ac:dyDescent="0.2">
      <c r="A1347" s="5">
        <v>1286</v>
      </c>
      <c r="B1347" s="1824">
        <f>'Expenditures 15-22'!E182</f>
        <v>1709110</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1709110</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1709110</v>
      </c>
      <c r="C1353" s="2" t="s">
        <v>569</v>
      </c>
      <c r="D1353" s="2" t="str">
        <f t="shared" si="20"/>
        <v>Error?</v>
      </c>
    </row>
    <row r="1354" spans="1:4" x14ac:dyDescent="0.2">
      <c r="A1354" s="5">
        <v>1293</v>
      </c>
      <c r="B1354" s="1824">
        <f>'Expenditures 15-22'!F182</f>
        <v>0</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0</v>
      </c>
      <c r="C1358" s="2" t="s">
        <v>569</v>
      </c>
      <c r="D1358" s="2" t="str">
        <f t="shared" si="20"/>
        <v>Error?</v>
      </c>
    </row>
    <row r="1359" spans="1:4" x14ac:dyDescent="0.2">
      <c r="A1359" s="5">
        <v>1298</v>
      </c>
      <c r="B1359" s="1824">
        <f>'Expenditures 15-22'!F210</f>
        <v>0</v>
      </c>
      <c r="C1359" s="2" t="s">
        <v>569</v>
      </c>
      <c r="D1359" s="2" t="str">
        <f t="shared" si="20"/>
        <v>Error?</v>
      </c>
    </row>
    <row r="1360" spans="1:4" x14ac:dyDescent="0.2">
      <c r="A1360" s="5">
        <v>1299</v>
      </c>
      <c r="B1360" s="1824">
        <f>'Expenditures 15-22'!G182</f>
        <v>0</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0</v>
      </c>
      <c r="C1364" s="2" t="s">
        <v>569</v>
      </c>
      <c r="D1364" s="2" t="str">
        <f t="shared" si="20"/>
        <v>Error?</v>
      </c>
    </row>
    <row r="1365" spans="1:4" x14ac:dyDescent="0.2">
      <c r="A1365" s="5">
        <v>1304</v>
      </c>
      <c r="B1365" s="1824">
        <f>'Expenditures 15-22'!G210</f>
        <v>0</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1709110</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1709110</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1709110</v>
      </c>
      <c r="C1388" s="2" t="s">
        <v>569</v>
      </c>
      <c r="D1388" s="2" t="str">
        <f t="shared" si="20"/>
        <v>Error?</v>
      </c>
    </row>
    <row r="1389" spans="1:4" x14ac:dyDescent="0.2">
      <c r="A1389" s="5">
        <v>1328</v>
      </c>
      <c r="B1389" s="1824">
        <f>'Expenditures 15-22'!K211</f>
        <v>70138</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6815</v>
      </c>
      <c r="D1407" s="2" t="str">
        <f t="shared" ref="D1407:D1470" si="21">IF(ISBLANK(B1407),"OK",IF(A1407-B1407=0,"OK","Error?"))</f>
        <v>Error?</v>
      </c>
    </row>
    <row r="1408" spans="1:4" x14ac:dyDescent="0.2">
      <c r="A1408" s="5">
        <v>1347</v>
      </c>
      <c r="B1408" s="1824">
        <f>'Expenditures 15-22'!D223</f>
        <v>4238</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278923</v>
      </c>
      <c r="C1410" s="2" t="s">
        <v>569</v>
      </c>
      <c r="D1410" s="2" t="str">
        <f t="shared" si="21"/>
        <v>Error?</v>
      </c>
    </row>
    <row r="1411" spans="1:4" x14ac:dyDescent="0.2">
      <c r="A1411" s="5">
        <v>1350</v>
      </c>
      <c r="B1411" s="1824">
        <f>'Expenditures 15-22'!D232</f>
        <v>1762</v>
      </c>
      <c r="D1411" s="2" t="str">
        <f t="shared" si="21"/>
        <v>Error?</v>
      </c>
    </row>
    <row r="1412" spans="1:4" x14ac:dyDescent="0.2">
      <c r="A1412" s="5">
        <v>1351</v>
      </c>
      <c r="B1412" s="1824">
        <f>'Expenditures 15-22'!D233</f>
        <v>1926</v>
      </c>
      <c r="D1412" s="2" t="str">
        <f t="shared" si="21"/>
        <v>Error?</v>
      </c>
    </row>
    <row r="1413" spans="1:4" x14ac:dyDescent="0.2">
      <c r="A1413" s="5">
        <v>1352</v>
      </c>
      <c r="B1413" s="1824">
        <f>'Expenditures 15-22'!D234</f>
        <v>14699</v>
      </c>
      <c r="D1413" s="2" t="str">
        <f t="shared" si="21"/>
        <v>Error?</v>
      </c>
    </row>
    <row r="1414" spans="1:4" x14ac:dyDescent="0.2">
      <c r="A1414" s="5">
        <v>1353</v>
      </c>
      <c r="B1414" s="1824">
        <f>'Expenditures 15-22'!D235</f>
        <v>983</v>
      </c>
      <c r="D1414" s="2" t="str">
        <f t="shared" si="21"/>
        <v>Error?</v>
      </c>
    </row>
    <row r="1415" spans="1:4" x14ac:dyDescent="0.2">
      <c r="A1415" s="5">
        <v>1354</v>
      </c>
      <c r="B1415" s="1824">
        <f>'Expenditures 15-22'!D236</f>
        <v>2453</v>
      </c>
      <c r="D1415" s="2" t="str">
        <f t="shared" si="21"/>
        <v>Error?</v>
      </c>
    </row>
    <row r="1416" spans="1:4" x14ac:dyDescent="0.2">
      <c r="A1416" s="5">
        <v>1355</v>
      </c>
      <c r="B1416" s="1824">
        <f>'Expenditures 15-22'!D237</f>
        <v>1089</v>
      </c>
      <c r="D1416" s="2" t="str">
        <f t="shared" si="21"/>
        <v>Error?</v>
      </c>
    </row>
    <row r="1417" spans="1:4" x14ac:dyDescent="0.2">
      <c r="A1417" s="5">
        <v>1356</v>
      </c>
      <c r="B1417" s="1824">
        <f>'Expenditures 15-22'!D238</f>
        <v>22912</v>
      </c>
      <c r="C1417" s="2" t="s">
        <v>569</v>
      </c>
      <c r="D1417" s="2" t="str">
        <f t="shared" si="21"/>
        <v>Error?</v>
      </c>
    </row>
    <row r="1418" spans="1:4" x14ac:dyDescent="0.2">
      <c r="A1418" s="5">
        <v>1357</v>
      </c>
      <c r="B1418" s="1824">
        <f>'Expenditures 15-22'!D240</f>
        <v>938</v>
      </c>
      <c r="D1418" s="2" t="str">
        <f t="shared" si="21"/>
        <v>Error?</v>
      </c>
    </row>
    <row r="1419" spans="1:4" x14ac:dyDescent="0.2">
      <c r="A1419" s="5">
        <v>1358</v>
      </c>
      <c r="B1419" s="1824">
        <f>'Expenditures 15-22'!D241</f>
        <v>1932</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2870</v>
      </c>
      <c r="C1421" s="2" t="s">
        <v>569</v>
      </c>
      <c r="D1421" s="2" t="str">
        <f t="shared" si="21"/>
        <v>Error?</v>
      </c>
    </row>
    <row r="1422" spans="1:4" x14ac:dyDescent="0.2">
      <c r="A1422" s="5">
        <v>1361</v>
      </c>
      <c r="B1422" s="1824">
        <f>'Expenditures 15-22'!D245</f>
        <v>383</v>
      </c>
      <c r="D1422" s="2" t="str">
        <f t="shared" si="21"/>
        <v>Error?</v>
      </c>
    </row>
    <row r="1423" spans="1:4" x14ac:dyDescent="0.2">
      <c r="A1423" s="5">
        <v>1362</v>
      </c>
      <c r="B1423" s="1824">
        <f>'Expenditures 15-22'!D246</f>
        <v>1644</v>
      </c>
      <c r="D1423" s="2" t="str">
        <f t="shared" si="21"/>
        <v>Error?</v>
      </c>
    </row>
    <row r="1424" spans="1:4" x14ac:dyDescent="0.2">
      <c r="A1424" s="5">
        <v>1363</v>
      </c>
      <c r="B1424" s="1824">
        <f>'Expenditures 15-22'!D257</f>
        <v>2076</v>
      </c>
      <c r="C1424" s="2" t="s">
        <v>569</v>
      </c>
      <c r="D1424" s="2" t="str">
        <f t="shared" si="21"/>
        <v>Error?</v>
      </c>
    </row>
    <row r="1425" spans="1:4" x14ac:dyDescent="0.2">
      <c r="A1425" s="5">
        <v>1364</v>
      </c>
      <c r="B1425" s="1824">
        <f>'Expenditures 15-22'!D259</f>
        <v>61355</v>
      </c>
      <c r="D1425" s="2" t="str">
        <f t="shared" si="21"/>
        <v>Error?</v>
      </c>
    </row>
    <row r="1426" spans="1:4" x14ac:dyDescent="0.2">
      <c r="A1426" s="5">
        <v>1365</v>
      </c>
      <c r="B1426" s="1824">
        <f>'Expenditures 15-22'!D260</f>
        <v>51</v>
      </c>
      <c r="D1426" s="2" t="str">
        <f t="shared" si="21"/>
        <v>Error?</v>
      </c>
    </row>
    <row r="1427" spans="1:4" x14ac:dyDescent="0.2">
      <c r="A1427" s="5">
        <v>1366</v>
      </c>
      <c r="B1427" s="1824">
        <f>'Expenditures 15-22'!D261</f>
        <v>61406</v>
      </c>
      <c r="C1427" s="2" t="s">
        <v>569</v>
      </c>
      <c r="D1427" s="2" t="str">
        <f t="shared" si="21"/>
        <v>Error?</v>
      </c>
    </row>
    <row r="1428" spans="1:4" x14ac:dyDescent="0.2">
      <c r="A1428" s="5">
        <v>1367</v>
      </c>
      <c r="B1428" s="1824">
        <f>'Expenditures 15-22'!D263</f>
        <v>0</v>
      </c>
      <c r="D1428" s="2" t="str">
        <f t="shared" si="21"/>
        <v>Error?</v>
      </c>
    </row>
    <row r="1429" spans="1:4" x14ac:dyDescent="0.2">
      <c r="A1429" s="5">
        <v>1368</v>
      </c>
      <c r="B1429" s="1824">
        <f>'Expenditures 15-22'!D264</f>
        <v>39249</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115616</v>
      </c>
      <c r="D1431" s="2" t="str">
        <f t="shared" si="21"/>
        <v>Error?</v>
      </c>
    </row>
    <row r="1432" spans="1:4" x14ac:dyDescent="0.2">
      <c r="A1432" s="5">
        <v>1371</v>
      </c>
      <c r="B1432" s="1824">
        <f>'Expenditures 15-22'!D267</f>
        <v>0</v>
      </c>
      <c r="D1432" s="2" t="str">
        <f t="shared" si="21"/>
        <v>Error?</v>
      </c>
    </row>
    <row r="1433" spans="1:4" x14ac:dyDescent="0.2">
      <c r="A1433" s="5">
        <v>1372</v>
      </c>
      <c r="B1433" s="1824">
        <f>'Expenditures 15-22'!D268</f>
        <v>65241</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220106</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309370</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588293</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6815</v>
      </c>
      <c r="C1471" s="2" t="s">
        <v>569</v>
      </c>
      <c r="D1471" s="2" t="str">
        <f t="shared" ref="D1471:D1534" si="22">IF(ISBLANK(B1471),"OK",IF(A1471-B1471=0,"OK","Error?"))</f>
        <v>Error?</v>
      </c>
    </row>
    <row r="1472" spans="1:4" x14ac:dyDescent="0.2">
      <c r="A1472" s="5">
        <v>1411</v>
      </c>
      <c r="B1472" s="1824">
        <f>'Expenditures 15-22'!K223</f>
        <v>4238</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278923</v>
      </c>
      <c r="C1474" s="2" t="s">
        <v>569</v>
      </c>
      <c r="D1474" s="2" t="str">
        <f t="shared" si="22"/>
        <v>Error?</v>
      </c>
    </row>
    <row r="1475" spans="1:4" x14ac:dyDescent="0.2">
      <c r="A1475" s="5">
        <v>1414</v>
      </c>
      <c r="B1475" s="1824">
        <f>'Expenditures 15-22'!K232</f>
        <v>1762</v>
      </c>
      <c r="C1475" s="2" t="s">
        <v>569</v>
      </c>
      <c r="D1475" s="2" t="str">
        <f t="shared" si="22"/>
        <v>Error?</v>
      </c>
    </row>
    <row r="1476" spans="1:4" x14ac:dyDescent="0.2">
      <c r="A1476" s="5">
        <v>1415</v>
      </c>
      <c r="B1476" s="1824">
        <f>'Expenditures 15-22'!K233</f>
        <v>1926</v>
      </c>
      <c r="C1476" s="2" t="s">
        <v>569</v>
      </c>
      <c r="D1476" s="2" t="str">
        <f t="shared" si="22"/>
        <v>Error?</v>
      </c>
    </row>
    <row r="1477" spans="1:4" x14ac:dyDescent="0.2">
      <c r="A1477" s="5">
        <v>1416</v>
      </c>
      <c r="B1477" s="1824">
        <f>'Expenditures 15-22'!K234</f>
        <v>14699</v>
      </c>
      <c r="C1477" s="2" t="s">
        <v>569</v>
      </c>
      <c r="D1477" s="2" t="str">
        <f t="shared" si="22"/>
        <v>Error?</v>
      </c>
    </row>
    <row r="1478" spans="1:4" x14ac:dyDescent="0.2">
      <c r="A1478" s="5">
        <v>1417</v>
      </c>
      <c r="B1478" s="1824">
        <f>'Expenditures 15-22'!K235</f>
        <v>983</v>
      </c>
      <c r="C1478" s="2" t="s">
        <v>569</v>
      </c>
      <c r="D1478" s="2" t="str">
        <f t="shared" si="22"/>
        <v>Error?</v>
      </c>
    </row>
    <row r="1479" spans="1:4" x14ac:dyDescent="0.2">
      <c r="A1479" s="5">
        <v>1418</v>
      </c>
      <c r="B1479" s="1824">
        <f>'Expenditures 15-22'!K236</f>
        <v>2453</v>
      </c>
      <c r="C1479" s="2" t="s">
        <v>569</v>
      </c>
      <c r="D1479" s="2" t="str">
        <f t="shared" si="22"/>
        <v>Error?</v>
      </c>
    </row>
    <row r="1480" spans="1:4" x14ac:dyDescent="0.2">
      <c r="A1480" s="5">
        <v>1419</v>
      </c>
      <c r="B1480" s="1824">
        <f>'Expenditures 15-22'!K237</f>
        <v>1089</v>
      </c>
      <c r="C1480" s="2" t="s">
        <v>569</v>
      </c>
      <c r="D1480" s="2" t="str">
        <f t="shared" si="22"/>
        <v>Error?</v>
      </c>
    </row>
    <row r="1481" spans="1:4" x14ac:dyDescent="0.2">
      <c r="A1481" s="5">
        <v>1420</v>
      </c>
      <c r="B1481" s="1824">
        <f>'Expenditures 15-22'!K238</f>
        <v>22912</v>
      </c>
      <c r="C1481" s="2" t="s">
        <v>569</v>
      </c>
      <c r="D1481" s="2" t="str">
        <f t="shared" si="22"/>
        <v>Error?</v>
      </c>
    </row>
    <row r="1482" spans="1:4" x14ac:dyDescent="0.2">
      <c r="A1482" s="5">
        <v>1421</v>
      </c>
      <c r="B1482" s="1824">
        <f>'Expenditures 15-22'!K240</f>
        <v>938</v>
      </c>
      <c r="C1482" s="2" t="s">
        <v>569</v>
      </c>
      <c r="D1482" s="2" t="str">
        <f t="shared" si="22"/>
        <v>Error?</v>
      </c>
    </row>
    <row r="1483" spans="1:4" x14ac:dyDescent="0.2">
      <c r="A1483" s="5">
        <v>1422</v>
      </c>
      <c r="B1483" s="1824">
        <f>'Expenditures 15-22'!K241</f>
        <v>1932</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2870</v>
      </c>
      <c r="C1485" s="2" t="s">
        <v>569</v>
      </c>
      <c r="D1485" s="2" t="str">
        <f t="shared" si="22"/>
        <v>Error?</v>
      </c>
    </row>
    <row r="1486" spans="1:4" x14ac:dyDescent="0.2">
      <c r="A1486" s="5">
        <v>1425</v>
      </c>
      <c r="B1486" s="1824">
        <f>'Expenditures 15-22'!K245</f>
        <v>383</v>
      </c>
      <c r="C1486" s="2" t="s">
        <v>569</v>
      </c>
      <c r="D1486" s="2" t="str">
        <f t="shared" si="22"/>
        <v>Error?</v>
      </c>
    </row>
    <row r="1487" spans="1:4" x14ac:dyDescent="0.2">
      <c r="A1487" s="5">
        <v>1426</v>
      </c>
      <c r="B1487" s="1824">
        <f>'Expenditures 15-22'!K246</f>
        <v>1644</v>
      </c>
      <c r="C1487" s="2" t="s">
        <v>569</v>
      </c>
      <c r="D1487" s="2" t="str">
        <f t="shared" si="22"/>
        <v>Error?</v>
      </c>
    </row>
    <row r="1488" spans="1:4" x14ac:dyDescent="0.2">
      <c r="A1488" s="5">
        <v>1427</v>
      </c>
      <c r="B1488" s="1824">
        <f>'Expenditures 15-22'!K257</f>
        <v>2076</v>
      </c>
      <c r="C1488" s="2" t="s">
        <v>569</v>
      </c>
      <c r="D1488" s="2" t="str">
        <f t="shared" si="22"/>
        <v>Error?</v>
      </c>
    </row>
    <row r="1489" spans="1:4" x14ac:dyDescent="0.2">
      <c r="A1489" s="5">
        <v>1428</v>
      </c>
      <c r="B1489" s="1824">
        <f>'Expenditures 15-22'!K259</f>
        <v>61355</v>
      </c>
      <c r="C1489" s="2" t="s">
        <v>569</v>
      </c>
      <c r="D1489" s="2" t="str">
        <f t="shared" si="22"/>
        <v>Error?</v>
      </c>
    </row>
    <row r="1490" spans="1:4" x14ac:dyDescent="0.2">
      <c r="A1490" s="5">
        <v>1429</v>
      </c>
      <c r="B1490" s="1824">
        <f>'Expenditures 15-22'!K260</f>
        <v>51</v>
      </c>
      <c r="C1490" s="2" t="s">
        <v>569</v>
      </c>
      <c r="D1490" s="2" t="str">
        <f t="shared" si="22"/>
        <v>Error?</v>
      </c>
    </row>
    <row r="1491" spans="1:4" x14ac:dyDescent="0.2">
      <c r="A1491" s="5">
        <v>1430</v>
      </c>
      <c r="B1491" s="1824">
        <f>'Expenditures 15-22'!K261</f>
        <v>61406</v>
      </c>
      <c r="C1491" s="2" t="s">
        <v>569</v>
      </c>
      <c r="D1491" s="2" t="str">
        <f t="shared" si="22"/>
        <v>Error?</v>
      </c>
    </row>
    <row r="1492" spans="1:4" x14ac:dyDescent="0.2">
      <c r="A1492" s="5">
        <v>1431</v>
      </c>
      <c r="B1492" s="1824">
        <f>'Expenditures 15-22'!K263</f>
        <v>0</v>
      </c>
      <c r="C1492" s="2" t="s">
        <v>569</v>
      </c>
      <c r="D1492" s="2" t="str">
        <f t="shared" si="22"/>
        <v>Error?</v>
      </c>
    </row>
    <row r="1493" spans="1:4" x14ac:dyDescent="0.2">
      <c r="A1493" s="5">
        <v>1432</v>
      </c>
      <c r="B1493" s="1824">
        <f>'Expenditures 15-22'!K264</f>
        <v>39249</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115616</v>
      </c>
      <c r="C1495" s="2" t="s">
        <v>569</v>
      </c>
      <c r="D1495" s="2" t="str">
        <f t="shared" si="22"/>
        <v>Error?</v>
      </c>
    </row>
    <row r="1496" spans="1:4" x14ac:dyDescent="0.2">
      <c r="A1496" s="5">
        <v>1435</v>
      </c>
      <c r="B1496" s="1824">
        <f>'Expenditures 15-22'!K267</f>
        <v>0</v>
      </c>
      <c r="C1496" s="2" t="s">
        <v>569</v>
      </c>
      <c r="D1496" s="2" t="str">
        <f t="shared" si="22"/>
        <v>Error?</v>
      </c>
    </row>
    <row r="1497" spans="1:4" x14ac:dyDescent="0.2">
      <c r="A1497" s="5">
        <v>1436</v>
      </c>
      <c r="B1497" s="1824">
        <f>'Expenditures 15-22'!K268</f>
        <v>65241</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220106</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309370</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588293</v>
      </c>
      <c r="C1517" s="2" t="s">
        <v>569</v>
      </c>
      <c r="D1517" s="2" t="str">
        <f t="shared" si="22"/>
        <v>Error?</v>
      </c>
    </row>
    <row r="1518" spans="1:4" x14ac:dyDescent="0.2">
      <c r="A1518" s="5">
        <v>1457</v>
      </c>
      <c r="B1518" s="1824">
        <f>'Expenditures 15-22'!K296</f>
        <v>-4300</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0</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0</v>
      </c>
      <c r="C1559" s="2" t="s">
        <v>569</v>
      </c>
      <c r="D1559" s="2" t="str">
        <f t="shared" si="23"/>
        <v>Error?</v>
      </c>
    </row>
    <row r="1560" spans="1:4" x14ac:dyDescent="0.2">
      <c r="A1560" s="5">
        <v>1499</v>
      </c>
      <c r="B1560" s="1824">
        <f>'Expenditures 15-22'!K312</f>
        <v>0</v>
      </c>
      <c r="C1560" s="2" t="s">
        <v>569</v>
      </c>
      <c r="D1560" s="2" t="str">
        <f t="shared" si="23"/>
        <v>Error?</v>
      </c>
    </row>
    <row r="1561" spans="1:4" x14ac:dyDescent="0.2">
      <c r="A1561" s="5">
        <v>1500</v>
      </c>
      <c r="B1561" s="1824">
        <f>'Expenditures 15-22'!K313</f>
        <v>15521</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5889879</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7486613</v>
      </c>
      <c r="C1630" s="2" t="s">
        <v>569</v>
      </c>
      <c r="D1630" s="2" t="str">
        <f t="shared" si="24"/>
        <v>Error?</v>
      </c>
    </row>
    <row r="1631" spans="1:4" x14ac:dyDescent="0.2">
      <c r="A1631" s="5">
        <v>1570</v>
      </c>
      <c r="B1631" s="1824">
        <f>'Acct Summary 7-8'!D79</f>
        <v>154411</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356481</v>
      </c>
      <c r="C1644" s="2" t="s">
        <v>569</v>
      </c>
      <c r="D1644" s="2" t="str">
        <f t="shared" si="24"/>
        <v>Error?</v>
      </c>
    </row>
    <row r="1645" spans="1:4" x14ac:dyDescent="0.2">
      <c r="A1645" s="5">
        <v>1584</v>
      </c>
      <c r="B1645" s="1824">
        <f>'Acct Summary 7-8'!E79</f>
        <v>549738</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533548</v>
      </c>
      <c r="C1658" s="2" t="s">
        <v>569</v>
      </c>
      <c r="D1658" s="2" t="str">
        <f t="shared" si="24"/>
        <v>Error?</v>
      </c>
    </row>
    <row r="1659" spans="1:4" x14ac:dyDescent="0.2">
      <c r="A1659" s="5">
        <v>1598</v>
      </c>
      <c r="B1659" s="1824">
        <f>'Acct Summary 7-8'!F79</f>
        <v>69449</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139587</v>
      </c>
      <c r="C1672" s="2" t="s">
        <v>569</v>
      </c>
      <c r="D1672" s="2" t="str">
        <f t="shared" si="25"/>
        <v>Error?</v>
      </c>
    </row>
    <row r="1673" spans="1:4" x14ac:dyDescent="0.2">
      <c r="A1673" s="5">
        <v>1612</v>
      </c>
      <c r="B1673" s="1824">
        <f>'Acct Summary 7-8'!G79</f>
        <v>599471</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595171</v>
      </c>
      <c r="C1686" s="2" t="s">
        <v>569</v>
      </c>
      <c r="D1686" s="2" t="str">
        <f t="shared" si="25"/>
        <v>Error?</v>
      </c>
    </row>
    <row r="1687" spans="1:4" x14ac:dyDescent="0.2">
      <c r="A1687" s="5">
        <v>1626</v>
      </c>
      <c r="B1687" s="1824">
        <f>'Acct Summary 7-8'!H79</f>
        <v>100309</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115830</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3943985</v>
      </c>
      <c r="C1744" s="2" t="s">
        <v>569</v>
      </c>
      <c r="D1744" s="2" t="str">
        <f t="shared" si="26"/>
        <v>Error?</v>
      </c>
    </row>
    <row r="1745" spans="1:5" x14ac:dyDescent="0.2">
      <c r="A1745" s="5">
        <v>1684</v>
      </c>
      <c r="B1745" s="1824">
        <f>'Tax Sched 23'!B5</f>
        <v>750446</v>
      </c>
      <c r="C1745" s="2" t="s">
        <v>569</v>
      </c>
      <c r="D1745" s="2" t="str">
        <f t="shared" si="26"/>
        <v>Error?</v>
      </c>
    </row>
    <row r="1746" spans="1:5" x14ac:dyDescent="0.2">
      <c r="A1746" s="5">
        <v>1685</v>
      </c>
      <c r="B1746" s="1824">
        <f>'Tax Sched 23'!B6</f>
        <v>716343</v>
      </c>
      <c r="C1746" s="2" t="s">
        <v>569</v>
      </c>
      <c r="D1746" s="2" t="str">
        <f t="shared" si="26"/>
        <v>Error?</v>
      </c>
    </row>
    <row r="1747" spans="1:5" x14ac:dyDescent="0.2">
      <c r="A1747" s="5">
        <v>1686</v>
      </c>
      <c r="B1747" s="1824">
        <f>'Tax Sched 23'!B7</f>
        <v>278996</v>
      </c>
      <c r="C1747" s="2" t="s">
        <v>569</v>
      </c>
      <c r="D1747" s="2" t="str">
        <f t="shared" si="26"/>
        <v>Error?</v>
      </c>
    </row>
    <row r="1748" spans="1:5" x14ac:dyDescent="0.2">
      <c r="A1748" s="5">
        <v>1687</v>
      </c>
      <c r="B1748" s="1824">
        <f>'Tax Sched 23'!B8</f>
        <v>234512</v>
      </c>
      <c r="C1748" s="2" t="s">
        <v>569</v>
      </c>
      <c r="D1748" s="2" t="str">
        <f t="shared" si="26"/>
        <v>Error?</v>
      </c>
    </row>
    <row r="1749" spans="1:5" x14ac:dyDescent="0.2">
      <c r="A1749" s="5">
        <v>1688</v>
      </c>
      <c r="B1749" s="1824">
        <f>'Tax Sched 23'!B10</f>
        <v>69609</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490543</v>
      </c>
      <c r="C1752" s="2" t="s">
        <v>569</v>
      </c>
      <c r="D1752" s="2" t="str">
        <f t="shared" si="26"/>
        <v>Error?</v>
      </c>
    </row>
    <row r="1753" spans="1:5" x14ac:dyDescent="0.2">
      <c r="A1753" s="5">
        <v>1692</v>
      </c>
      <c r="B1753" s="1824">
        <f>'Tax Sched 23'!B12</f>
        <v>0</v>
      </c>
      <c r="C1753" s="2" t="s">
        <v>569</v>
      </c>
      <c r="D1753" s="2" t="str">
        <f t="shared" si="26"/>
        <v>Error?</v>
      </c>
    </row>
    <row r="1754" spans="1:5" x14ac:dyDescent="0.2">
      <c r="A1754" s="5">
        <v>1693</v>
      </c>
      <c r="B1754" s="1824">
        <f>'Tax Sched 23'!B14</f>
        <v>0</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6754718</v>
      </c>
      <c r="C1759" s="2" t="s">
        <v>569</v>
      </c>
      <c r="D1759" s="2" t="str">
        <f t="shared" si="26"/>
        <v>Error?</v>
      </c>
    </row>
    <row r="1760" spans="1:5" x14ac:dyDescent="0.2">
      <c r="A1760" s="5">
        <v>1699</v>
      </c>
      <c r="B1760" s="1824">
        <f>'Tax Sched 23'!D4</f>
        <v>3943985</v>
      </c>
      <c r="C1760" s="2" t="s">
        <v>569</v>
      </c>
      <c r="D1760" s="2" t="str">
        <f t="shared" si="26"/>
        <v>Error?</v>
      </c>
    </row>
    <row r="1761" spans="1:7" x14ac:dyDescent="0.2">
      <c r="A1761" s="5">
        <v>1700</v>
      </c>
      <c r="B1761" s="1824">
        <f>'Tax Sched 23'!D5</f>
        <v>750446</v>
      </c>
      <c r="C1761" s="2" t="s">
        <v>569</v>
      </c>
      <c r="D1761" s="2" t="str">
        <f t="shared" si="26"/>
        <v>Error?</v>
      </c>
    </row>
    <row r="1762" spans="1:7" s="8" customFormat="1" x14ac:dyDescent="0.2">
      <c r="A1762" s="5">
        <v>1701</v>
      </c>
      <c r="B1762" s="1824">
        <f>'Tax Sched 23'!D6</f>
        <v>716343</v>
      </c>
      <c r="C1762" s="2" t="s">
        <v>569</v>
      </c>
      <c r="D1762" s="2" t="str">
        <f t="shared" si="26"/>
        <v>Error?</v>
      </c>
      <c r="E1762" s="9"/>
      <c r="G1762"/>
    </row>
    <row r="1763" spans="1:7" x14ac:dyDescent="0.2">
      <c r="A1763" s="5">
        <v>1702</v>
      </c>
      <c r="B1763" s="1824">
        <f>'Tax Sched 23'!D7</f>
        <v>278996</v>
      </c>
      <c r="C1763" s="2" t="s">
        <v>569</v>
      </c>
      <c r="D1763" s="2" t="str">
        <f t="shared" si="26"/>
        <v>Error?</v>
      </c>
    </row>
    <row r="1764" spans="1:7" x14ac:dyDescent="0.2">
      <c r="A1764" s="5">
        <v>1703</v>
      </c>
      <c r="B1764" s="1824">
        <f>'Tax Sched 23'!D8</f>
        <v>234512</v>
      </c>
      <c r="C1764" s="2" t="s">
        <v>569</v>
      </c>
      <c r="D1764" s="2" t="str">
        <f t="shared" si="26"/>
        <v>Error?</v>
      </c>
    </row>
    <row r="1765" spans="1:7" x14ac:dyDescent="0.2">
      <c r="A1765" s="5">
        <v>1704</v>
      </c>
      <c r="B1765" s="1824">
        <f>'Tax Sched 23'!D10</f>
        <v>69609</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490543</v>
      </c>
      <c r="C1768" s="2" t="s">
        <v>569</v>
      </c>
      <c r="D1768" s="2" t="str">
        <f t="shared" si="26"/>
        <v>Error?</v>
      </c>
    </row>
    <row r="1769" spans="1:7" x14ac:dyDescent="0.2">
      <c r="A1769" s="5">
        <v>1708</v>
      </c>
      <c r="B1769" s="1824">
        <f>'Tax Sched 23'!D12</f>
        <v>0</v>
      </c>
      <c r="C1769" s="2" t="s">
        <v>569</v>
      </c>
      <c r="D1769" s="2" t="str">
        <f t="shared" si="26"/>
        <v>Error?</v>
      </c>
    </row>
    <row r="1770" spans="1:7" x14ac:dyDescent="0.2">
      <c r="A1770" s="5">
        <v>1709</v>
      </c>
      <c r="B1770" s="1824">
        <f>'Tax Sched 23'!D14</f>
        <v>0</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6754718</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4043609</v>
      </c>
      <c r="C1792" s="2" t="s">
        <v>569</v>
      </c>
      <c r="D1792" s="2" t="str">
        <f t="shared" si="27"/>
        <v>Error?</v>
      </c>
    </row>
    <row r="1793" spans="1:4" x14ac:dyDescent="0.2">
      <c r="A1793" s="5">
        <v>1732</v>
      </c>
      <c r="B1793" s="1824">
        <f>'Tax Sched 23'!F5</f>
        <v>769409</v>
      </c>
      <c r="C1793" s="2" t="s">
        <v>569</v>
      </c>
      <c r="D1793" s="2" t="str">
        <f t="shared" si="27"/>
        <v>Error?</v>
      </c>
    </row>
    <row r="1794" spans="1:4" x14ac:dyDescent="0.2">
      <c r="A1794" s="5">
        <v>1733</v>
      </c>
      <c r="B1794" s="1824">
        <f>'Tax Sched 23'!F6</f>
        <v>722657</v>
      </c>
      <c r="C1794" s="2" t="s">
        <v>569</v>
      </c>
      <c r="D1794" s="2" t="str">
        <f t="shared" si="27"/>
        <v>Error?</v>
      </c>
    </row>
    <row r="1795" spans="1:4" x14ac:dyDescent="0.2">
      <c r="A1795" s="5">
        <v>1734</v>
      </c>
      <c r="B1795" s="1824">
        <f>'Tax Sched 23'!F7</f>
        <v>275998</v>
      </c>
      <c r="C1795" s="2" t="s">
        <v>569</v>
      </c>
      <c r="D1795" s="2" t="str">
        <f t="shared" si="27"/>
        <v>Error?</v>
      </c>
    </row>
    <row r="1796" spans="1:4" x14ac:dyDescent="0.2">
      <c r="A1796" s="5">
        <v>1735</v>
      </c>
      <c r="B1796" s="1824">
        <f>'Tax Sched 23'!F8</f>
        <v>240441</v>
      </c>
      <c r="C1796" s="2" t="s">
        <v>569</v>
      </c>
      <c r="D1796" s="2" t="str">
        <f t="shared" si="27"/>
        <v>Error?</v>
      </c>
    </row>
    <row r="1797" spans="1:4" x14ac:dyDescent="0.2">
      <c r="A1797" s="5">
        <v>1736</v>
      </c>
      <c r="B1797" s="1824">
        <f>'Tax Sched 23'!F10</f>
        <v>69003</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502939</v>
      </c>
      <c r="C1800" s="2" t="s">
        <v>569</v>
      </c>
      <c r="D1800" s="2" t="str">
        <f t="shared" si="27"/>
        <v>Error?</v>
      </c>
    </row>
    <row r="1801" spans="1:4" x14ac:dyDescent="0.2">
      <c r="A1801" s="5">
        <v>1740</v>
      </c>
      <c r="B1801" s="1824">
        <f>'Tax Sched 23'!F12</f>
        <v>0</v>
      </c>
      <c r="C1801" s="2" t="s">
        <v>569</v>
      </c>
      <c r="D1801" s="2" t="str">
        <f t="shared" si="27"/>
        <v>Error?</v>
      </c>
    </row>
    <row r="1802" spans="1:4" x14ac:dyDescent="0.2">
      <c r="A1802" s="5">
        <v>1741</v>
      </c>
      <c r="B1802" s="1824">
        <f>'Tax Sched 23'!F14</f>
        <v>0</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6901179</v>
      </c>
      <c r="C1807" s="2" t="s">
        <v>569</v>
      </c>
      <c r="D1807" s="2" t="str">
        <f t="shared" si="27"/>
        <v>Error?</v>
      </c>
    </row>
    <row r="1808" spans="1:4" x14ac:dyDescent="0.2">
      <c r="A1808" s="5">
        <v>1747</v>
      </c>
      <c r="B1808" s="1824">
        <f>'Tax Sched 23'!E4</f>
        <v>4043609</v>
      </c>
      <c r="D1808" s="2" t="str">
        <f t="shared" si="27"/>
        <v>Error?</v>
      </c>
    </row>
    <row r="1809" spans="1:4" x14ac:dyDescent="0.2">
      <c r="A1809" s="5">
        <v>1748</v>
      </c>
      <c r="B1809" s="1824">
        <f>'Tax Sched 23'!E5</f>
        <v>769409</v>
      </c>
      <c r="D1809" s="2" t="str">
        <f t="shared" si="27"/>
        <v>Error?</v>
      </c>
    </row>
    <row r="1810" spans="1:4" x14ac:dyDescent="0.2">
      <c r="A1810" s="5">
        <v>1749</v>
      </c>
      <c r="B1810" s="1824">
        <f>'Tax Sched 23'!E6</f>
        <v>722657</v>
      </c>
      <c r="D1810" s="2" t="str">
        <f t="shared" si="27"/>
        <v>Error?</v>
      </c>
    </row>
    <row r="1811" spans="1:4" x14ac:dyDescent="0.2">
      <c r="A1811" s="5">
        <v>1750</v>
      </c>
      <c r="B1811" s="1824">
        <f>'Tax Sched 23'!E7</f>
        <v>275998</v>
      </c>
      <c r="D1811" s="2" t="str">
        <f t="shared" si="27"/>
        <v>Error?</v>
      </c>
    </row>
    <row r="1812" spans="1:4" x14ac:dyDescent="0.2">
      <c r="A1812" s="5">
        <v>1751</v>
      </c>
      <c r="B1812" s="1824">
        <f>'Tax Sched 23'!E8</f>
        <v>240441</v>
      </c>
      <c r="D1812" s="2" t="str">
        <f t="shared" si="27"/>
        <v>Error?</v>
      </c>
    </row>
    <row r="1813" spans="1:4" x14ac:dyDescent="0.2">
      <c r="A1813" s="5">
        <v>1752</v>
      </c>
      <c r="B1813" s="1824">
        <f>'Tax Sched 23'!E10</f>
        <v>69003</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502939</v>
      </c>
      <c r="D1816" s="2" t="str">
        <f t="shared" si="27"/>
        <v>Error?</v>
      </c>
    </row>
    <row r="1817" spans="1:4" x14ac:dyDescent="0.2">
      <c r="A1817" s="5">
        <v>1756</v>
      </c>
      <c r="B1817" s="1824">
        <f>'Tax Sched 23'!E12</f>
        <v>0</v>
      </c>
      <c r="D1817" s="2" t="str">
        <f t="shared" si="27"/>
        <v>Error?</v>
      </c>
    </row>
    <row r="1818" spans="1:4" x14ac:dyDescent="0.2">
      <c r="A1818" s="5">
        <v>1757</v>
      </c>
      <c r="B1818" s="1824">
        <f>'Tax Sched 23'!E14</f>
        <v>0</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6901179</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2769100</v>
      </c>
      <c r="C1939" s="2" t="s">
        <v>569</v>
      </c>
      <c r="D1939" s="2" t="str">
        <f t="shared" si="29"/>
        <v>Error?</v>
      </c>
    </row>
    <row r="1940" spans="1:5" x14ac:dyDescent="0.2">
      <c r="A1940" s="5">
        <v>1879</v>
      </c>
      <c r="B1940" s="1824">
        <f>'Short-Term Long-Term Debt 24'!F49</f>
        <v>775000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0</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0</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0</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1227227</v>
      </c>
      <c r="D2008" s="2" t="str">
        <f t="shared" si="30"/>
        <v>Error?</v>
      </c>
    </row>
    <row r="2009" spans="1:4" x14ac:dyDescent="0.2">
      <c r="A2009" s="5">
        <v>1948</v>
      </c>
      <c r="B2009" s="1824">
        <f>'Cap Outlay Deprec 26'!C8</f>
        <v>24852091</v>
      </c>
      <c r="D2009" s="2" t="str">
        <f t="shared" si="30"/>
        <v>Error?</v>
      </c>
    </row>
    <row r="2010" spans="1:4" x14ac:dyDescent="0.2">
      <c r="A2010" s="5">
        <v>1949</v>
      </c>
      <c r="B2010" s="1824">
        <f>'Cap Outlay Deprec 26'!C10</f>
        <v>5941462</v>
      </c>
      <c r="D2010" s="2" t="str">
        <f t="shared" si="30"/>
        <v>Error?</v>
      </c>
    </row>
    <row r="2011" spans="1:4" x14ac:dyDescent="0.2">
      <c r="A2011" s="5">
        <v>1950</v>
      </c>
      <c r="B2011" s="1824">
        <f>'Cap Outlay Deprec 26'!C12</f>
        <v>5902761</v>
      </c>
      <c r="D2011" s="2" t="str">
        <f t="shared" si="30"/>
        <v>Error?</v>
      </c>
    </row>
    <row r="2012" spans="1:4" x14ac:dyDescent="0.2">
      <c r="A2012" s="5">
        <v>1951</v>
      </c>
      <c r="B2012" s="1824">
        <f>'Cap Outlay Deprec 26'!C13</f>
        <v>415969</v>
      </c>
      <c r="D2012" s="2" t="str">
        <f t="shared" si="30"/>
        <v>Error?</v>
      </c>
    </row>
    <row r="2013" spans="1:4" x14ac:dyDescent="0.2">
      <c r="A2013" s="5">
        <v>1952</v>
      </c>
      <c r="B2013" s="1824">
        <f>'Cap Outlay Deprec 26'!C16</f>
        <v>38396433</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0</v>
      </c>
      <c r="D2015" s="2" t="str">
        <f t="shared" si="30"/>
        <v>Error?</v>
      </c>
    </row>
    <row r="2016" spans="1:4" x14ac:dyDescent="0.2">
      <c r="A2016" s="5">
        <v>1955</v>
      </c>
      <c r="B2016" s="1824">
        <f>'Cap Outlay Deprec 26'!D10</f>
        <v>504804</v>
      </c>
      <c r="D2016" s="2" t="str">
        <f t="shared" si="30"/>
        <v>Error?</v>
      </c>
    </row>
    <row r="2017" spans="1:4" x14ac:dyDescent="0.2">
      <c r="A2017" s="5">
        <v>1956</v>
      </c>
      <c r="B2017" s="1824">
        <f>'Cap Outlay Deprec 26'!D12</f>
        <v>95642</v>
      </c>
      <c r="D2017" s="2" t="str">
        <f t="shared" si="30"/>
        <v>Error?</v>
      </c>
    </row>
    <row r="2018" spans="1:4" x14ac:dyDescent="0.2">
      <c r="A2018" s="5">
        <v>1957</v>
      </c>
      <c r="B2018" s="1824">
        <f>'Cap Outlay Deprec 26'!D13</f>
        <v>0</v>
      </c>
      <c r="D2018" s="2" t="str">
        <f t="shared" si="30"/>
        <v>Error?</v>
      </c>
    </row>
    <row r="2019" spans="1:4" x14ac:dyDescent="0.2">
      <c r="A2019" s="5">
        <v>1958</v>
      </c>
      <c r="B2019" s="1824">
        <f>'Cap Outlay Deprec 26'!D16</f>
        <v>600446</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0</v>
      </c>
      <c r="C2025" s="2" t="s">
        <v>569</v>
      </c>
      <c r="D2025" s="2" t="str">
        <f t="shared" si="30"/>
        <v>Error?</v>
      </c>
    </row>
    <row r="2026" spans="1:4" x14ac:dyDescent="0.2">
      <c r="A2026" s="5">
        <v>1965</v>
      </c>
      <c r="B2026" s="1824">
        <f>'Cap Outlay Deprec 26'!F5</f>
        <v>1227227</v>
      </c>
      <c r="C2026" s="2" t="s">
        <v>569</v>
      </c>
      <c r="D2026" s="2" t="str">
        <f t="shared" si="30"/>
        <v>Error?</v>
      </c>
    </row>
    <row r="2027" spans="1:4" x14ac:dyDescent="0.2">
      <c r="A2027" s="5">
        <v>1966</v>
      </c>
      <c r="B2027" s="1824">
        <f>'Cap Outlay Deprec 26'!F8</f>
        <v>24852091</v>
      </c>
      <c r="C2027" s="2" t="s">
        <v>569</v>
      </c>
      <c r="D2027" s="2" t="str">
        <f t="shared" si="30"/>
        <v>Error?</v>
      </c>
    </row>
    <row r="2028" spans="1:4" x14ac:dyDescent="0.2">
      <c r="A2028" s="5">
        <v>1967</v>
      </c>
      <c r="B2028" s="1824">
        <f>'Cap Outlay Deprec 26'!F10</f>
        <v>6446266</v>
      </c>
      <c r="C2028" s="2" t="s">
        <v>569</v>
      </c>
      <c r="D2028" s="2" t="str">
        <f t="shared" si="30"/>
        <v>Error?</v>
      </c>
    </row>
    <row r="2029" spans="1:4" x14ac:dyDescent="0.2">
      <c r="A2029" s="5">
        <v>1968</v>
      </c>
      <c r="B2029" s="1824">
        <f>'Cap Outlay Deprec 26'!F12</f>
        <v>5998403</v>
      </c>
      <c r="C2029" s="2" t="s">
        <v>569</v>
      </c>
      <c r="D2029" s="2" t="str">
        <f t="shared" si="30"/>
        <v>Error?</v>
      </c>
    </row>
    <row r="2030" spans="1:4" x14ac:dyDescent="0.2">
      <c r="A2030" s="5">
        <v>1969</v>
      </c>
      <c r="B2030" s="1824">
        <f>'Cap Outlay Deprec 26'!F13</f>
        <v>415969</v>
      </c>
      <c r="C2030" s="2" t="s">
        <v>569</v>
      </c>
      <c r="D2030" s="2" t="str">
        <f t="shared" si="30"/>
        <v>Error?</v>
      </c>
    </row>
    <row r="2031" spans="1:4" x14ac:dyDescent="0.2">
      <c r="A2031" s="5">
        <v>1970</v>
      </c>
      <c r="B2031" s="1824">
        <f>'Cap Outlay Deprec 26'!F16</f>
        <v>38996879</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8756004</v>
      </c>
      <c r="D2033" s="2" t="str">
        <f t="shared" si="30"/>
        <v>Error?</v>
      </c>
    </row>
    <row r="2034" spans="1:4" x14ac:dyDescent="0.2">
      <c r="A2034" s="5">
        <v>1973</v>
      </c>
      <c r="B2034" s="1824">
        <f>'Cap Outlay Deprec 26'!H10</f>
        <v>3383822</v>
      </c>
      <c r="D2034" s="2" t="str">
        <f t="shared" si="30"/>
        <v>Error?</v>
      </c>
    </row>
    <row r="2035" spans="1:4" x14ac:dyDescent="0.2">
      <c r="A2035" s="5">
        <v>1974</v>
      </c>
      <c r="B2035" s="1824">
        <f>'Cap Outlay Deprec 26'!H12</f>
        <v>5282401</v>
      </c>
      <c r="D2035" s="2" t="str">
        <f t="shared" si="30"/>
        <v>Error?</v>
      </c>
    </row>
    <row r="2036" spans="1:4" x14ac:dyDescent="0.2">
      <c r="A2036" s="5">
        <v>1975</v>
      </c>
      <c r="B2036" s="1824">
        <f>'Cap Outlay Deprec 26'!H13</f>
        <v>414603</v>
      </c>
      <c r="D2036" s="2" t="str">
        <f t="shared" si="30"/>
        <v>Error?</v>
      </c>
    </row>
    <row r="2037" spans="1:4" x14ac:dyDescent="0.2">
      <c r="A2037" s="5">
        <v>1976</v>
      </c>
      <c r="B2037" s="1824">
        <f>'Cap Outlay Deprec 26'!H16</f>
        <v>17893753</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497042</v>
      </c>
      <c r="D2039" s="2" t="str">
        <f t="shared" si="30"/>
        <v>Error?</v>
      </c>
    </row>
    <row r="2040" spans="1:4" x14ac:dyDescent="0.2">
      <c r="A2040" s="5">
        <v>1979</v>
      </c>
      <c r="B2040" s="1824">
        <f>'Cap Outlay Deprec 26'!I10</f>
        <v>305594</v>
      </c>
      <c r="D2040" s="2" t="str">
        <f t="shared" si="30"/>
        <v>Error?</v>
      </c>
    </row>
    <row r="2041" spans="1:4" x14ac:dyDescent="0.2">
      <c r="A2041" s="5">
        <v>1980</v>
      </c>
      <c r="B2041" s="1824">
        <f>'Cap Outlay Deprec 26'!I12</f>
        <v>135598</v>
      </c>
      <c r="D2041" s="2" t="str">
        <f t="shared" si="30"/>
        <v>Error?</v>
      </c>
    </row>
    <row r="2042" spans="1:4" x14ac:dyDescent="0.2">
      <c r="A2042" s="5">
        <v>1981</v>
      </c>
      <c r="B2042" s="1824">
        <f>'Cap Outlay Deprec 26'!I13</f>
        <v>972</v>
      </c>
      <c r="D2042" s="2" t="str">
        <f t="shared" si="30"/>
        <v>Error?</v>
      </c>
    </row>
    <row r="2043" spans="1:4" x14ac:dyDescent="0.2">
      <c r="A2043" s="5">
        <v>1982</v>
      </c>
      <c r="B2043" s="1824">
        <f>'Cap Outlay Deprec 26'!I16</f>
        <v>939206</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9253046</v>
      </c>
      <c r="C2051" s="2" t="s">
        <v>569</v>
      </c>
      <c r="D2051" s="2" t="str">
        <f t="shared" si="31"/>
        <v>Error?</v>
      </c>
    </row>
    <row r="2052" spans="1:4" x14ac:dyDescent="0.2">
      <c r="A2052" s="5">
        <v>1991</v>
      </c>
      <c r="B2052" s="1824">
        <f>'Cap Outlay Deprec 26'!K10</f>
        <v>3689416</v>
      </c>
      <c r="C2052" s="2" t="s">
        <v>569</v>
      </c>
      <c r="D2052" s="2" t="str">
        <f t="shared" si="31"/>
        <v>Error?</v>
      </c>
    </row>
    <row r="2053" spans="1:4" x14ac:dyDescent="0.2">
      <c r="A2053" s="5">
        <v>1992</v>
      </c>
      <c r="B2053" s="1824">
        <f>'Cap Outlay Deprec 26'!K12</f>
        <v>5417999</v>
      </c>
      <c r="C2053" s="2" t="s">
        <v>569</v>
      </c>
      <c r="D2053" s="2" t="str">
        <f t="shared" si="31"/>
        <v>Error?</v>
      </c>
    </row>
    <row r="2054" spans="1:4" x14ac:dyDescent="0.2">
      <c r="A2054" s="5">
        <v>1993</v>
      </c>
      <c r="B2054" s="1824">
        <f>'Cap Outlay Deprec 26'!K13</f>
        <v>415575</v>
      </c>
      <c r="C2054" s="2" t="s">
        <v>569</v>
      </c>
      <c r="D2054" s="2" t="str">
        <f t="shared" si="31"/>
        <v>Error?</v>
      </c>
    </row>
    <row r="2055" spans="1:4" x14ac:dyDescent="0.2">
      <c r="A2055" s="5">
        <v>1994</v>
      </c>
      <c r="B2055" s="1824">
        <f>'Cap Outlay Deprec 26'!K16</f>
        <v>18832959</v>
      </c>
      <c r="C2055" s="2" t="s">
        <v>569</v>
      </c>
      <c r="D2055" s="2" t="str">
        <f t="shared" si="31"/>
        <v>Error?</v>
      </c>
    </row>
    <row r="2056" spans="1:4" x14ac:dyDescent="0.2">
      <c r="A2056" s="5">
        <v>1995</v>
      </c>
      <c r="B2056" s="1824">
        <f>'Cap Outlay Deprec 26'!L5</f>
        <v>1227227</v>
      </c>
      <c r="C2056" s="2" t="s">
        <v>569</v>
      </c>
      <c r="D2056" s="2" t="str">
        <f t="shared" si="31"/>
        <v>Error?</v>
      </c>
    </row>
    <row r="2057" spans="1:4" x14ac:dyDescent="0.2">
      <c r="A2057" s="5">
        <v>1996</v>
      </c>
      <c r="B2057" s="1824">
        <f>'Cap Outlay Deprec 26'!L8</f>
        <v>15599045</v>
      </c>
      <c r="C2057" s="2" t="s">
        <v>569</v>
      </c>
      <c r="D2057" s="2" t="str">
        <f t="shared" si="31"/>
        <v>Error?</v>
      </c>
    </row>
    <row r="2058" spans="1:4" x14ac:dyDescent="0.2">
      <c r="A2058" s="5">
        <v>1997</v>
      </c>
      <c r="B2058" s="1824">
        <f>'Cap Outlay Deprec 26'!L10</f>
        <v>2756850</v>
      </c>
      <c r="C2058" s="2" t="s">
        <v>569</v>
      </c>
      <c r="D2058" s="2" t="str">
        <f t="shared" si="31"/>
        <v>Error?</v>
      </c>
    </row>
    <row r="2059" spans="1:4" x14ac:dyDescent="0.2">
      <c r="A2059" s="5">
        <v>1998</v>
      </c>
      <c r="B2059" s="1824">
        <f>'Cap Outlay Deprec 26'!L12</f>
        <v>580404</v>
      </c>
      <c r="C2059" s="2" t="s">
        <v>569</v>
      </c>
      <c r="D2059" s="2" t="str">
        <f t="shared" si="31"/>
        <v>Error?</v>
      </c>
    </row>
    <row r="2060" spans="1:4" x14ac:dyDescent="0.2">
      <c r="A2060" s="5">
        <v>1999</v>
      </c>
      <c r="B2060" s="1824">
        <f>'Cap Outlay Deprec 26'!L13</f>
        <v>394</v>
      </c>
      <c r="C2060" s="2" t="s">
        <v>569</v>
      </c>
      <c r="D2060" s="2" t="str">
        <f t="shared" si="31"/>
        <v>Error?</v>
      </c>
    </row>
    <row r="2061" spans="1:4" x14ac:dyDescent="0.2">
      <c r="A2061" s="5">
        <v>2000</v>
      </c>
      <c r="B2061" s="1824">
        <f>'Cap Outlay Deprec 26'!L16</f>
        <v>20163920</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218420</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228249</v>
      </c>
      <c r="C2088" s="2" t="s">
        <v>569</v>
      </c>
      <c r="D2088" s="2" t="str">
        <f t="shared" si="31"/>
        <v>Error?</v>
      </c>
    </row>
    <row r="2089" spans="1:4" x14ac:dyDescent="0.2">
      <c r="A2089" s="5">
        <v>2028</v>
      </c>
      <c r="B2089" s="1824">
        <f>'Expenditures 15-22'!K92</f>
        <v>45120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595171</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533548</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5111454</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10357698</v>
      </c>
      <c r="C2553" s="2" t="s">
        <v>569</v>
      </c>
      <c r="D2553" s="2" t="str">
        <f t="shared" si="38"/>
        <v>Error?</v>
      </c>
    </row>
    <row r="2554" spans="1:4" x14ac:dyDescent="0.2">
      <c r="A2554" s="5">
        <v>2493</v>
      </c>
      <c r="B2554" s="1824">
        <f>'Acct Summary 7-8'!C7</f>
        <v>2939621</v>
      </c>
      <c r="C2554" s="2" t="s">
        <v>569</v>
      </c>
      <c r="D2554" s="2" t="str">
        <f t="shared" si="38"/>
        <v>Error?</v>
      </c>
    </row>
    <row r="2555" spans="1:4" x14ac:dyDescent="0.2">
      <c r="A2555" s="5">
        <v>2494</v>
      </c>
      <c r="B2555" s="1824">
        <f>'Acct Summary 7-8'!C8</f>
        <v>18410354</v>
      </c>
      <c r="C2555" s="2" t="s">
        <v>569</v>
      </c>
      <c r="D2555" s="2" t="str">
        <f t="shared" si="38"/>
        <v>Error?</v>
      </c>
    </row>
    <row r="2556" spans="1:4" x14ac:dyDescent="0.2">
      <c r="A2556" s="5">
        <v>2495</v>
      </c>
      <c r="B2556" s="1824">
        <f>'Acct Summary 7-8'!C12</f>
        <v>12043973</v>
      </c>
      <c r="C2556" s="2" t="s">
        <v>569</v>
      </c>
      <c r="D2556" s="2" t="str">
        <f t="shared" si="38"/>
        <v>Error?</v>
      </c>
    </row>
    <row r="2557" spans="1:4" x14ac:dyDescent="0.2">
      <c r="A2557" s="5">
        <v>2496</v>
      </c>
      <c r="B2557" s="1824">
        <f>'Acct Summary 7-8'!C13</f>
        <v>4476879</v>
      </c>
      <c r="C2557" s="2" t="s">
        <v>569</v>
      </c>
      <c r="D2557" s="2" t="str">
        <f t="shared" si="38"/>
        <v>Error?</v>
      </c>
    </row>
    <row r="2558" spans="1:4" x14ac:dyDescent="0.2">
      <c r="A2558" s="5">
        <v>2497</v>
      </c>
      <c r="B2558" s="1824">
        <f>'Acct Summary 7-8'!C14</f>
        <v>19399</v>
      </c>
      <c r="C2558" s="2" t="s">
        <v>569</v>
      </c>
      <c r="D2558" s="2" t="str">
        <f t="shared" si="38"/>
        <v>Error?</v>
      </c>
    </row>
    <row r="2559" spans="1:4" x14ac:dyDescent="0.2">
      <c r="A2559" s="5">
        <v>2498</v>
      </c>
      <c r="B2559" s="1824">
        <f>'Acct Summary 7-8'!C15</f>
        <v>273369</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16813620</v>
      </c>
      <c r="C2561" s="2" t="s">
        <v>569</v>
      </c>
      <c r="D2561" s="2" t="str">
        <f t="shared" si="39"/>
        <v>Error?</v>
      </c>
    </row>
    <row r="2562" spans="1:4" x14ac:dyDescent="0.2">
      <c r="A2562" s="5">
        <v>2501</v>
      </c>
      <c r="B2562" s="1824">
        <f>'Acct Summary 7-8'!C20</f>
        <v>1596734</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985190</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1145557</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2130747</v>
      </c>
      <c r="C2568" s="2" t="s">
        <v>569</v>
      </c>
      <c r="D2568" s="2" t="str">
        <f t="shared" si="39"/>
        <v>Error?</v>
      </c>
    </row>
    <row r="2569" spans="1:4" x14ac:dyDescent="0.2">
      <c r="A2569" s="5">
        <v>2508</v>
      </c>
      <c r="B2569" s="1824">
        <f>'Acct Summary 7-8'!D13</f>
        <v>1928677</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1928677</v>
      </c>
      <c r="C2573" s="2" t="s">
        <v>569</v>
      </c>
      <c r="D2573" s="2" t="str">
        <f t="shared" si="39"/>
        <v>Error?</v>
      </c>
    </row>
    <row r="2574" spans="1:4" x14ac:dyDescent="0.2">
      <c r="A2574" s="5">
        <v>2513</v>
      </c>
      <c r="B2574" s="1824">
        <f>'Acct Summary 7-8'!D20</f>
        <v>202070</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279319</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1499929</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1779248</v>
      </c>
      <c r="C2595" s="2" t="s">
        <v>569</v>
      </c>
      <c r="D2595" s="2" t="str">
        <f t="shared" si="39"/>
        <v>Error?</v>
      </c>
    </row>
    <row r="2596" spans="1:4" x14ac:dyDescent="0.2">
      <c r="A2596" s="5">
        <v>2535</v>
      </c>
      <c r="B2596" s="1824">
        <f>'Acct Summary 7-8'!F13</f>
        <v>1709110</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1709110</v>
      </c>
      <c r="C2600" s="2" t="s">
        <v>569</v>
      </c>
      <c r="D2600" s="2" t="str">
        <f t="shared" si="39"/>
        <v>Error?</v>
      </c>
    </row>
    <row r="2601" spans="1:4" x14ac:dyDescent="0.2">
      <c r="A2601" s="5">
        <v>2540</v>
      </c>
      <c r="B2601" s="1824">
        <f>'Acct Summary 7-8'!F20</f>
        <v>70138</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583993</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583993</v>
      </c>
      <c r="C2606" s="2" t="s">
        <v>569</v>
      </c>
      <c r="D2606" s="2" t="str">
        <f t="shared" si="39"/>
        <v>Error?</v>
      </c>
    </row>
    <row r="2607" spans="1:4" x14ac:dyDescent="0.2">
      <c r="A2607" s="5">
        <v>2546</v>
      </c>
      <c r="B2607" s="1824">
        <f>'Acct Summary 7-8'!G12</f>
        <v>278923</v>
      </c>
      <c r="C2607" s="2" t="s">
        <v>569</v>
      </c>
      <c r="D2607" s="2" t="str">
        <f t="shared" si="39"/>
        <v>Error?</v>
      </c>
    </row>
    <row r="2608" spans="1:4" x14ac:dyDescent="0.2">
      <c r="A2608" s="5">
        <v>2547</v>
      </c>
      <c r="B2608" s="1824">
        <f>'Acct Summary 7-8'!G13</f>
        <v>309370</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588293</v>
      </c>
      <c r="C2612" s="2" t="s">
        <v>569</v>
      </c>
      <c r="D2612" s="2" t="str">
        <f t="shared" si="39"/>
        <v>Error?</v>
      </c>
    </row>
    <row r="2613" spans="1:4" x14ac:dyDescent="0.2">
      <c r="A2613" s="5">
        <v>2552</v>
      </c>
      <c r="B2613" s="1824">
        <f>'Acct Summary 7-8'!G20</f>
        <v>-4300</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718494</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718494</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749684</v>
      </c>
      <c r="C2634" s="2" t="s">
        <v>569</v>
      </c>
      <c r="D2634" s="2" t="str">
        <f t="shared" si="40"/>
        <v>Error?</v>
      </c>
    </row>
    <row r="2635" spans="1:4" x14ac:dyDescent="0.2">
      <c r="A2635" s="5">
        <v>2574</v>
      </c>
      <c r="B2635" s="1824">
        <f>'Acct Summary 7-8'!E17</f>
        <v>749684</v>
      </c>
      <c r="C2635" s="2" t="s">
        <v>569</v>
      </c>
      <c r="D2635" s="2" t="str">
        <f t="shared" si="40"/>
        <v>Error?</v>
      </c>
    </row>
    <row r="2636" spans="1:4" x14ac:dyDescent="0.2">
      <c r="A2636" s="5">
        <v>2575</v>
      </c>
      <c r="B2636" s="1824">
        <f>'Acct Summary 7-8'!E20</f>
        <v>-31190</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521</v>
      </c>
      <c r="C2655" s="2" t="s">
        <v>569</v>
      </c>
      <c r="D2655" s="2" t="str">
        <f t="shared" si="40"/>
        <v>Error?</v>
      </c>
    </row>
    <row r="2656" spans="1:4" x14ac:dyDescent="0.2">
      <c r="A2656" s="5">
        <v>2595</v>
      </c>
      <c r="B2656" s="1824">
        <f>'Acct Summary 7-8'!H6</f>
        <v>15000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15521</v>
      </c>
      <c r="C2658" s="2" t="s">
        <v>569</v>
      </c>
      <c r="D2658" s="2" t="str">
        <f t="shared" si="40"/>
        <v>Error?</v>
      </c>
    </row>
    <row r="2659" spans="1:4" x14ac:dyDescent="0.2">
      <c r="A2659" s="5">
        <v>2598</v>
      </c>
      <c r="B2659" s="1824">
        <f>'Acct Summary 7-8'!H13</f>
        <v>0</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0</v>
      </c>
      <c r="C2661" s="2" t="s">
        <v>569</v>
      </c>
      <c r="D2661" s="2" t="str">
        <f t="shared" si="40"/>
        <v>Error?</v>
      </c>
    </row>
    <row r="2662" spans="1:4" x14ac:dyDescent="0.2">
      <c r="A2662" s="5">
        <v>2601</v>
      </c>
      <c r="B2662" s="1824">
        <f>'Acct Summary 7-8'!H20</f>
        <v>15521</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3528</v>
      </c>
      <c r="D2718" s="2" t="str">
        <f t="shared" si="41"/>
        <v>Error?</v>
      </c>
    </row>
    <row r="2719" spans="1:4" x14ac:dyDescent="0.2">
      <c r="A2719" s="5">
        <v>2658</v>
      </c>
      <c r="B2719" s="1824">
        <f>'Expenditures 15-22'!D51</f>
        <v>123</v>
      </c>
      <c r="D2719" s="2" t="str">
        <f t="shared" si="41"/>
        <v>Error?</v>
      </c>
    </row>
    <row r="2720" spans="1:4" x14ac:dyDescent="0.2">
      <c r="A2720" s="5">
        <v>2659</v>
      </c>
      <c r="B2720" s="1824">
        <f>'Expenditures 15-22'!E51</f>
        <v>13684</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3725</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21060</v>
      </c>
      <c r="C2724" s="2" t="s">
        <v>569</v>
      </c>
      <c r="D2724" s="2" t="str">
        <f t="shared" si="41"/>
        <v>Error?</v>
      </c>
    </row>
    <row r="2725" spans="1:4" x14ac:dyDescent="0.2">
      <c r="A2725" s="5">
        <v>2664</v>
      </c>
      <c r="B2725" s="1824">
        <f>'Expenditures 15-22'!D247</f>
        <v>49</v>
      </c>
      <c r="D2725" s="2" t="str">
        <f t="shared" si="41"/>
        <v>Error?</v>
      </c>
    </row>
    <row r="2726" spans="1:4" x14ac:dyDescent="0.2">
      <c r="A2726" s="5">
        <v>2665</v>
      </c>
      <c r="B2726" s="1824">
        <f>'Expenditures 15-22'!K247</f>
        <v>49</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9829</v>
      </c>
      <c r="C2789" s="2" t="s">
        <v>569</v>
      </c>
      <c r="D2789" s="2" t="str">
        <f t="shared" si="42"/>
        <v>Error?</v>
      </c>
    </row>
    <row r="2790" spans="1:4" x14ac:dyDescent="0.2">
      <c r="A2790" s="5">
        <v>2729</v>
      </c>
      <c r="B2790" s="1824">
        <f>'Expenditures 15-22'!E102</f>
        <v>9829</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0</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232370</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238746</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232370</v>
      </c>
      <c r="D2912" s="2" t="str">
        <f t="shared" si="44"/>
        <v>Error?</v>
      </c>
    </row>
    <row r="2913" spans="1:4" x14ac:dyDescent="0.2">
      <c r="A2913" s="5">
        <v>2852</v>
      </c>
      <c r="B2913" s="1824">
        <f>'Assets-Liab 5-6'!I41</f>
        <v>232370</v>
      </c>
      <c r="C2913" s="2" t="s">
        <v>569</v>
      </c>
      <c r="D2913" s="2" t="str">
        <f t="shared" si="44"/>
        <v>Error?</v>
      </c>
    </row>
    <row r="2914" spans="1:4" x14ac:dyDescent="0.2">
      <c r="A2914" s="5">
        <v>2853</v>
      </c>
      <c r="B2914" s="1824">
        <f>'Assets-Liab 5-6'!L33</f>
        <v>238746</v>
      </c>
      <c r="D2914" s="2" t="str">
        <f t="shared" si="44"/>
        <v>Error?</v>
      </c>
    </row>
    <row r="2915" spans="1:4" x14ac:dyDescent="0.2">
      <c r="A2915" s="10">
        <v>2854</v>
      </c>
      <c r="B2915" s="1824"/>
      <c r="D2915" s="2" t="str">
        <f t="shared" si="44"/>
        <v>OK</v>
      </c>
    </row>
    <row r="2916" spans="1:4" x14ac:dyDescent="0.2">
      <c r="A2916" s="5">
        <v>2855</v>
      </c>
      <c r="B2916" s="1824">
        <f>'Assets-Liab 5-6'!L34</f>
        <v>238746</v>
      </c>
      <c r="C2916" s="2" t="s">
        <v>569</v>
      </c>
      <c r="D2916" s="2" t="str">
        <f t="shared" si="44"/>
        <v>Error?</v>
      </c>
    </row>
    <row r="2917" spans="1:4" x14ac:dyDescent="0.2">
      <c r="A2917" s="5">
        <v>2856</v>
      </c>
      <c r="B2917" s="1824">
        <f>'Assets-Liab 5-6'!L41</f>
        <v>238746</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9829</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3254</v>
      </c>
      <c r="D2955" s="2" t="str">
        <f t="shared" si="45"/>
        <v>Error?</v>
      </c>
    </row>
    <row r="2956" spans="1:4" x14ac:dyDescent="0.2">
      <c r="A2956" s="5">
        <v>2895</v>
      </c>
      <c r="B2956" s="1824">
        <f>'Expenditures 15-22'!H79</f>
        <v>608</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104819</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109739</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13083</v>
      </c>
      <c r="C2973" s="2" t="s">
        <v>569</v>
      </c>
      <c r="D2973" s="2" t="str">
        <f t="shared" si="45"/>
        <v>Error?</v>
      </c>
    </row>
    <row r="2974" spans="1:4" x14ac:dyDescent="0.2">
      <c r="A2974" s="5">
        <v>2913</v>
      </c>
      <c r="B2974" s="1824">
        <f>'Expenditures 15-22'!K79</f>
        <v>608</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104819</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109739</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431200</v>
      </c>
      <c r="D3055" s="2" t="str">
        <f t="shared" si="46"/>
        <v>Error?</v>
      </c>
    </row>
    <row r="3056" spans="1:4" x14ac:dyDescent="0.2">
      <c r="A3056" s="5">
        <v>2995</v>
      </c>
      <c r="B3056" s="1824">
        <f>'Expenditures 15-22'!D10</f>
        <v>100546</v>
      </c>
      <c r="D3056" s="2" t="str">
        <f t="shared" si="46"/>
        <v>Error?</v>
      </c>
    </row>
    <row r="3057" spans="1:4" x14ac:dyDescent="0.2">
      <c r="A3057" s="5">
        <v>2996</v>
      </c>
      <c r="B3057" s="1824">
        <f>'Expenditures 15-22'!E10</f>
        <v>47741</v>
      </c>
      <c r="D3057" s="2" t="str">
        <f t="shared" si="46"/>
        <v>Error?</v>
      </c>
    </row>
    <row r="3058" spans="1:4" x14ac:dyDescent="0.2">
      <c r="A3058" s="5">
        <v>2997</v>
      </c>
      <c r="B3058" s="1824">
        <f>'Expenditures 15-22'!F10</f>
        <v>166013</v>
      </c>
      <c r="D3058" s="2" t="str">
        <f t="shared" si="46"/>
        <v>Error?</v>
      </c>
    </row>
    <row r="3059" spans="1:4" x14ac:dyDescent="0.2">
      <c r="A3059" s="5">
        <v>2998</v>
      </c>
      <c r="B3059" s="1824">
        <f>'Expenditures 15-22'!G10</f>
        <v>7989</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753489</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46592</v>
      </c>
      <c r="D3064" s="2" t="str">
        <f t="shared" si="46"/>
        <v>Error?</v>
      </c>
    </row>
    <row r="3065" spans="1:4" x14ac:dyDescent="0.2">
      <c r="A3065" s="5">
        <v>3004</v>
      </c>
      <c r="B3065" s="1824">
        <f>'Expenditures 15-22'!K219</f>
        <v>46592</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15000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69739</v>
      </c>
      <c r="C3225" s="2" t="s">
        <v>569</v>
      </c>
      <c r="D3225" s="2" t="str">
        <f t="shared" si="49"/>
        <v>Error?</v>
      </c>
    </row>
    <row r="3226" spans="1:4" x14ac:dyDescent="0.2">
      <c r="A3226" s="5">
        <v>3165</v>
      </c>
      <c r="B3226" s="1824">
        <f>'Acct Summary 7-8'!I8</f>
        <v>69739</v>
      </c>
      <c r="C3226" s="2" t="s">
        <v>569</v>
      </c>
      <c r="D3226" s="2" t="str">
        <f t="shared" si="49"/>
        <v>Error?</v>
      </c>
    </row>
    <row r="3227" spans="1:4" x14ac:dyDescent="0.2">
      <c r="A3227" s="5">
        <v>3166</v>
      </c>
      <c r="B3227" s="1824">
        <f>'Acct Summary 7-8'!I20</f>
        <v>69739</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0</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0</v>
      </c>
      <c r="C3231" s="2" t="s">
        <v>569</v>
      </c>
      <c r="D3231" s="2" t="str">
        <f t="shared" si="49"/>
        <v>Error?</v>
      </c>
    </row>
    <row r="3232" spans="1:4" x14ac:dyDescent="0.2">
      <c r="A3232" s="5">
        <v>3171</v>
      </c>
      <c r="B3232" s="1824">
        <f>'Acct Summary 7-8'!C77</f>
        <v>0</v>
      </c>
      <c r="C3232" s="2" t="s">
        <v>569</v>
      </c>
      <c r="D3232" s="2" t="str">
        <f t="shared" si="49"/>
        <v>Error?</v>
      </c>
    </row>
    <row r="3233" spans="1:4" x14ac:dyDescent="0.2">
      <c r="A3233" s="5">
        <v>3172</v>
      </c>
      <c r="B3233" s="1824">
        <f>'Acct Summary 7-8'!C78</f>
        <v>1596734</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0</v>
      </c>
      <c r="C3238" s="2" t="s">
        <v>569</v>
      </c>
      <c r="D3238" s="2" t="str">
        <f t="shared" si="49"/>
        <v>Error?</v>
      </c>
    </row>
    <row r="3239" spans="1:4" x14ac:dyDescent="0.2">
      <c r="A3239" s="5">
        <v>3178</v>
      </c>
      <c r="B3239" s="1824">
        <f>'Acct Summary 7-8'!D78</f>
        <v>202070</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70138</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-4300</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15000</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15000</v>
      </c>
      <c r="C3277" s="2" t="s">
        <v>569</v>
      </c>
      <c r="D3277" s="2" t="str">
        <f t="shared" si="50"/>
        <v>Error?</v>
      </c>
    </row>
    <row r="3278" spans="1:4" x14ac:dyDescent="0.2">
      <c r="A3278" s="5">
        <v>3217</v>
      </c>
      <c r="B3278" s="1824">
        <f>'Acct Summary 7-8'!E78</f>
        <v>-16190</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15521</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69739</v>
      </c>
      <c r="C3320" s="2" t="s">
        <v>569</v>
      </c>
      <c r="D3320" s="2" t="str">
        <f t="shared" si="50"/>
        <v>Error?</v>
      </c>
    </row>
    <row r="3321" spans="1:4" x14ac:dyDescent="0.2">
      <c r="A3321" s="5">
        <v>3260</v>
      </c>
      <c r="B3321" s="1824">
        <f>'Acct Summary 7-8'!I79</f>
        <v>162631</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232370</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2177811</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465302</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9336</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20870</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4710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399</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2678428</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97195</v>
      </c>
      <c r="D3387" s="2" t="str">
        <f t="shared" si="51"/>
        <v>Error?</v>
      </c>
    </row>
    <row r="3388" spans="1:4" x14ac:dyDescent="0.2">
      <c r="A3388" s="5">
        <v>3327</v>
      </c>
      <c r="B3388" s="1824">
        <f>'Expenditures 15-22'!D217</f>
        <v>113429</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97195</v>
      </c>
      <c r="C3390" s="2" t="s">
        <v>569</v>
      </c>
      <c r="D3390" s="2" t="str">
        <f t="shared" si="51"/>
        <v>Error?</v>
      </c>
    </row>
    <row r="3391" spans="1:4" x14ac:dyDescent="0.2">
      <c r="A3391" s="5">
        <v>3330</v>
      </c>
      <c r="B3391" s="1824">
        <f>'Expenditures 15-22'!K217</f>
        <v>113429</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1581</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1692122</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355127</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418548</v>
      </c>
      <c r="D3417" s="2" t="str">
        <f t="shared" si="52"/>
        <v>Error?</v>
      </c>
    </row>
    <row r="3418" spans="1:4" x14ac:dyDescent="0.2">
      <c r="A3418" s="10">
        <v>3357</v>
      </c>
      <c r="B3418" s="1824"/>
      <c r="D3418" s="2" t="str">
        <f t="shared" si="52"/>
        <v>OK</v>
      </c>
    </row>
    <row r="3419" spans="1:4" x14ac:dyDescent="0.2">
      <c r="A3419" s="5">
        <v>3358</v>
      </c>
      <c r="B3419" s="1824">
        <f>'Assets-Liab 5-6'!F4</f>
        <v>139587</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595215</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115830</v>
      </c>
      <c r="D3425" s="2" t="str">
        <f t="shared" si="52"/>
        <v>Error?</v>
      </c>
    </row>
    <row r="3426" spans="1:4" x14ac:dyDescent="0.2">
      <c r="A3426" s="10">
        <v>3365</v>
      </c>
      <c r="B3426" s="1824"/>
      <c r="D3426" s="2" t="str">
        <f t="shared" si="52"/>
        <v>OK</v>
      </c>
    </row>
    <row r="3427" spans="1:4" x14ac:dyDescent="0.2">
      <c r="A3427" s="5">
        <v>3366</v>
      </c>
      <c r="B3427" s="1824">
        <f>'Assets-Liab 5-6'!I4</f>
        <v>232370</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238746</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234512</v>
      </c>
      <c r="C3446" s="2" t="s">
        <v>569</v>
      </c>
      <c r="D3446" s="2" t="str">
        <f t="shared" si="52"/>
        <v>Error?</v>
      </c>
    </row>
    <row r="3447" spans="1:4" x14ac:dyDescent="0.2">
      <c r="A3447" s="5">
        <v>3386</v>
      </c>
      <c r="B3447" s="1824">
        <f>'Tax Sched 23'!D16</f>
        <v>234512</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240441</v>
      </c>
      <c r="C3449" s="2" t="s">
        <v>569</v>
      </c>
      <c r="D3449" s="2" t="str">
        <f t="shared" si="52"/>
        <v>Error?</v>
      </c>
    </row>
    <row r="3450" spans="1:4" x14ac:dyDescent="0.2">
      <c r="A3450" s="5">
        <v>3389</v>
      </c>
      <c r="B3450" s="1824">
        <f>'Tax Sched 23'!E16</f>
        <v>240441</v>
      </c>
      <c r="D3450" s="2" t="str">
        <f t="shared" si="52"/>
        <v>Error?</v>
      </c>
    </row>
    <row r="3451" spans="1:4" x14ac:dyDescent="0.2">
      <c r="A3451" s="5">
        <v>3390</v>
      </c>
      <c r="B3451" s="1824">
        <f>'Cap Outlay Deprec 26'!C15</f>
        <v>0</v>
      </c>
      <c r="D3451" s="2" t="str">
        <f t="shared" si="52"/>
        <v>Error?</v>
      </c>
    </row>
    <row r="3452" spans="1:4" x14ac:dyDescent="0.2">
      <c r="A3452" s="5">
        <v>3391</v>
      </c>
      <c r="B3452" s="1824">
        <f>'Cap Outlay Deprec 26'!D15</f>
        <v>0</v>
      </c>
      <c r="D3452" s="2" t="str">
        <f t="shared" si="52"/>
        <v>Error?</v>
      </c>
    </row>
    <row r="3453" spans="1:4" x14ac:dyDescent="0.2">
      <c r="A3453" s="5">
        <v>3392</v>
      </c>
      <c r="B3453" s="1824">
        <f>'Cap Outlay Deprec 26'!E15</f>
        <v>0</v>
      </c>
      <c r="D3453" s="2" t="str">
        <f t="shared" si="52"/>
        <v>Error?</v>
      </c>
    </row>
    <row r="3454" spans="1:4" x14ac:dyDescent="0.2">
      <c r="A3454" s="5">
        <v>3393</v>
      </c>
      <c r="B3454" s="1824">
        <f>'Cap Outlay Deprec 26'!F15</f>
        <v>0</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0</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270444</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270444</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270444</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270444</v>
      </c>
      <c r="C3568" s="2" t="s">
        <v>569</v>
      </c>
      <c r="D3568" s="2" t="str">
        <f t="shared" si="54"/>
        <v>Error?</v>
      </c>
    </row>
    <row r="3569" spans="1:4" x14ac:dyDescent="0.2">
      <c r="A3569" s="5">
        <v>3508</v>
      </c>
      <c r="B3569" s="1824">
        <f>'Acct Summary 7-8'!K4</f>
        <v>0</v>
      </c>
      <c r="C3569" s="2" t="s">
        <v>569</v>
      </c>
      <c r="D3569" s="2" t="str">
        <f t="shared" si="54"/>
        <v>Error?</v>
      </c>
    </row>
    <row r="3570" spans="1:4" x14ac:dyDescent="0.2">
      <c r="A3570" s="5">
        <v>3509</v>
      </c>
      <c r="B3570" s="1824">
        <f>'Acct Summary 7-8'!K6</f>
        <v>50000</v>
      </c>
      <c r="C3570" s="2" t="s">
        <v>569</v>
      </c>
      <c r="D3570" s="2" t="str">
        <f t="shared" si="54"/>
        <v>Error?</v>
      </c>
    </row>
    <row r="3571" spans="1:4" x14ac:dyDescent="0.2">
      <c r="A3571" s="5">
        <v>3510</v>
      </c>
      <c r="B3571" s="1824">
        <f>'Acct Summary 7-8'!K8</f>
        <v>50000</v>
      </c>
      <c r="C3571" s="2" t="s">
        <v>569</v>
      </c>
      <c r="D3571" s="2" t="str">
        <f t="shared" si="54"/>
        <v>Error?</v>
      </c>
    </row>
    <row r="3572" spans="1:4" x14ac:dyDescent="0.2">
      <c r="A3572" s="5">
        <v>3511</v>
      </c>
      <c r="B3572" s="1824">
        <f>'Acct Summary 7-8'!K13</f>
        <v>539556</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539556</v>
      </c>
      <c r="C3575" s="2" t="s">
        <v>569</v>
      </c>
      <c r="D3575" s="2" t="str">
        <f t="shared" si="54"/>
        <v>Error?</v>
      </c>
    </row>
    <row r="3576" spans="1:4" x14ac:dyDescent="0.2">
      <c r="A3576" s="5">
        <v>3515</v>
      </c>
      <c r="B3576" s="1824">
        <f>'Acct Summary 7-8'!K20</f>
        <v>-489556</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760000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760000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760000</v>
      </c>
      <c r="C3587" s="2" t="s">
        <v>569</v>
      </c>
      <c r="D3587" s="2" t="str">
        <f t="shared" si="55"/>
        <v>Error?</v>
      </c>
    </row>
    <row r="3588" spans="1:4" x14ac:dyDescent="0.2">
      <c r="A3588" s="5">
        <v>3527</v>
      </c>
      <c r="B3588" s="1824">
        <f>'Acct Summary 7-8'!K78</f>
        <v>270444</v>
      </c>
      <c r="C3588" s="2" t="s">
        <v>569</v>
      </c>
      <c r="D3588" s="2" t="str">
        <f t="shared" si="55"/>
        <v>Error?</v>
      </c>
    </row>
    <row r="3589" spans="1:4" x14ac:dyDescent="0.2">
      <c r="A3589" s="5">
        <v>3528</v>
      </c>
      <c r="B3589" s="1824">
        <f>'Acct Summary 7-8'!K79</f>
        <v>0</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270444</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33000</v>
      </c>
      <c r="D3631" s="2" t="str">
        <f t="shared" si="55"/>
        <v>Error?</v>
      </c>
    </row>
    <row r="3632" spans="1:4" x14ac:dyDescent="0.2">
      <c r="A3632" s="5">
        <v>3571</v>
      </c>
      <c r="B3632" s="1824">
        <f>'Expenditures 15-22'!E349</f>
        <v>12452</v>
      </c>
      <c r="D3632" s="2" t="str">
        <f t="shared" si="55"/>
        <v>Error?</v>
      </c>
    </row>
    <row r="3633" spans="1:4" x14ac:dyDescent="0.2">
      <c r="A3633" s="5">
        <v>3572</v>
      </c>
      <c r="B3633" s="1824">
        <f>'Expenditures 15-22'!E350</f>
        <v>45452</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45452</v>
      </c>
      <c r="C3635" s="2" t="s">
        <v>569</v>
      </c>
      <c r="D3635" s="2" t="str">
        <f t="shared" si="55"/>
        <v>Error?</v>
      </c>
    </row>
    <row r="3636" spans="1:4" x14ac:dyDescent="0.2">
      <c r="A3636" s="5">
        <v>3575</v>
      </c>
      <c r="B3636" s="1824">
        <f>'Expenditures 15-22'!E367</f>
        <v>45452</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198000</v>
      </c>
      <c r="D3645" s="2" t="str">
        <f t="shared" si="55"/>
        <v>Error?</v>
      </c>
    </row>
    <row r="3646" spans="1:4" x14ac:dyDescent="0.2">
      <c r="A3646" s="5">
        <v>3585</v>
      </c>
      <c r="B3646" s="1824">
        <f>'Expenditures 15-22'!G349</f>
        <v>296104</v>
      </c>
      <c r="D3646" s="2" t="str">
        <f t="shared" si="55"/>
        <v>Error?</v>
      </c>
    </row>
    <row r="3647" spans="1:4" x14ac:dyDescent="0.2">
      <c r="A3647" s="5">
        <v>3586</v>
      </c>
      <c r="B3647" s="1824">
        <f>'Expenditures 15-22'!G350</f>
        <v>494104</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494104</v>
      </c>
      <c r="C3649" s="2" t="s">
        <v>569</v>
      </c>
      <c r="D3649" s="2" t="str">
        <f t="shared" si="56"/>
        <v>Error?</v>
      </c>
    </row>
    <row r="3650" spans="1:4" x14ac:dyDescent="0.2">
      <c r="A3650" s="5">
        <v>3589</v>
      </c>
      <c r="B3650" s="1824">
        <f>'Expenditures 15-22'!G367</f>
        <v>494104</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231000</v>
      </c>
      <c r="C3668" s="2" t="s">
        <v>569</v>
      </c>
      <c r="D3668" s="2" t="str">
        <f t="shared" si="56"/>
        <v>Error?</v>
      </c>
    </row>
    <row r="3669" spans="1:4" x14ac:dyDescent="0.2">
      <c r="A3669" s="5">
        <v>3608</v>
      </c>
      <c r="B3669" s="1824">
        <f>'Expenditures 15-22'!K349</f>
        <v>308556</v>
      </c>
      <c r="C3669" s="2" t="s">
        <v>569</v>
      </c>
      <c r="D3669" s="2" t="str">
        <f t="shared" si="56"/>
        <v>Error?</v>
      </c>
    </row>
    <row r="3670" spans="1:4" x14ac:dyDescent="0.2">
      <c r="A3670" s="5">
        <v>3609</v>
      </c>
      <c r="B3670" s="1824">
        <f>'Expenditures 15-22'!K350</f>
        <v>539556</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539556</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539556</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-489556</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35772</v>
      </c>
      <c r="C3725" s="2" t="s">
        <v>569</v>
      </c>
      <c r="D3725" s="2" t="str">
        <f t="shared" si="57"/>
        <v>Error?</v>
      </c>
    </row>
    <row r="3726" spans="1:4" x14ac:dyDescent="0.2">
      <c r="A3726" s="5">
        <v>3665</v>
      </c>
      <c r="B3726" s="1824">
        <f>'Tax Sched 23'!D13</f>
        <v>35772</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36682</v>
      </c>
      <c r="C3728" s="2" t="s">
        <v>569</v>
      </c>
      <c r="D3728" s="2" t="str">
        <f t="shared" si="57"/>
        <v>Error?</v>
      </c>
    </row>
    <row r="3729" spans="1:4" x14ac:dyDescent="0.2">
      <c r="A3729" s="5">
        <v>3668</v>
      </c>
      <c r="B3729" s="1824">
        <f>'Tax Sched 23'!E13</f>
        <v>36682</v>
      </c>
      <c r="D3729" s="2" t="str">
        <f t="shared" si="57"/>
        <v>Error?</v>
      </c>
    </row>
    <row r="3730" spans="1:4" x14ac:dyDescent="0.2">
      <c r="A3730" s="5">
        <v>3669</v>
      </c>
      <c r="B3730" s="1824">
        <f>'ICR Computation 30'!E10</f>
        <v>789426</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8192926</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26603280</v>
      </c>
      <c r="C4122" s="2" t="s">
        <v>569</v>
      </c>
      <c r="D4122" s="2" t="str">
        <f t="shared" si="63"/>
        <v>Error?</v>
      </c>
    </row>
    <row r="4123" spans="1:4" x14ac:dyDescent="0.2">
      <c r="A4123" s="5">
        <v>4062</v>
      </c>
      <c r="B4123" s="1824">
        <f>'Acct Summary 7-8'!D10</f>
        <v>2130747</v>
      </c>
      <c r="C4123" s="2" t="s">
        <v>569</v>
      </c>
      <c r="D4123" s="2" t="str">
        <f t="shared" si="63"/>
        <v>Error?</v>
      </c>
    </row>
    <row r="4124" spans="1:4" x14ac:dyDescent="0.2">
      <c r="A4124" s="5">
        <v>4063</v>
      </c>
      <c r="B4124" s="1824">
        <f>'Acct Summary 7-8'!E10</f>
        <v>718494</v>
      </c>
      <c r="C4124" s="2" t="s">
        <v>569</v>
      </c>
      <c r="D4124" s="2" t="str">
        <f t="shared" si="63"/>
        <v>Error?</v>
      </c>
    </row>
    <row r="4125" spans="1:4" x14ac:dyDescent="0.2">
      <c r="A4125" s="5">
        <v>4064</v>
      </c>
      <c r="B4125" s="1824">
        <f>'Acct Summary 7-8'!F10</f>
        <v>1779248</v>
      </c>
      <c r="C4125" s="2" t="s">
        <v>569</v>
      </c>
      <c r="D4125" s="2" t="str">
        <f t="shared" si="63"/>
        <v>Error?</v>
      </c>
    </row>
    <row r="4126" spans="1:4" x14ac:dyDescent="0.2">
      <c r="A4126" s="5">
        <v>4065</v>
      </c>
      <c r="B4126" s="1824">
        <f>'Acct Summary 7-8'!G10</f>
        <v>583993</v>
      </c>
      <c r="C4126" s="2" t="s">
        <v>569</v>
      </c>
      <c r="D4126" s="2" t="str">
        <f t="shared" si="63"/>
        <v>Error?</v>
      </c>
    </row>
    <row r="4127" spans="1:4" x14ac:dyDescent="0.2">
      <c r="A4127" s="5">
        <v>4066</v>
      </c>
      <c r="B4127" s="1824">
        <f>'Acct Summary 7-8'!H10</f>
        <v>15521</v>
      </c>
      <c r="C4127" s="2" t="s">
        <v>569</v>
      </c>
      <c r="D4127" s="2" t="str">
        <f t="shared" si="63"/>
        <v>Error?</v>
      </c>
    </row>
    <row r="4128" spans="1:4" x14ac:dyDescent="0.2">
      <c r="A4128" s="5">
        <v>4067</v>
      </c>
      <c r="B4128" s="1824">
        <f>'Acct Summary 7-8'!I10</f>
        <v>69739</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50000</v>
      </c>
      <c r="C4130" s="2" t="s">
        <v>569</v>
      </c>
      <c r="D4130" s="2" t="str">
        <f t="shared" si="63"/>
        <v>Error?</v>
      </c>
    </row>
    <row r="4131" spans="1:4" x14ac:dyDescent="0.2">
      <c r="A4131" s="5">
        <v>4070</v>
      </c>
      <c r="B4131" s="1824">
        <f>'Acct Summary 7-8'!C18</f>
        <v>8192926</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25006546</v>
      </c>
      <c r="C4136" s="2" t="s">
        <v>569</v>
      </c>
      <c r="D4136" s="2" t="str">
        <f t="shared" si="63"/>
        <v>Error?</v>
      </c>
    </row>
    <row r="4137" spans="1:4" x14ac:dyDescent="0.2">
      <c r="A4137" s="5">
        <v>4076</v>
      </c>
      <c r="B4137" s="1824">
        <f>'Acct Summary 7-8'!D19</f>
        <v>1928677</v>
      </c>
      <c r="C4137" s="2" t="s">
        <v>569</v>
      </c>
      <c r="D4137" s="2" t="str">
        <f t="shared" si="63"/>
        <v>Error?</v>
      </c>
    </row>
    <row r="4138" spans="1:4" x14ac:dyDescent="0.2">
      <c r="A4138" s="5">
        <v>4077</v>
      </c>
      <c r="B4138" s="1824">
        <f>'Acct Summary 7-8'!E19</f>
        <v>749684</v>
      </c>
      <c r="C4138" s="2" t="s">
        <v>569</v>
      </c>
      <c r="D4138" s="2" t="str">
        <f t="shared" si="63"/>
        <v>Error?</v>
      </c>
    </row>
    <row r="4139" spans="1:4" x14ac:dyDescent="0.2">
      <c r="A4139" s="5">
        <v>4078</v>
      </c>
      <c r="B4139" s="1824">
        <f>'Acct Summary 7-8'!F19</f>
        <v>1709110</v>
      </c>
      <c r="C4139" s="2" t="s">
        <v>569</v>
      </c>
      <c r="D4139" s="2" t="str">
        <f t="shared" si="63"/>
        <v>Error?</v>
      </c>
    </row>
    <row r="4140" spans="1:4" x14ac:dyDescent="0.2">
      <c r="A4140" s="5">
        <v>4079</v>
      </c>
      <c r="B4140" s="1824">
        <f>'Acct Summary 7-8'!G19</f>
        <v>588293</v>
      </c>
      <c r="C4140" s="2" t="s">
        <v>569</v>
      </c>
      <c r="D4140" s="2" t="str">
        <f t="shared" si="63"/>
        <v>Error?</v>
      </c>
    </row>
    <row r="4141" spans="1:4" x14ac:dyDescent="0.2">
      <c r="A4141" s="5">
        <v>4080</v>
      </c>
      <c r="B4141" s="1824">
        <f>'Acct Summary 7-8'!H19</f>
        <v>0</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539556</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2889500</v>
      </c>
      <c r="C4171" s="2" t="s">
        <v>569</v>
      </c>
      <c r="D4171" s="2" t="str">
        <f t="shared" si="64"/>
        <v>Error?</v>
      </c>
    </row>
    <row r="4172" spans="1:4" x14ac:dyDescent="0.2">
      <c r="A4172" s="5">
        <v>4111</v>
      </c>
      <c r="B4172" s="1824">
        <f>'Short-Term Long-Term Debt 24'!J49</f>
        <v>2355952</v>
      </c>
      <c r="C4172" s="2" t="s">
        <v>569</v>
      </c>
      <c r="D4172" s="2" t="str">
        <f t="shared" si="64"/>
        <v>Error?</v>
      </c>
    </row>
    <row r="4173" spans="1:4" x14ac:dyDescent="0.2">
      <c r="A4173" s="5">
        <v>4112</v>
      </c>
      <c r="B4173" s="1824">
        <f>'Short-Term Long-Term Debt 24'!H49</f>
        <v>654600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2911.27</v>
      </c>
      <c r="C4265" s="2" t="s">
        <v>569</v>
      </c>
      <c r="D4265" s="2" t="str">
        <f t="shared" si="65"/>
        <v>Error?</v>
      </c>
      <c r="E4265" s="125"/>
    </row>
    <row r="4266" spans="1:5" x14ac:dyDescent="0.2">
      <c r="A4266" s="12">
        <v>4205</v>
      </c>
      <c r="B4266" s="1824">
        <f>('FP Info 3'!F10)*100000</f>
        <v>553.95000000000005</v>
      </c>
      <c r="C4266" s="2" t="s">
        <v>569</v>
      </c>
      <c r="D4266" s="2" t="str">
        <f t="shared" si="65"/>
        <v>Error?</v>
      </c>
      <c r="E4266" s="125"/>
    </row>
    <row r="4267" spans="1:5" x14ac:dyDescent="0.2">
      <c r="A4267" s="12">
        <v>4206</v>
      </c>
      <c r="B4267" s="1824">
        <f>('FP Info 3'!H10)*100000</f>
        <v>198.70999999999998</v>
      </c>
      <c r="C4267" s="2" t="s">
        <v>569</v>
      </c>
      <c r="D4267" s="2" t="str">
        <f t="shared" si="65"/>
        <v>Error?</v>
      </c>
      <c r="E4267" s="125"/>
    </row>
    <row r="4268" spans="1:5" x14ac:dyDescent="0.2">
      <c r="A4268" s="12">
        <v>4207</v>
      </c>
      <c r="B4268" s="1824">
        <f>('FP Info 3'!J10)*100000</f>
        <v>3664</v>
      </c>
      <c r="C4268" s="2" t="s">
        <v>569</v>
      </c>
      <c r="D4268" s="2" t="str">
        <f t="shared" si="65"/>
        <v>Error?</v>
      </c>
    </row>
    <row r="4269" spans="1:5" x14ac:dyDescent="0.2">
      <c r="A4269" s="12">
        <v>4208</v>
      </c>
      <c r="B4269" s="1824">
        <f>'FP Info 3'!J16</f>
        <v>8215051</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0</v>
      </c>
      <c r="D4329" s="2" t="str">
        <f t="shared" si="66"/>
        <v>Error?</v>
      </c>
    </row>
    <row r="4330" spans="1:4" x14ac:dyDescent="0.2">
      <c r="A4330" s="5">
        <v>4269</v>
      </c>
      <c r="B4330" s="1824">
        <f>'Revenues 9-14'!K167</f>
        <v>50000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29831</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179245</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37775</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37775</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112036</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49.680000000000007</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33728</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138895004</v>
      </c>
      <c r="D4995" s="2" t="str">
        <f t="shared" si="77"/>
        <v>Error?</v>
      </c>
    </row>
    <row r="4996" spans="1:4" x14ac:dyDescent="0.2">
      <c r="A4996" s="12">
        <v>4935</v>
      </c>
      <c r="B4996" s="1824">
        <f>'FP Info 3'!H31</f>
        <v>19167510.552000001</v>
      </c>
      <c r="D4996" s="2" t="str">
        <f t="shared" si="77"/>
        <v>Error?</v>
      </c>
    </row>
    <row r="4997" spans="1:4" x14ac:dyDescent="0.2">
      <c r="A4997" s="12">
        <v>4936</v>
      </c>
      <c r="B4997" s="1824">
        <f>'FP Info 3'!H37</f>
        <v>2889500</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50000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3943985</v>
      </c>
      <c r="D5061" s="2" t="str">
        <f t="shared" si="78"/>
        <v>Error?</v>
      </c>
    </row>
    <row r="5062" spans="1:4" x14ac:dyDescent="0.2">
      <c r="A5062" s="10">
        <v>5001</v>
      </c>
      <c r="B5062" s="1824"/>
      <c r="D5062" s="2" t="str">
        <f t="shared" si="78"/>
        <v>OK</v>
      </c>
    </row>
    <row r="5063" spans="1:4" x14ac:dyDescent="0.2">
      <c r="A5063" s="5">
        <v>5002</v>
      </c>
      <c r="B5063" s="1824">
        <f>'Revenues 9-14'!C7</f>
        <v>0</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3943985</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631486</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631486</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0</v>
      </c>
      <c r="C5087" s="2" t="s">
        <v>569</v>
      </c>
      <c r="D5087" s="2" t="str">
        <f t="shared" si="78"/>
        <v>Error?</v>
      </c>
    </row>
    <row r="5088" spans="1:4" x14ac:dyDescent="0.2">
      <c r="A5088" s="5">
        <v>5027</v>
      </c>
      <c r="B5088" s="1824">
        <f>'Revenues 9-14'!C65</f>
        <v>118843</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118843</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124812</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12072</v>
      </c>
      <c r="D5094" s="2" t="str">
        <f t="shared" si="78"/>
        <v>Error?</v>
      </c>
    </row>
    <row r="5095" spans="1:4" x14ac:dyDescent="0.2">
      <c r="A5095" s="5">
        <v>5034</v>
      </c>
      <c r="B5095" s="1824">
        <f>'Revenues 9-14'!C74</f>
        <v>2956</v>
      </c>
      <c r="D5095" s="2" t="str">
        <f t="shared" si="78"/>
        <v>Error?</v>
      </c>
    </row>
    <row r="5096" spans="1:4" x14ac:dyDescent="0.2">
      <c r="A5096" s="5">
        <v>5035</v>
      </c>
      <c r="B5096" s="1824">
        <f>'Revenues 9-14'!C75</f>
        <v>180557</v>
      </c>
      <c r="C5096" s="2" t="s">
        <v>569</v>
      </c>
      <c r="D5096" s="2" t="str">
        <f t="shared" si="78"/>
        <v>Error?</v>
      </c>
    </row>
    <row r="5097" spans="1:4" x14ac:dyDescent="0.2">
      <c r="A5097" s="5">
        <v>5036</v>
      </c>
      <c r="B5097" s="1824">
        <f>'Revenues 9-14'!C77</f>
        <v>48437</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48437</v>
      </c>
      <c r="C5102" s="2" t="s">
        <v>569</v>
      </c>
      <c r="D5102" s="2" t="str">
        <f t="shared" si="78"/>
        <v>Error?</v>
      </c>
    </row>
    <row r="5103" spans="1:4" x14ac:dyDescent="0.2">
      <c r="A5103" s="5">
        <v>5042</v>
      </c>
      <c r="B5103" s="1824">
        <f>'Revenues 9-14'!C84</f>
        <v>19484</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19484</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14302</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125782</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28578</v>
      </c>
      <c r="D5119" s="2" t="str">
        <f t="shared" ref="D5119:D5182" si="79">IF(ISBLANK(B5119),"OK",IF(A5119-B5119=0,"OK","Error?"))</f>
        <v>Error?</v>
      </c>
    </row>
    <row r="5120" spans="1:4" x14ac:dyDescent="0.2">
      <c r="A5120" s="5">
        <v>5059</v>
      </c>
      <c r="B5120" s="1824">
        <f>'Revenues 9-14'!C108</f>
        <v>168662</v>
      </c>
      <c r="C5120" s="2" t="s">
        <v>569</v>
      </c>
      <c r="D5120" s="2" t="str">
        <f t="shared" si="79"/>
        <v>Error?</v>
      </c>
    </row>
    <row r="5121" spans="1:4" x14ac:dyDescent="0.2">
      <c r="A5121" s="5">
        <v>5060</v>
      </c>
      <c r="B5121" s="1824">
        <f>'Revenues 9-14'!C109</f>
        <v>5111454</v>
      </c>
      <c r="C5121" s="2" t="s">
        <v>569</v>
      </c>
      <c r="D5121" s="2" t="str">
        <f t="shared" si="79"/>
        <v>Error?</v>
      </c>
    </row>
    <row r="5122" spans="1:4" x14ac:dyDescent="0.2">
      <c r="A5122" s="5">
        <v>5061</v>
      </c>
      <c r="B5122" s="1824">
        <f>'Revenues 9-14'!C111</f>
        <v>1581</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1581</v>
      </c>
      <c r="C5125" s="2" t="s">
        <v>569</v>
      </c>
      <c r="D5125" s="2" t="str">
        <f t="shared" si="79"/>
        <v>Error?</v>
      </c>
    </row>
    <row r="5126" spans="1:4" x14ac:dyDescent="0.2">
      <c r="A5126" s="5">
        <v>5065</v>
      </c>
      <c r="B5126" s="1824">
        <f>'Revenues 9-14'!C117</f>
        <v>9852332</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9852332</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39215</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39215</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6016</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10059</v>
      </c>
      <c r="D5167" s="2" t="str">
        <f t="shared" si="79"/>
        <v>Error?</v>
      </c>
    </row>
    <row r="5168" spans="1:4" x14ac:dyDescent="0.2">
      <c r="A5168" s="5">
        <v>5107</v>
      </c>
      <c r="B5168" s="1824">
        <f>'Revenues 9-14'!C148</f>
        <v>19061</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397287</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505366</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10357698</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498282</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187877</v>
      </c>
      <c r="D5241" s="2" t="str">
        <f t="shared" si="80"/>
        <v>Error?</v>
      </c>
    </row>
    <row r="5242" spans="1:4" x14ac:dyDescent="0.2">
      <c r="A5242" s="5">
        <v>5181</v>
      </c>
      <c r="B5242" s="1824">
        <f>'Revenues 9-14'!C194</f>
        <v>394751</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1080910</v>
      </c>
      <c r="C5246" s="2" t="s">
        <v>569</v>
      </c>
      <c r="D5246" s="2" t="str">
        <f t="shared" si="80"/>
        <v>Error?</v>
      </c>
    </row>
    <row r="5247" spans="1:4" x14ac:dyDescent="0.2">
      <c r="A5247" s="5">
        <v>5186</v>
      </c>
      <c r="B5247" s="1824">
        <f>'Revenues 9-14'!C200</f>
        <v>946445</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946445</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14262</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527717</v>
      </c>
      <c r="D5278" s="2" t="str">
        <f t="shared" si="81"/>
        <v>Error?</v>
      </c>
    </row>
    <row r="5279" spans="1:4" x14ac:dyDescent="0.2">
      <c r="A5279" s="5">
        <v>5218</v>
      </c>
      <c r="B5279" s="1824">
        <f>'Revenues 9-14'!C214</f>
        <v>11400</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553379</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2939621</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2939621</v>
      </c>
      <c r="C5326" s="2" t="s">
        <v>569</v>
      </c>
      <c r="D5326" s="2" t="str">
        <f t="shared" si="82"/>
        <v>Error?</v>
      </c>
    </row>
    <row r="5327" spans="1:5" x14ac:dyDescent="0.2">
      <c r="A5327" s="5">
        <v>5266</v>
      </c>
      <c r="B5327" s="1824">
        <f>'Revenues 9-14'!C268</f>
        <v>18410354</v>
      </c>
      <c r="C5327" s="2" t="s">
        <v>569</v>
      </c>
      <c r="D5327" s="2" t="str">
        <f t="shared" si="82"/>
        <v>Error?</v>
      </c>
    </row>
    <row r="5328" spans="1:5" x14ac:dyDescent="0.2">
      <c r="A5328" s="5">
        <v>5267</v>
      </c>
      <c r="B5328" s="1824">
        <f>'Revenues 9-14'!D5</f>
        <v>750446</v>
      </c>
      <c r="D5328" s="2" t="str">
        <f t="shared" si="82"/>
        <v>Error?</v>
      </c>
    </row>
    <row r="5329" spans="1:4" x14ac:dyDescent="0.2">
      <c r="A5329" s="10">
        <v>5268</v>
      </c>
      <c r="B5329" s="1824"/>
      <c r="D5329" s="2" t="str">
        <f t="shared" si="82"/>
        <v>OK</v>
      </c>
    </row>
    <row r="5330" spans="1:4" x14ac:dyDescent="0.2">
      <c r="A5330" s="5">
        <v>5269</v>
      </c>
      <c r="B5330" s="1824">
        <f>'Revenues 9-14'!D6</f>
        <v>35772</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786218</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194562</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194562</v>
      </c>
      <c r="C5339" s="2" t="s">
        <v>569</v>
      </c>
      <c r="D5339" s="2" t="str">
        <f t="shared" si="82"/>
        <v>Error?</v>
      </c>
    </row>
    <row r="5340" spans="1:4" x14ac:dyDescent="0.2">
      <c r="A5340" s="5">
        <v>5279</v>
      </c>
      <c r="B5340" s="1824">
        <f>'Revenues 9-14'!D65</f>
        <v>1487</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1487</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2923</v>
      </c>
      <c r="D5354" s="2" t="str">
        <f t="shared" si="82"/>
        <v>Error?</v>
      </c>
    </row>
    <row r="5355" spans="1:4" x14ac:dyDescent="0.2">
      <c r="A5355" s="5">
        <v>5294</v>
      </c>
      <c r="B5355" s="1824">
        <f>'Revenues 9-14'!D108</f>
        <v>2923</v>
      </c>
      <c r="C5355" s="2" t="s">
        <v>569</v>
      </c>
      <c r="D5355" s="2" t="str">
        <f t="shared" si="82"/>
        <v>Error?</v>
      </c>
    </row>
    <row r="5356" spans="1:4" x14ac:dyDescent="0.2">
      <c r="A5356" s="5">
        <v>5295</v>
      </c>
      <c r="B5356" s="1824">
        <f>'Revenues 9-14'!D109</f>
        <v>985190</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1145557</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1145557</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1145557</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2130747</v>
      </c>
      <c r="C5508" s="2" t="s">
        <v>569</v>
      </c>
      <c r="D5508" s="2" t="str">
        <f t="shared" si="85"/>
        <v>Error?</v>
      </c>
    </row>
    <row r="5509" spans="1:4" x14ac:dyDescent="0.2">
      <c r="A5509" s="5">
        <v>5448</v>
      </c>
      <c r="B5509" s="1824">
        <f>'Revenues 9-14'!E5</f>
        <v>716343</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716343</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2151</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2151</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718494</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718494</v>
      </c>
      <c r="C5552" s="2" t="s">
        <v>569</v>
      </c>
      <c r="D5552" s="2" t="str">
        <f t="shared" si="85"/>
        <v>Error?</v>
      </c>
    </row>
    <row r="5553" spans="1:4" x14ac:dyDescent="0.2">
      <c r="A5553" s="5">
        <v>5492</v>
      </c>
      <c r="B5553" s="1824">
        <f>'Revenues 9-14'!F5</f>
        <v>278996</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278996</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323</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323</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279319</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585017</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585017</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0</v>
      </c>
      <c r="D5615" s="2" t="str">
        <f t="shared" si="86"/>
        <v>Error?</v>
      </c>
    </row>
    <row r="5616" spans="1:4" x14ac:dyDescent="0.2">
      <c r="A5616" s="10">
        <v>5555</v>
      </c>
      <c r="B5616" s="1824"/>
      <c r="D5616" s="2" t="str">
        <f t="shared" si="86"/>
        <v>OK</v>
      </c>
    </row>
    <row r="5617" spans="1:5" x14ac:dyDescent="0.2">
      <c r="A5617" s="5">
        <v>5556</v>
      </c>
      <c r="B5617" s="1824">
        <f>'Revenues 9-14'!F153</f>
        <v>914912</v>
      </c>
      <c r="D5617" s="2" t="str">
        <f t="shared" si="86"/>
        <v>Error?</v>
      </c>
    </row>
    <row r="5618" spans="1:5" x14ac:dyDescent="0.2">
      <c r="A5618" s="5">
        <v>5557</v>
      </c>
      <c r="B5618" s="1824">
        <f>'Revenues 9-14'!F155</f>
        <v>914912</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914912</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1499929</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1779248</v>
      </c>
      <c r="C5720" s="2" t="s">
        <v>569</v>
      </c>
      <c r="D5720" s="2" t="str">
        <f t="shared" si="88"/>
        <v>Error?</v>
      </c>
    </row>
    <row r="5721" spans="1:4" x14ac:dyDescent="0.2">
      <c r="A5721" s="5">
        <v>5660</v>
      </c>
      <c r="B5721" s="1824">
        <f>'Revenues 9-14'!G5</f>
        <v>234512</v>
      </c>
      <c r="D5721" s="2" t="str">
        <f t="shared" si="88"/>
        <v>Error?</v>
      </c>
    </row>
    <row r="5722" spans="1:4" x14ac:dyDescent="0.2">
      <c r="A5722" s="5">
        <v>5661</v>
      </c>
      <c r="B5722" s="1824">
        <f>'Revenues 9-14'!G7</f>
        <v>0</v>
      </c>
      <c r="D5722" s="2" t="str">
        <f t="shared" si="88"/>
        <v>Error?</v>
      </c>
    </row>
    <row r="5723" spans="1:4" x14ac:dyDescent="0.2">
      <c r="A5723" s="5">
        <v>5662</v>
      </c>
      <c r="B5723" s="1824">
        <f>'Revenues 9-14'!G8</f>
        <v>234512</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469024</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114969</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114969</v>
      </c>
      <c r="C5730" s="2" t="s">
        <v>569</v>
      </c>
      <c r="D5730" s="2" t="str">
        <f t="shared" si="88"/>
        <v>Error?</v>
      </c>
    </row>
    <row r="5731" spans="1:4" x14ac:dyDescent="0.2">
      <c r="A5731" s="5">
        <v>5670</v>
      </c>
      <c r="B5731" s="1824">
        <f>'Revenues 9-14'!G65</f>
        <v>0</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0</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583993</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521</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521</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15000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15000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15521</v>
      </c>
      <c r="C5915" s="2" t="s">
        <v>569</v>
      </c>
      <c r="D5915" s="2" t="str">
        <f t="shared" si="91"/>
        <v>Error?</v>
      </c>
    </row>
    <row r="5916" spans="1:4" x14ac:dyDescent="0.2">
      <c r="A5916" s="5">
        <v>5855</v>
      </c>
      <c r="B5916" s="1824">
        <f>'Revenues 9-14'!I5</f>
        <v>69609</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69609</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130</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130</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69739</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0</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0</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50000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50000</v>
      </c>
      <c r="C6023" s="2" t="s">
        <v>569</v>
      </c>
      <c r="D6023" s="2" t="str">
        <f t="shared" si="93"/>
        <v>Error?</v>
      </c>
    </row>
    <row r="6024" spans="1:5" x14ac:dyDescent="0.2">
      <c r="A6024" s="5">
        <v>5963</v>
      </c>
      <c r="B6024" s="1824">
        <f>'Revenues 9-14'!G109</f>
        <v>583993</v>
      </c>
      <c r="C6024" s="2" t="s">
        <v>569</v>
      </c>
      <c r="D6024" s="2" t="str">
        <f t="shared" si="93"/>
        <v>Error?</v>
      </c>
    </row>
    <row r="6025" spans="1:5" x14ac:dyDescent="0.2">
      <c r="A6025" s="5">
        <v>5964</v>
      </c>
      <c r="B6025" s="1824">
        <f>'Revenues 9-14'!H109</f>
        <v>521</v>
      </c>
      <c r="C6025" s="2" t="s">
        <v>569</v>
      </c>
      <c r="D6025" s="2" t="str">
        <f t="shared" si="93"/>
        <v>Error?</v>
      </c>
    </row>
    <row r="6026" spans="1:5" x14ac:dyDescent="0.2">
      <c r="A6026" s="5">
        <v>5965</v>
      </c>
      <c r="B6026" s="1824">
        <f>'Revenues 9-14'!I109</f>
        <v>69739</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0</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40717</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92447</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1405.4</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431274</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431274</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431274</v>
      </c>
      <c r="D6216" s="2" t="str">
        <f t="shared" si="96"/>
        <v>Error?</v>
      </c>
      <c r="E6216" s="2" t="s">
        <v>189</v>
      </c>
    </row>
    <row r="6217" spans="1:5" x14ac:dyDescent="0.2">
      <c r="A6217">
        <v>6156</v>
      </c>
      <c r="B6217" s="1824">
        <f>'Assets-Liab 5-6'!J4</f>
        <v>431274</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490989</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490989</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490989</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321798</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321798</v>
      </c>
      <c r="D6229" s="2" t="str">
        <f t="shared" si="96"/>
        <v>Error?</v>
      </c>
      <c r="E6229" s="2" t="s">
        <v>189</v>
      </c>
    </row>
    <row r="6230" spans="1:5" x14ac:dyDescent="0.2">
      <c r="A6230">
        <v>6169</v>
      </c>
      <c r="B6230" s="1824">
        <f>'Acct Summary 7-8'!J20</f>
        <v>169191</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169191</v>
      </c>
      <c r="D6263" s="2" t="str">
        <f t="shared" si="96"/>
        <v>Error?</v>
      </c>
      <c r="E6263" s="2" t="s">
        <v>189</v>
      </c>
    </row>
    <row r="6264" spans="1:5" x14ac:dyDescent="0.2">
      <c r="A6264">
        <v>6203</v>
      </c>
      <c r="B6264" s="1824">
        <f>'Acct Summary 7-8'!J79</f>
        <v>262083</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431274</v>
      </c>
      <c r="D6266" s="2" t="str">
        <f t="shared" si="96"/>
        <v>Error?</v>
      </c>
      <c r="E6266" s="2" t="s">
        <v>189</v>
      </c>
    </row>
    <row r="6267" spans="1:5" x14ac:dyDescent="0.2">
      <c r="A6267">
        <v>6206</v>
      </c>
      <c r="B6267" s="1824">
        <f>'Acct Summary 7-8'!C82</f>
        <v>1596734</v>
      </c>
      <c r="D6267" s="2" t="str">
        <f t="shared" si="96"/>
        <v>Error?</v>
      </c>
      <c r="E6267" s="2" t="s">
        <v>189</v>
      </c>
    </row>
    <row r="6268" spans="1:5" x14ac:dyDescent="0.2">
      <c r="A6268">
        <v>6207</v>
      </c>
      <c r="B6268" s="1824">
        <f>'Acct Summary 7-8'!D82</f>
        <v>202070</v>
      </c>
      <c r="D6268" s="2" t="str">
        <f t="shared" si="96"/>
        <v>Error?</v>
      </c>
      <c r="E6268" s="2" t="s">
        <v>189</v>
      </c>
    </row>
    <row r="6269" spans="1:5" x14ac:dyDescent="0.2">
      <c r="A6269">
        <v>6208</v>
      </c>
      <c r="B6269" s="1824">
        <f>'Acct Summary 7-8'!E82</f>
        <v>-16190</v>
      </c>
      <c r="D6269" s="2" t="str">
        <f t="shared" si="96"/>
        <v>Error?</v>
      </c>
      <c r="E6269" s="2" t="s">
        <v>189</v>
      </c>
    </row>
    <row r="6270" spans="1:5" x14ac:dyDescent="0.2">
      <c r="A6270">
        <v>6209</v>
      </c>
      <c r="B6270" s="1824">
        <f>'Acct Summary 7-8'!F82</f>
        <v>70138</v>
      </c>
      <c r="D6270" s="2" t="str">
        <f t="shared" si="96"/>
        <v>Error?</v>
      </c>
      <c r="E6270" s="2" t="s">
        <v>189</v>
      </c>
    </row>
    <row r="6271" spans="1:5" x14ac:dyDescent="0.2">
      <c r="A6271">
        <v>6210</v>
      </c>
      <c r="B6271" s="1824">
        <f>'Acct Summary 7-8'!G82</f>
        <v>-4300</v>
      </c>
      <c r="D6271" s="2" t="str">
        <f t="shared" ref="D6271:D6334" si="97">IF(ISBLANK(B6271),"OK",IF(A6271-B6271=0,"OK","Error?"))</f>
        <v>Error?</v>
      </c>
      <c r="E6271" s="2" t="s">
        <v>189</v>
      </c>
    </row>
    <row r="6272" spans="1:5" x14ac:dyDescent="0.2">
      <c r="A6272">
        <v>6211</v>
      </c>
      <c r="B6272" s="1824">
        <f>'Acct Summary 7-8'!H82</f>
        <v>15521</v>
      </c>
      <c r="D6272" s="2" t="str">
        <f t="shared" si="97"/>
        <v>Error?</v>
      </c>
      <c r="E6272" s="2" t="s">
        <v>189</v>
      </c>
    </row>
    <row r="6273" spans="1:5" x14ac:dyDescent="0.2">
      <c r="A6273">
        <v>6212</v>
      </c>
      <c r="B6273" s="1824">
        <f>'Acct Summary 7-8'!I82</f>
        <v>69739</v>
      </c>
      <c r="D6273" s="2" t="str">
        <f t="shared" si="97"/>
        <v>Error?</v>
      </c>
      <c r="E6273" s="2" t="s">
        <v>189</v>
      </c>
    </row>
    <row r="6274" spans="1:5" x14ac:dyDescent="0.2">
      <c r="A6274">
        <v>6213</v>
      </c>
      <c r="B6274" s="1824">
        <f>'Acct Summary 7-8'!J82</f>
        <v>169191</v>
      </c>
      <c r="D6274" s="2" t="str">
        <f t="shared" si="97"/>
        <v>Error?</v>
      </c>
      <c r="E6274" s="2" t="s">
        <v>189</v>
      </c>
    </row>
    <row r="6275" spans="1:5" x14ac:dyDescent="0.2">
      <c r="A6275">
        <v>6214</v>
      </c>
      <c r="B6275" s="1824">
        <f>'Acct Summary 7-8'!K82</f>
        <v>270444</v>
      </c>
      <c r="D6275" s="2" t="str">
        <f t="shared" si="97"/>
        <v>Error?</v>
      </c>
      <c r="E6275" s="2" t="s">
        <v>189</v>
      </c>
    </row>
    <row r="6276" spans="1:5" x14ac:dyDescent="0.2">
      <c r="A6276">
        <v>6215</v>
      </c>
      <c r="B6276" s="1824">
        <f>'Acct Summary 7-8'!C83</f>
        <v>0.21327855466817905</v>
      </c>
      <c r="D6276" s="2" t="str">
        <f t="shared" si="97"/>
        <v>Error?</v>
      </c>
      <c r="E6276" s="2" t="s">
        <v>189</v>
      </c>
    </row>
    <row r="6277" spans="1:5" x14ac:dyDescent="0.2">
      <c r="A6277">
        <v>6216</v>
      </c>
      <c r="B6277" s="1824">
        <f>'Acct Summary 7-8'!D83</f>
        <v>0.56684647989654424</v>
      </c>
      <c r="D6277" s="2" t="str">
        <f t="shared" si="97"/>
        <v>Error?</v>
      </c>
      <c r="E6277" s="2" t="s">
        <v>189</v>
      </c>
    </row>
    <row r="6278" spans="1:5" x14ac:dyDescent="0.2">
      <c r="A6278">
        <v>6217</v>
      </c>
      <c r="B6278" s="1824">
        <f>'Acct Summary 7-8'!E83</f>
        <v>-3.0344036525298566E-2</v>
      </c>
      <c r="D6278" s="2" t="str">
        <f t="shared" si="97"/>
        <v>Error?</v>
      </c>
      <c r="E6278" s="2" t="s">
        <v>189</v>
      </c>
    </row>
    <row r="6279" spans="1:5" x14ac:dyDescent="0.2">
      <c r="A6279">
        <v>6218</v>
      </c>
      <c r="B6279" s="1824">
        <f>'Acct Summary 7-8'!F83</f>
        <v>0.50246799487058247</v>
      </c>
      <c r="D6279" s="2" t="str">
        <f t="shared" si="97"/>
        <v>Error?</v>
      </c>
      <c r="E6279" s="2" t="s">
        <v>189</v>
      </c>
    </row>
    <row r="6280" spans="1:5" x14ac:dyDescent="0.2">
      <c r="A6280">
        <v>6219</v>
      </c>
      <c r="B6280" s="1824">
        <f>'Acct Summary 7-8'!G83</f>
        <v>-7.2248143810770349E-3</v>
      </c>
      <c r="D6280" s="2" t="str">
        <f t="shared" si="97"/>
        <v>Error?</v>
      </c>
      <c r="E6280" s="2" t="s">
        <v>189</v>
      </c>
    </row>
    <row r="6281" spans="1:5" x14ac:dyDescent="0.2">
      <c r="A6281">
        <v>6220</v>
      </c>
      <c r="B6281" s="1824">
        <f>'Acct Summary 7-8'!H83</f>
        <v>0.13399810066476733</v>
      </c>
      <c r="D6281" s="2" t="str">
        <f t="shared" si="97"/>
        <v>Error?</v>
      </c>
      <c r="E6281" s="2" t="s">
        <v>189</v>
      </c>
    </row>
    <row r="6282" spans="1:5" x14ac:dyDescent="0.2">
      <c r="A6282">
        <v>6221</v>
      </c>
      <c r="B6282" s="1824">
        <f>'Acct Summary 7-8'!I83</f>
        <v>0.30012049748246333</v>
      </c>
      <c r="D6282" s="2" t="str">
        <f t="shared" si="97"/>
        <v>Error?</v>
      </c>
      <c r="E6282" s="2" t="s">
        <v>189</v>
      </c>
    </row>
    <row r="6283" spans="1:5" x14ac:dyDescent="0.2">
      <c r="A6283">
        <v>6222</v>
      </c>
      <c r="B6283" s="1824">
        <f>'Acct Summary 7-8'!J83</f>
        <v>0.39230512388875749</v>
      </c>
      <c r="D6283" s="2" t="str">
        <f t="shared" si="97"/>
        <v>Error?</v>
      </c>
      <c r="E6283" s="2" t="s">
        <v>189</v>
      </c>
    </row>
    <row r="6284" spans="1:5" x14ac:dyDescent="0.2">
      <c r="A6284">
        <v>6223</v>
      </c>
      <c r="B6284" s="1824">
        <f>'Acct Summary 7-8'!K83</f>
        <v>1</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490543</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490543</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446</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446</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490989</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6016</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207699</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310721</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494</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494</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45120</v>
      </c>
      <c r="D6983" s="2" t="str">
        <f t="shared" si="108"/>
        <v>Error?</v>
      </c>
    </row>
    <row r="6984" spans="1:4" x14ac:dyDescent="0.2">
      <c r="A6984">
        <v>6923</v>
      </c>
      <c r="B6984" s="1824">
        <f>'Expenditures 15-22'!K86</f>
        <v>45120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45120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321798</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490989</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10654</v>
      </c>
      <c r="D7073" s="2" t="str">
        <f t="shared" si="109"/>
        <v>Error?</v>
      </c>
    </row>
    <row r="7074" spans="1:4" x14ac:dyDescent="0.2">
      <c r="A7074">
        <v>7013</v>
      </c>
      <c r="B7074" s="1824">
        <f>'Expenditures 15-22'!K216</f>
        <v>10654</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143247</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143247</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157444</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157444</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21107</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21107</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321798</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321798</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321798</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321798</v>
      </c>
      <c r="D7224" s="2" t="str">
        <f t="shared" si="111"/>
        <v>Error?</v>
      </c>
    </row>
    <row r="7225" spans="1:4" x14ac:dyDescent="0.2">
      <c r="A7225">
        <v>7164</v>
      </c>
      <c r="B7225" s="1824">
        <f>'Expenditures 15-22'!K343</f>
        <v>169191</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56646</v>
      </c>
      <c r="D7246" s="2" t="str">
        <f t="shared" si="112"/>
        <v>Error?</v>
      </c>
    </row>
    <row r="7247" spans="1:4" x14ac:dyDescent="0.2">
      <c r="A7247">
        <f t="shared" si="113"/>
        <v>7186</v>
      </c>
      <c r="B7247" s="1824">
        <f>'Expenditures 15-22'!E7</f>
        <v>1392</v>
      </c>
      <c r="D7247" s="2" t="str">
        <f t="shared" si="112"/>
        <v>Error?</v>
      </c>
    </row>
    <row r="7248" spans="1:4" x14ac:dyDescent="0.2">
      <c r="A7248">
        <f t="shared" si="113"/>
        <v>7187</v>
      </c>
      <c r="B7248" s="1824">
        <f>'Expenditures 15-22'!F7</f>
        <v>40112</v>
      </c>
      <c r="D7248" s="2" t="str">
        <f t="shared" si="112"/>
        <v>Error?</v>
      </c>
    </row>
    <row r="7249" spans="1:4" x14ac:dyDescent="0.2">
      <c r="A7249">
        <f t="shared" si="113"/>
        <v>7188</v>
      </c>
      <c r="B7249" s="1824">
        <f>'Expenditures 15-22'!G7</f>
        <v>4872</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56923</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56923</v>
      </c>
      <c r="D7618" s="2" t="str">
        <f t="shared" si="124"/>
        <v>Error?</v>
      </c>
      <c r="E7618" s="2" t="s">
        <v>19</v>
      </c>
    </row>
    <row r="7619" spans="1:5" x14ac:dyDescent="0.2">
      <c r="A7619">
        <f t="shared" si="123"/>
        <v>7558</v>
      </c>
      <c r="B7619" s="1824">
        <f>'Cap Outlay Deprec 26'!H14</f>
        <v>56923</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56923</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939206</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19061</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19061</v>
      </c>
      <c r="D7719" s="2" t="str">
        <f t="shared" si="126"/>
        <v>Error?</v>
      </c>
      <c r="E7719" s="2" t="s">
        <v>822</v>
      </c>
    </row>
    <row r="7720" spans="1:6" x14ac:dyDescent="0.2">
      <c r="A7720">
        <v>7659</v>
      </c>
      <c r="B7720" s="1824">
        <f>'Rest Tax Levies-Tort Im 25'!H14</f>
        <v>0</v>
      </c>
      <c r="D7720" s="2" t="str">
        <f t="shared" si="126"/>
        <v>Error?</v>
      </c>
      <c r="E7720" s="2" t="s">
        <v>822</v>
      </c>
    </row>
    <row r="7721" spans="1:6" x14ac:dyDescent="0.2">
      <c r="A7721">
        <v>7660</v>
      </c>
      <c r="B7721" s="1824">
        <f>'Rest Tax Levies-Tort Im 25'!K14</f>
        <v>19061</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19061</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4953100</v>
      </c>
      <c r="D7817" s="2" t="str">
        <f t="shared" si="128"/>
        <v>Error?</v>
      </c>
      <c r="E7817" s="4" t="s">
        <v>1966</v>
      </c>
    </row>
    <row r="7818" spans="1:5" x14ac:dyDescent="0.2">
      <c r="A7818">
        <v>7757</v>
      </c>
      <c r="B7818" s="1824">
        <f>'PCTC-OEPP 27-28'!F172</f>
        <v>832106</v>
      </c>
      <c r="D7818" s="2" t="str">
        <f t="shared" si="128"/>
        <v>Error?</v>
      </c>
      <c r="E7818" s="4" t="s">
        <v>1980</v>
      </c>
    </row>
    <row r="7819" spans="1:5" x14ac:dyDescent="0.2">
      <c r="A7819">
        <v>7758</v>
      </c>
      <c r="B7819" s="1824">
        <f>'PCTC-OEPP 27-28'!F173</f>
        <v>0</v>
      </c>
      <c r="D7819" s="2" t="str">
        <f t="shared" si="128"/>
        <v>Error?</v>
      </c>
      <c r="E7819" s="4" t="s">
        <v>1980</v>
      </c>
    </row>
    <row r="7820" spans="1:5" x14ac:dyDescent="0.2">
      <c r="A7820">
        <v>7759</v>
      </c>
      <c r="B7820" s="1824">
        <f>'ICR Computation 30'!E40</f>
        <v>-1946620</v>
      </c>
      <c r="D7820" s="2" t="str">
        <f t="shared" si="128"/>
        <v>Error?</v>
      </c>
    </row>
    <row r="7821" spans="1:5" x14ac:dyDescent="0.2">
      <c r="A7821">
        <v>7760</v>
      </c>
      <c r="B7821" s="1824">
        <f>'ICR Computation 30'!G40</f>
        <v>-1946620</v>
      </c>
      <c r="D7821" s="2" t="str">
        <f t="shared" si="128"/>
        <v>Error?</v>
      </c>
    </row>
    <row r="7822" spans="1:5" x14ac:dyDescent="0.2">
      <c r="A7822" s="1">
        <v>7761</v>
      </c>
      <c r="B7822" s="1824">
        <f>'PCTC-OEPP 27-28'!F14</f>
        <v>22111182</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305849</v>
      </c>
      <c r="D7826" s="2" t="str">
        <f t="shared" si="129"/>
        <v>Error?</v>
      </c>
      <c r="E7826" s="4" t="s">
        <v>1998</v>
      </c>
    </row>
    <row r="7827" spans="1:5" x14ac:dyDescent="0.2">
      <c r="A7827">
        <v>7766</v>
      </c>
      <c r="B7827" s="1824">
        <f>'PCTC-OEPP 27-28'!F35</f>
        <v>0</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0</v>
      </c>
      <c r="D7830" s="2" t="str">
        <f t="shared" si="129"/>
        <v>Error?</v>
      </c>
      <c r="E7830" s="4" t="s">
        <v>1998</v>
      </c>
    </row>
    <row r="7831" spans="1:5" x14ac:dyDescent="0.2">
      <c r="A7831">
        <v>7770</v>
      </c>
      <c r="B7831" s="1824">
        <f>'PCTC-OEPP 27-28'!F52</f>
        <v>19399</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1384006</v>
      </c>
      <c r="D7834" s="2" t="str">
        <f t="shared" si="129"/>
        <v>Error?</v>
      </c>
      <c r="E7834" s="4" t="s">
        <v>1998</v>
      </c>
    </row>
    <row r="7835" spans="1:5" x14ac:dyDescent="0.2">
      <c r="A7835">
        <v>7774</v>
      </c>
      <c r="B7835" s="1824">
        <f>'PCTC-OEPP 27-28'!F78</f>
        <v>20727176</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14748.239647075565</v>
      </c>
      <c r="D7837" s="2" t="str">
        <f t="shared" si="129"/>
        <v>Error?</v>
      </c>
      <c r="E7837" s="4" t="s">
        <v>1998</v>
      </c>
    </row>
    <row r="7838" spans="1:5" x14ac:dyDescent="0.2">
      <c r="A7838">
        <v>7777</v>
      </c>
      <c r="B7838" s="1824">
        <f>'PCTC-OEPP 27-28'!F96</f>
        <v>48437</v>
      </c>
      <c r="D7838" s="2" t="str">
        <f t="shared" si="129"/>
        <v>Error?</v>
      </c>
      <c r="E7838" s="4" t="s">
        <v>1998</v>
      </c>
    </row>
    <row r="7839" spans="1:5" x14ac:dyDescent="0.2">
      <c r="A7839">
        <v>7778</v>
      </c>
      <c r="B7839" s="1824">
        <f>'PCTC-OEPP 27-28'!F102</f>
        <v>0</v>
      </c>
      <c r="D7839" s="2" t="str">
        <f t="shared" si="129"/>
        <v>Error?</v>
      </c>
      <c r="E7839" s="4" t="s">
        <v>1998</v>
      </c>
    </row>
    <row r="7840" spans="1:5" x14ac:dyDescent="0.2">
      <c r="A7840">
        <v>7779</v>
      </c>
      <c r="B7840" s="1824">
        <f>'PCTC-OEPP 27-28'!F103</f>
        <v>0</v>
      </c>
      <c r="D7840" s="2" t="str">
        <f t="shared" si="129"/>
        <v>Error?</v>
      </c>
      <c r="E7840" s="4" t="s">
        <v>1998</v>
      </c>
    </row>
    <row r="7841" spans="1:5" x14ac:dyDescent="0.2">
      <c r="A7841">
        <v>7780</v>
      </c>
      <c r="B7841" s="1824">
        <f>'PCTC-OEPP 27-28'!F104</f>
        <v>0</v>
      </c>
      <c r="D7841" s="2" t="str">
        <f t="shared" si="129"/>
        <v>Error?</v>
      </c>
      <c r="E7841" s="4" t="s">
        <v>1998</v>
      </c>
    </row>
    <row r="7842" spans="1:5" x14ac:dyDescent="0.2">
      <c r="A7842">
        <v>7781</v>
      </c>
      <c r="B7842" s="1824">
        <f>'PCTC-OEPP 27-28'!F106</f>
        <v>39215</v>
      </c>
      <c r="D7842" s="2" t="str">
        <f t="shared" si="129"/>
        <v>Error?</v>
      </c>
      <c r="E7842" s="4" t="s">
        <v>1998</v>
      </c>
    </row>
    <row r="7843" spans="1:5" x14ac:dyDescent="0.2">
      <c r="A7843">
        <v>7782</v>
      </c>
      <c r="B7843" s="1824">
        <f>'PCTC-OEPP 27-28'!F107</f>
        <v>6016</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19061</v>
      </c>
      <c r="D7846" s="2" t="str">
        <f t="shared" si="129"/>
        <v>Error?</v>
      </c>
      <c r="E7846" s="4" t="s">
        <v>1998</v>
      </c>
    </row>
    <row r="7847" spans="1:5" x14ac:dyDescent="0.2">
      <c r="A7847">
        <v>7786</v>
      </c>
      <c r="B7847" s="1824">
        <f>'PCTC-OEPP 27-28'!F112</f>
        <v>914912</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33728</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37775</v>
      </c>
      <c r="D7857" s="2" t="str">
        <f t="shared" si="129"/>
        <v>Error?</v>
      </c>
      <c r="E7857" s="4" t="s">
        <v>1998</v>
      </c>
    </row>
    <row r="7858" spans="1:5" x14ac:dyDescent="0.2">
      <c r="A7858">
        <v>7797</v>
      </c>
      <c r="B7858" s="1824">
        <f>'PCTC-OEPP 27-28'!F126</f>
        <v>1080910</v>
      </c>
      <c r="D7858" s="2" t="str">
        <f t="shared" si="129"/>
        <v>Error?</v>
      </c>
      <c r="E7858" s="4" t="s">
        <v>1998</v>
      </c>
    </row>
    <row r="7859" spans="1:5" x14ac:dyDescent="0.2">
      <c r="A7859">
        <v>7798</v>
      </c>
      <c r="B7859" s="1824">
        <f>'PCTC-OEPP 27-28'!F127</f>
        <v>946445</v>
      </c>
      <c r="D7859" s="2" t="str">
        <f t="shared" si="129"/>
        <v>Error?</v>
      </c>
      <c r="E7859" s="4" t="s">
        <v>1998</v>
      </c>
    </row>
    <row r="7860" spans="1:5" x14ac:dyDescent="0.2">
      <c r="A7860">
        <v>7799</v>
      </c>
      <c r="B7860" s="1824">
        <f>'PCTC-OEPP 27-28'!F128</f>
        <v>0</v>
      </c>
      <c r="D7860" s="2" t="str">
        <f t="shared" si="129"/>
        <v>Error?</v>
      </c>
      <c r="E7860" s="4" t="s">
        <v>1998</v>
      </c>
    </row>
    <row r="7861" spans="1:5" x14ac:dyDescent="0.2">
      <c r="A7861">
        <v>7800</v>
      </c>
      <c r="B7861" s="1824">
        <f>'PCTC-OEPP 27-28'!F129</f>
        <v>527717</v>
      </c>
      <c r="D7861" s="2" t="str">
        <f t="shared" si="129"/>
        <v>Error?</v>
      </c>
      <c r="E7861" s="4" t="s">
        <v>1998</v>
      </c>
    </row>
    <row r="7862" spans="1:5" x14ac:dyDescent="0.2">
      <c r="A7862">
        <v>7801</v>
      </c>
      <c r="B7862" s="1824">
        <f>'PCTC-OEPP 27-28'!F130</f>
        <v>11400</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0</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0</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112036</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29831</v>
      </c>
      <c r="D7874" s="2" t="str">
        <f t="shared" si="129"/>
        <v>Error?</v>
      </c>
      <c r="E7874" s="4" t="s">
        <v>1998</v>
      </c>
    </row>
    <row r="7875" spans="1:5" x14ac:dyDescent="0.2">
      <c r="A7875">
        <v>7814</v>
      </c>
      <c r="B7875" s="1824">
        <f>'PCTC-OEPP 27-28'!F170</f>
        <v>179245</v>
      </c>
      <c r="D7875" s="2" t="str">
        <f t="shared" si="129"/>
        <v>Error?</v>
      </c>
      <c r="E7875" s="4" t="s">
        <v>1998</v>
      </c>
    </row>
    <row r="7876" spans="1:5" x14ac:dyDescent="0.2">
      <c r="A7876">
        <v>7815</v>
      </c>
      <c r="B7876" s="1824">
        <f>'PCTC-OEPP 27-28'!F171</f>
        <v>0</v>
      </c>
      <c r="D7876" s="2" t="str">
        <f t="shared" si="129"/>
        <v>Error?</v>
      </c>
      <c r="E7876" s="4" t="s">
        <v>1998</v>
      </c>
    </row>
    <row r="7877" spans="1:5" x14ac:dyDescent="0.2">
      <c r="A7877">
        <v>7816</v>
      </c>
      <c r="B7877" s="1824">
        <f>'PCTC-OEPP 27-28'!F175</f>
        <v>5028934</v>
      </c>
      <c r="D7877" s="2" t="str">
        <f t="shared" si="129"/>
        <v>Error?</v>
      </c>
      <c r="E7877" s="4" t="s">
        <v>1998</v>
      </c>
    </row>
    <row r="7878" spans="1:5" x14ac:dyDescent="0.2">
      <c r="A7878">
        <v>7817</v>
      </c>
      <c r="B7878" s="1824">
        <f>'PCTC-OEPP 27-28'!F176</f>
        <v>15698242</v>
      </c>
      <c r="D7878" s="2" t="str">
        <f t="shared" si="129"/>
        <v>Error?</v>
      </c>
      <c r="E7878" s="4" t="s">
        <v>1998</v>
      </c>
    </row>
    <row r="7879" spans="1:5" x14ac:dyDescent="0.2">
      <c r="A7879">
        <v>7818</v>
      </c>
      <c r="B7879" s="1824">
        <f>'PCTC-OEPP 27-28'!F178</f>
        <v>16637448</v>
      </c>
      <c r="D7879" s="2" t="str">
        <f t="shared" si="129"/>
        <v>Error?</v>
      </c>
      <c r="E7879" s="4" t="s">
        <v>1998</v>
      </c>
    </row>
    <row r="7880" spans="1:5" x14ac:dyDescent="0.2">
      <c r="A7880">
        <v>7819</v>
      </c>
      <c r="B7880" s="1824">
        <f>'PCTC-OEPP 27-28'!F180</f>
        <v>11838.229685498789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15000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6" t="s">
        <v>1183</v>
      </c>
      <c r="B2" s="2546"/>
      <c r="C2" s="2546"/>
      <c r="D2" s="2546"/>
      <c r="E2" s="2546"/>
      <c r="F2" s="2546"/>
      <c r="G2" s="2546"/>
      <c r="H2" s="2546"/>
      <c r="I2" s="2546"/>
      <c r="J2" s="2546"/>
      <c r="K2" s="2546"/>
      <c r="L2" s="2546"/>
    </row>
    <row r="3" spans="1:29" ht="13.5" customHeight="1" x14ac:dyDescent="0.2">
      <c r="A3" s="2532" t="s">
        <v>1182</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26" t="str">
        <f>COVER!A17</f>
        <v>Massac County Community Unit S.D. #1</v>
      </c>
      <c r="B7" s="2527"/>
      <c r="C7" s="2527"/>
      <c r="D7" s="2565"/>
      <c r="E7" s="2566" t="str">
        <f>COVER!A13</f>
        <v>021-061-0010-26</v>
      </c>
      <c r="F7" s="2567"/>
      <c r="G7" s="2533" t="str">
        <f>COVER!T23</f>
        <v>066-003889</v>
      </c>
      <c r="H7" s="2534"/>
      <c r="I7" s="2534"/>
      <c r="J7" s="2534"/>
      <c r="K7" s="2534"/>
      <c r="L7" s="2535"/>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36"/>
      <c r="B9" s="2537"/>
      <c r="C9" s="2537"/>
      <c r="D9" s="2537"/>
      <c r="E9" s="2537"/>
      <c r="F9" s="2538"/>
      <c r="G9" s="2539" t="str">
        <f>COVER!T13</f>
        <v>Beussink, Hey, Roe &amp; Stroder, L.L.C.</v>
      </c>
      <c r="H9" s="2540"/>
      <c r="I9" s="2540"/>
      <c r="J9" s="2540"/>
      <c r="K9" s="2540"/>
      <c r="L9" s="2541"/>
    </row>
    <row r="10" spans="1:29" ht="13.5" customHeight="1" x14ac:dyDescent="0.2">
      <c r="A10" s="2523">
        <f>COVER!A38</f>
        <v>0</v>
      </c>
      <c r="B10" s="2524"/>
      <c r="C10" s="2524"/>
      <c r="D10" s="2524"/>
      <c r="E10" s="2524"/>
      <c r="F10" s="2525"/>
      <c r="G10" s="2539" t="str">
        <f>COVER!T17</f>
        <v>16 South Silver Springs Road</v>
      </c>
      <c r="H10" s="2552"/>
      <c r="I10" s="2552"/>
      <c r="J10" s="2552"/>
      <c r="K10" s="2552"/>
      <c r="L10" s="2553"/>
    </row>
    <row r="11" spans="1:29" ht="13.5" customHeight="1" x14ac:dyDescent="0.2">
      <c r="A11" s="955" t="s">
        <v>1505</v>
      </c>
      <c r="B11" s="956"/>
      <c r="C11" s="957"/>
      <c r="D11" s="962"/>
      <c r="E11" s="957"/>
      <c r="F11" s="961"/>
      <c r="G11" s="2539" t="str">
        <f>COVER!T19</f>
        <v>Cape Giradeau</v>
      </c>
      <c r="H11" s="2552"/>
      <c r="I11" s="2552"/>
      <c r="J11" s="2552"/>
      <c r="K11" s="2552"/>
      <c r="L11" s="2553"/>
    </row>
    <row r="12" spans="1:29" ht="13.5" customHeight="1" x14ac:dyDescent="0.2">
      <c r="A12" s="2557" t="s">
        <v>1504</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1506</v>
      </c>
      <c r="H13" s="2548"/>
      <c r="I13" s="2560" t="str">
        <f>COVER!T25</f>
        <v>jstroder@bhrcpas.com</v>
      </c>
      <c r="J13" s="2561"/>
      <c r="K13" s="2561"/>
      <c r="L13" s="2562"/>
    </row>
    <row r="14" spans="1:29" ht="13.5" customHeight="1" x14ac:dyDescent="0.2">
      <c r="A14" s="2539" t="str">
        <f>COVER!A19</f>
        <v>401 Metropolis Street</v>
      </c>
      <c r="B14" s="2552"/>
      <c r="C14" s="2552"/>
      <c r="D14" s="2552"/>
      <c r="E14" s="2552"/>
      <c r="F14" s="2553"/>
      <c r="G14" s="966" t="s">
        <v>1177</v>
      </c>
      <c r="H14" s="964"/>
      <c r="I14" s="964"/>
      <c r="J14" s="964"/>
      <c r="K14" s="964"/>
      <c r="L14" s="965"/>
    </row>
    <row r="15" spans="1:29" ht="13.5" customHeight="1" x14ac:dyDescent="0.2">
      <c r="A15" s="2539" t="str">
        <f>COVER!A21</f>
        <v>Metropolis</v>
      </c>
      <c r="B15" s="2552"/>
      <c r="C15" s="2552"/>
      <c r="D15" s="2552"/>
      <c r="E15" s="2552"/>
      <c r="F15" s="2553"/>
      <c r="G15" s="2549" t="str">
        <f>COVER!T15</f>
        <v>Jeffrey C. Stroder, CPA</v>
      </c>
      <c r="H15" s="2550"/>
      <c r="I15" s="2550"/>
      <c r="J15" s="2550"/>
      <c r="K15" s="2550"/>
      <c r="L15" s="2551"/>
    </row>
    <row r="16" spans="1:29" ht="12.2" customHeight="1" x14ac:dyDescent="0.2">
      <c r="A16" s="2529">
        <f>COVER!A25</f>
        <v>62960</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66" t="s">
        <v>1176</v>
      </c>
      <c r="H17" s="964"/>
      <c r="I17" s="964"/>
      <c r="J17" s="964"/>
      <c r="K17" s="968" t="s">
        <v>1175</v>
      </c>
      <c r="L17" s="961"/>
      <c r="M17" s="954"/>
    </row>
    <row r="18" spans="1:13" ht="12.2" customHeight="1" x14ac:dyDescent="0.2">
      <c r="A18" s="2523"/>
      <c r="B18" s="2524"/>
      <c r="C18" s="2524"/>
      <c r="D18" s="2524"/>
      <c r="E18" s="2524"/>
      <c r="F18" s="2525"/>
      <c r="G18" s="2526" t="str">
        <f>COVER!T21</f>
        <v>573-334-7971</v>
      </c>
      <c r="H18" s="2527"/>
      <c r="I18" s="2527"/>
      <c r="J18" s="2527"/>
      <c r="K18" s="2526" t="str">
        <f>COVER!X21</f>
        <v>573-334-8875</v>
      </c>
      <c r="L18" s="252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1809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3"/>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61"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8" t="str">
        <f>'Single Audit Cover'!A7</f>
        <v>Massac County Community Unit S.D. #1</v>
      </c>
      <c r="B1" s="2569"/>
      <c r="C1" s="2569"/>
      <c r="D1" s="2569"/>
    </row>
    <row r="2" spans="1:11" s="983" customFormat="1" ht="12.75" x14ac:dyDescent="0.2">
      <c r="A2" s="2570" t="str">
        <f>'Single Audit Cover'!E7</f>
        <v>021-061-0010-26</v>
      </c>
      <c r="B2" s="2571"/>
      <c r="C2" s="2571"/>
      <c r="D2" s="2571"/>
    </row>
    <row r="3" spans="1:11" s="983" customFormat="1" ht="12.75" x14ac:dyDescent="0.2">
      <c r="A3" s="2568" t="s">
        <v>1499</v>
      </c>
      <c r="B3" s="2569"/>
      <c r="C3" s="2569"/>
      <c r="D3" s="2569"/>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1969</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1810</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3" t="str">
        <f>'Single Audit Cover'!A7</f>
        <v>Massac County Community Unit S.D. #1</v>
      </c>
      <c r="B1" s="2573"/>
      <c r="C1" s="2573"/>
      <c r="D1" s="2573"/>
      <c r="E1" s="2573"/>
    </row>
    <row r="2" spans="1:5" x14ac:dyDescent="0.2">
      <c r="A2" s="2574" t="str">
        <f>'Single Audit Cover'!E7</f>
        <v>021-061-0010-26</v>
      </c>
      <c r="B2" s="2574"/>
      <c r="C2" s="2574"/>
      <c r="D2" s="2574"/>
      <c r="E2" s="2574"/>
    </row>
    <row r="3" spans="1:5" ht="4.5" customHeight="1" x14ac:dyDescent="0.2"/>
    <row r="4" spans="1:5" x14ac:dyDescent="0.2">
      <c r="A4" s="2573" t="s">
        <v>1236</v>
      </c>
      <c r="B4" s="2573"/>
      <c r="C4" s="2573"/>
      <c r="D4" s="2573"/>
      <c r="E4" s="2573"/>
    </row>
    <row r="5" spans="1:5" x14ac:dyDescent="0.2">
      <c r="A5" s="2576" t="str">
        <f>'Single Audit Cover'!A4</f>
        <v>Year Ending June 30, 2020</v>
      </c>
      <c r="B5" s="2576"/>
      <c r="C5" s="2576"/>
      <c r="D5" s="2576"/>
      <c r="E5" s="2576"/>
    </row>
    <row r="6" spans="1:5" x14ac:dyDescent="0.2">
      <c r="A6" s="2573" t="s">
        <v>1235</v>
      </c>
      <c r="B6" s="2573"/>
      <c r="C6" s="2573"/>
      <c r="D6" s="2573"/>
      <c r="E6" s="2573"/>
    </row>
    <row r="8" spans="1:5" x14ac:dyDescent="0.2">
      <c r="A8" s="1028" t="s">
        <v>1234</v>
      </c>
    </row>
    <row r="10" spans="1:5" x14ac:dyDescent="0.2">
      <c r="A10" s="1029" t="s">
        <v>1233</v>
      </c>
      <c r="B10" s="1030" t="s">
        <v>1232</v>
      </c>
      <c r="C10" s="1030"/>
      <c r="D10" s="1031">
        <f>SUM('Acct Summary 7-8'!C7:K7)</f>
        <v>2939621</v>
      </c>
    </row>
    <row r="11" spans="1:5" ht="18" customHeight="1" x14ac:dyDescent="0.2">
      <c r="A11" s="1029" t="s">
        <v>1231</v>
      </c>
      <c r="B11" s="1030"/>
      <c r="C11" s="1030"/>
    </row>
    <row r="12" spans="1:5" x14ac:dyDescent="0.2">
      <c r="A12" s="1029" t="s">
        <v>1230</v>
      </c>
      <c r="B12" s="1030" t="s">
        <v>1229</v>
      </c>
      <c r="C12" s="1030"/>
      <c r="D12" s="1032">
        <f>SUM('Revenues 9-14'!C112:D112,'Revenues 9-14'!F112:G112)</f>
        <v>0</v>
      </c>
    </row>
    <row r="13" spans="1:5" x14ac:dyDescent="0.2">
      <c r="A13" s="1029" t="s">
        <v>1228</v>
      </c>
      <c r="B13" s="1030"/>
      <c r="C13" s="1030"/>
    </row>
    <row r="14" spans="1:5" x14ac:dyDescent="0.2">
      <c r="A14" s="1029" t="s">
        <v>2004</v>
      </c>
      <c r="B14" s="1030"/>
      <c r="C14" s="1030"/>
      <c r="D14" s="1032">
        <f>'ICR Computation 30'!E11</f>
        <v>92447</v>
      </c>
    </row>
    <row r="15" spans="1:5" x14ac:dyDescent="0.2">
      <c r="A15" s="1029"/>
      <c r="B15" s="1030"/>
      <c r="C15" s="1030"/>
    </row>
    <row r="16" spans="1:5" x14ac:dyDescent="0.2">
      <c r="A16" s="1029" t="s">
        <v>1815</v>
      </c>
      <c r="B16" s="1030"/>
      <c r="C16" s="1030"/>
    </row>
    <row r="17" spans="1:4" x14ac:dyDescent="0.2">
      <c r="A17" s="1029" t="s">
        <v>1964</v>
      </c>
      <c r="B17" s="1030" t="s">
        <v>1227</v>
      </c>
      <c r="C17" s="1030"/>
      <c r="D17" s="1032">
        <f>-SUM('Revenues 9-14'!C264:D264,'Revenues 9-14'!F264:G264)</f>
        <v>-179245</v>
      </c>
    </row>
    <row r="19" spans="1:4" ht="13.5" thickBot="1" x14ac:dyDescent="0.25">
      <c r="A19" s="1033" t="s">
        <v>1226</v>
      </c>
      <c r="D19" s="1034">
        <f>SUM(D10:D17)</f>
        <v>2852823</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75"/>
      <c r="B24" s="2575"/>
      <c r="D24" s="1036"/>
    </row>
    <row r="25" spans="1:4" x14ac:dyDescent="0.2">
      <c r="A25" s="2572"/>
      <c r="B25" s="2572"/>
      <c r="D25" s="1036"/>
    </row>
    <row r="26" spans="1:4" x14ac:dyDescent="0.2">
      <c r="A26" s="2572"/>
      <c r="B26" s="2572"/>
      <c r="D26" s="1036"/>
    </row>
    <row r="27" spans="1:4" x14ac:dyDescent="0.2">
      <c r="A27" s="2572"/>
      <c r="B27" s="2572"/>
      <c r="D27" s="1036"/>
    </row>
    <row r="28" spans="1:4" x14ac:dyDescent="0.2">
      <c r="A28" s="2572"/>
      <c r="B28" s="2572"/>
      <c r="D28" s="1036"/>
    </row>
    <row r="29" spans="1:4" x14ac:dyDescent="0.2">
      <c r="A29" s="2572"/>
      <c r="B29" s="2572"/>
      <c r="D29" s="1036"/>
    </row>
    <row r="30" spans="1:4" x14ac:dyDescent="0.2">
      <c r="A30" s="2572"/>
      <c r="B30" s="2572"/>
      <c r="D30" s="1036"/>
    </row>
    <row r="32" spans="1:4" x14ac:dyDescent="0.2">
      <c r="A32" s="1028" t="s">
        <v>1224</v>
      </c>
      <c r="D32" s="1031">
        <f>SUM(D19:D30)</f>
        <v>2852823</v>
      </c>
    </row>
    <row r="33" spans="1:4" x14ac:dyDescent="0.2">
      <c r="D33" s="1037"/>
    </row>
    <row r="34" spans="1:4" x14ac:dyDescent="0.2">
      <c r="A34" s="295" t="s">
        <v>1223</v>
      </c>
    </row>
    <row r="35" spans="1:4" x14ac:dyDescent="0.2">
      <c r="A35" s="295" t="s">
        <v>1222</v>
      </c>
      <c r="B35" s="1026" t="s">
        <v>1221</v>
      </c>
      <c r="D35" s="1038">
        <v>2852823</v>
      </c>
    </row>
    <row r="37" spans="1:4" x14ac:dyDescent="0.2">
      <c r="A37" s="1028" t="s">
        <v>1220</v>
      </c>
    </row>
    <row r="39" spans="1:4" ht="13.35" customHeight="1" x14ac:dyDescent="0.2">
      <c r="A39" s="1035" t="s">
        <v>1219</v>
      </c>
    </row>
    <row r="40" spans="1:4" x14ac:dyDescent="0.2">
      <c r="A40" s="2572"/>
      <c r="B40" s="2572"/>
      <c r="D40" s="1036"/>
    </row>
    <row r="41" spans="1:4" x14ac:dyDescent="0.2">
      <c r="A41" s="2572"/>
      <c r="B41" s="2572"/>
      <c r="D41" s="1039"/>
    </row>
    <row r="42" spans="1:4" x14ac:dyDescent="0.2">
      <c r="A42" s="2572"/>
      <c r="B42" s="2572"/>
      <c r="D42" s="1039"/>
    </row>
    <row r="43" spans="1:4" x14ac:dyDescent="0.2">
      <c r="A43" s="2572"/>
      <c r="B43" s="2572"/>
      <c r="D43" s="1039"/>
    </row>
    <row r="44" spans="1:4" x14ac:dyDescent="0.2">
      <c r="A44" s="2572"/>
      <c r="B44" s="2572"/>
      <c r="D44" s="1039"/>
    </row>
    <row r="45" spans="1:4" x14ac:dyDescent="0.2">
      <c r="A45" s="2572"/>
      <c r="B45" s="2572"/>
      <c r="D45" s="1039"/>
    </row>
    <row r="47" spans="1:4" x14ac:dyDescent="0.2">
      <c r="B47" s="1040" t="s">
        <v>1218</v>
      </c>
      <c r="C47" s="1040"/>
      <c r="D47" s="1041">
        <f>SUM(D35:D45)</f>
        <v>2852823</v>
      </c>
    </row>
    <row r="49" spans="2:4" x14ac:dyDescent="0.2">
      <c r="B49" s="1040" t="s">
        <v>1217</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9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3"/>
  <sheetViews>
    <sheetView showGridLines="0" zoomScaleNormal="100" workbookViewId="0">
      <selection activeCell="F21" sqref="F21:F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2" t="str">
        <f>'Single Audit Cover'!A7</f>
        <v>Massac County Community Unit S.D. #1</v>
      </c>
      <c r="C1" s="2577"/>
      <c r="D1" s="2577"/>
      <c r="E1" s="2577"/>
      <c r="F1" s="2577"/>
      <c r="G1" s="2577"/>
      <c r="H1" s="2577"/>
      <c r="I1" s="2577"/>
      <c r="J1" s="2577"/>
      <c r="K1" s="2577"/>
      <c r="L1" s="2577"/>
      <c r="M1" s="2577"/>
    </row>
    <row r="2" spans="2:14" ht="15" x14ac:dyDescent="0.2">
      <c r="B2" s="2578" t="str">
        <f>'Single Audit Cover'!E7</f>
        <v>021-061-0010-26</v>
      </c>
      <c r="C2" s="2578"/>
      <c r="D2" s="2578"/>
      <c r="E2" s="2578"/>
      <c r="F2" s="2578"/>
      <c r="G2" s="2578"/>
      <c r="H2" s="2578"/>
      <c r="I2" s="2578"/>
      <c r="J2" s="2578"/>
      <c r="K2" s="2578"/>
      <c r="L2" s="2578"/>
      <c r="M2" s="2578"/>
      <c r="N2" s="1070"/>
    </row>
    <row r="3" spans="2:14" ht="15" x14ac:dyDescent="0.2">
      <c r="B3" s="2579" t="s">
        <v>1210</v>
      </c>
      <c r="C3" s="2579"/>
      <c r="D3" s="2579"/>
      <c r="E3" s="2579"/>
      <c r="F3" s="2579"/>
      <c r="G3" s="2579"/>
      <c r="H3" s="2579"/>
      <c r="I3" s="2579"/>
      <c r="J3" s="2579"/>
      <c r="K3" s="2579"/>
      <c r="L3" s="2579"/>
      <c r="M3" s="2579"/>
      <c r="N3" s="1070"/>
    </row>
    <row r="4" spans="2:14" ht="15" x14ac:dyDescent="0.2">
      <c r="B4" s="2580" t="str">
        <f>'Single Audit Cover'!A4</f>
        <v>Year Ending June 30, 2020</v>
      </c>
      <c r="C4" s="2580"/>
      <c r="D4" s="2580"/>
      <c r="E4" s="2580"/>
      <c r="F4" s="2580"/>
      <c r="G4" s="2580"/>
      <c r="H4" s="2580"/>
      <c r="I4" s="2580"/>
      <c r="J4" s="2580"/>
      <c r="K4" s="2580"/>
      <c r="L4" s="2580"/>
      <c r="M4" s="258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2075</v>
      </c>
      <c r="C11" s="1813"/>
      <c r="D11" s="1814"/>
      <c r="E11" s="1815"/>
      <c r="F11" s="1815"/>
      <c r="G11" s="1815"/>
      <c r="H11" s="1815"/>
      <c r="I11" s="1815"/>
      <c r="J11" s="1815"/>
      <c r="K11" s="1815"/>
      <c r="L11" s="1815"/>
      <c r="M11" s="1815"/>
    </row>
    <row r="12" spans="2:14" ht="20.100000000000001" customHeight="1" x14ac:dyDescent="0.2">
      <c r="B12" s="1105" t="s">
        <v>2076</v>
      </c>
      <c r="C12" s="1816"/>
      <c r="D12" s="1817"/>
      <c r="E12" s="1818"/>
      <c r="F12" s="1818"/>
      <c r="G12" s="1818"/>
      <c r="H12" s="1818"/>
      <c r="I12" s="1818"/>
      <c r="J12" s="1818"/>
      <c r="K12" s="1818"/>
      <c r="L12" s="1815"/>
      <c r="M12" s="1818"/>
    </row>
    <row r="13" spans="2:14" ht="20.100000000000001" customHeight="1" x14ac:dyDescent="0.2">
      <c r="B13" s="1105" t="s">
        <v>2077</v>
      </c>
      <c r="C13" s="1816">
        <v>10.553000000000001</v>
      </c>
      <c r="D13" s="1817" t="s">
        <v>2083</v>
      </c>
      <c r="E13" s="1818">
        <v>155340</v>
      </c>
      <c r="F13" s="1818">
        <v>62400</v>
      </c>
      <c r="G13" s="1818">
        <v>155340</v>
      </c>
      <c r="H13" s="1818"/>
      <c r="I13" s="1818">
        <v>62400</v>
      </c>
      <c r="J13" s="1818"/>
      <c r="K13" s="1818"/>
      <c r="L13" s="1815">
        <f t="shared" ref="L13:L27" si="0">+G13+I13+K13</f>
        <v>217740</v>
      </c>
      <c r="M13" s="1818"/>
    </row>
    <row r="14" spans="2:14" ht="20.100000000000001" customHeight="1" x14ac:dyDescent="0.2">
      <c r="B14" s="1105" t="s">
        <v>2077</v>
      </c>
      <c r="C14" s="1816">
        <v>10.553000000000001</v>
      </c>
      <c r="D14" s="1817" t="s">
        <v>2084</v>
      </c>
      <c r="E14" s="1818"/>
      <c r="F14" s="1818">
        <v>125477</v>
      </c>
      <c r="G14" s="1818"/>
      <c r="H14" s="1818"/>
      <c r="I14" s="1818">
        <v>125477</v>
      </c>
      <c r="J14" s="1818"/>
      <c r="K14" s="1818"/>
      <c r="L14" s="1815">
        <f t="shared" si="0"/>
        <v>125477</v>
      </c>
      <c r="M14" s="1818"/>
    </row>
    <row r="15" spans="2:14" ht="20.100000000000001" customHeight="1" x14ac:dyDescent="0.2">
      <c r="B15" s="1105" t="s">
        <v>2078</v>
      </c>
      <c r="C15" s="1816"/>
      <c r="D15" s="1817"/>
      <c r="E15" s="1818">
        <f>E13+E14</f>
        <v>155340</v>
      </c>
      <c r="F15" s="1818">
        <f t="shared" ref="F15:M15" si="1">F13+F14</f>
        <v>187877</v>
      </c>
      <c r="G15" s="1818">
        <f t="shared" si="1"/>
        <v>155340</v>
      </c>
      <c r="H15" s="1818">
        <f t="shared" si="1"/>
        <v>0</v>
      </c>
      <c r="I15" s="1818">
        <f t="shared" si="1"/>
        <v>187877</v>
      </c>
      <c r="J15" s="1818">
        <f t="shared" si="1"/>
        <v>0</v>
      </c>
      <c r="K15" s="1818">
        <f t="shared" si="1"/>
        <v>0</v>
      </c>
      <c r="L15" s="1818">
        <f t="shared" si="1"/>
        <v>343217</v>
      </c>
      <c r="M15" s="1818">
        <f t="shared" si="1"/>
        <v>0</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2076</v>
      </c>
      <c r="C17" s="1816"/>
      <c r="D17" s="1817"/>
      <c r="E17" s="1818"/>
      <c r="F17" s="1818"/>
      <c r="G17" s="1818"/>
      <c r="H17" s="1818"/>
      <c r="I17" s="1818"/>
      <c r="J17" s="1818"/>
      <c r="K17" s="1818"/>
      <c r="L17" s="1815"/>
      <c r="M17" s="1818"/>
    </row>
    <row r="18" spans="2:14" ht="20.100000000000001" customHeight="1" x14ac:dyDescent="0.2">
      <c r="B18" s="1105" t="s">
        <v>2079</v>
      </c>
      <c r="C18" s="1816">
        <v>10.555</v>
      </c>
      <c r="D18" s="1816" t="s">
        <v>2085</v>
      </c>
      <c r="E18" s="1818">
        <v>406434</v>
      </c>
      <c r="F18" s="1818">
        <v>165118</v>
      </c>
      <c r="G18" s="1818">
        <v>406434</v>
      </c>
      <c r="H18" s="1818"/>
      <c r="I18" s="1818">
        <v>165118</v>
      </c>
      <c r="J18" s="1818"/>
      <c r="K18" s="1818"/>
      <c r="L18" s="1815">
        <f t="shared" si="0"/>
        <v>571552</v>
      </c>
      <c r="M18" s="1818"/>
    </row>
    <row r="19" spans="2:14" ht="20.100000000000001" customHeight="1" x14ac:dyDescent="0.2">
      <c r="B19" s="1105" t="s">
        <v>2079</v>
      </c>
      <c r="C19" s="1816">
        <v>10.555</v>
      </c>
      <c r="D19" s="1816" t="s">
        <v>2086</v>
      </c>
      <c r="E19" s="1818"/>
      <c r="F19" s="1818">
        <v>333164</v>
      </c>
      <c r="G19" s="1818"/>
      <c r="H19" s="1818"/>
      <c r="I19" s="1818">
        <v>333164</v>
      </c>
      <c r="J19" s="1818"/>
      <c r="K19" s="1818"/>
      <c r="L19" s="1815">
        <f t="shared" si="0"/>
        <v>333164</v>
      </c>
      <c r="M19" s="1818"/>
    </row>
    <row r="20" spans="2:14" ht="20.100000000000001" customHeight="1" x14ac:dyDescent="0.2">
      <c r="B20" s="1105" t="s">
        <v>2080</v>
      </c>
      <c r="C20" s="1816">
        <v>10.555</v>
      </c>
      <c r="D20" s="1816" t="s">
        <v>2087</v>
      </c>
      <c r="E20" s="1818">
        <v>68771</v>
      </c>
      <c r="F20" s="1818"/>
      <c r="G20" s="1818">
        <v>68771</v>
      </c>
      <c r="H20" s="1818"/>
      <c r="I20" s="1818"/>
      <c r="J20" s="1818"/>
      <c r="K20" s="1818"/>
      <c r="L20" s="1815">
        <f t="shared" si="0"/>
        <v>68771</v>
      </c>
      <c r="M20" s="1818"/>
    </row>
    <row r="21" spans="2:14" ht="20.100000000000001" customHeight="1" x14ac:dyDescent="0.2">
      <c r="B21" s="1105" t="s">
        <v>2080</v>
      </c>
      <c r="C21" s="1816">
        <v>10.555</v>
      </c>
      <c r="D21" s="1816" t="s">
        <v>2088</v>
      </c>
      <c r="E21" s="1818"/>
      <c r="F21" s="1818">
        <v>66921</v>
      </c>
      <c r="G21" s="1818"/>
      <c r="H21" s="1818"/>
      <c r="I21" s="1818">
        <v>66921</v>
      </c>
      <c r="J21" s="1818"/>
      <c r="K21" s="1818"/>
      <c r="L21" s="1815">
        <f t="shared" si="0"/>
        <v>66921</v>
      </c>
      <c r="M21" s="1818"/>
    </row>
    <row r="22" spans="2:14" ht="20.100000000000001" customHeight="1" x14ac:dyDescent="0.2">
      <c r="B22" s="1105" t="s">
        <v>2081</v>
      </c>
      <c r="C22" s="1816">
        <v>10.555</v>
      </c>
      <c r="D22" s="1816" t="s">
        <v>2087</v>
      </c>
      <c r="E22" s="1818">
        <v>11190</v>
      </c>
      <c r="F22" s="1818"/>
      <c r="G22" s="1818">
        <v>11190</v>
      </c>
      <c r="H22" s="1818"/>
      <c r="I22" s="1818"/>
      <c r="J22" s="1818"/>
      <c r="K22" s="1818"/>
      <c r="L22" s="1815">
        <f t="shared" si="0"/>
        <v>11190</v>
      </c>
      <c r="M22" s="1818"/>
    </row>
    <row r="23" spans="2:14" ht="20.100000000000001" customHeight="1" x14ac:dyDescent="0.2">
      <c r="B23" s="1105" t="s">
        <v>2081</v>
      </c>
      <c r="C23" s="1816">
        <v>10.555</v>
      </c>
      <c r="D23" s="1816" t="s">
        <v>2088</v>
      </c>
      <c r="E23" s="1818"/>
      <c r="F23" s="1818">
        <v>25526</v>
      </c>
      <c r="G23" s="1818"/>
      <c r="H23" s="1818"/>
      <c r="I23" s="1818">
        <v>25526</v>
      </c>
      <c r="J23" s="1818"/>
      <c r="K23" s="1818"/>
      <c r="L23" s="1815">
        <f t="shared" si="0"/>
        <v>25526</v>
      </c>
      <c r="M23" s="1818"/>
    </row>
    <row r="24" spans="2:14" ht="20.100000000000001" customHeight="1" x14ac:dyDescent="0.2">
      <c r="B24" s="1105" t="s">
        <v>2082</v>
      </c>
      <c r="C24" s="1816"/>
      <c r="D24" s="1817"/>
      <c r="E24" s="1818">
        <f>SUM(E18:E23)</f>
        <v>486395</v>
      </c>
      <c r="F24" s="1818">
        <f t="shared" ref="F24:M24" si="2">SUM(F18:F23)</f>
        <v>590729</v>
      </c>
      <c r="G24" s="1818">
        <f t="shared" si="2"/>
        <v>486395</v>
      </c>
      <c r="H24" s="1818">
        <f t="shared" si="2"/>
        <v>0</v>
      </c>
      <c r="I24" s="1818">
        <f t="shared" si="2"/>
        <v>590729</v>
      </c>
      <c r="J24" s="1818">
        <f t="shared" si="2"/>
        <v>0</v>
      </c>
      <c r="K24" s="1818">
        <f t="shared" si="2"/>
        <v>0</v>
      </c>
      <c r="L24" s="1818">
        <f t="shared" si="2"/>
        <v>1077124</v>
      </c>
      <c r="M24" s="1818">
        <f t="shared" si="2"/>
        <v>0</v>
      </c>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t="s">
        <v>2076</v>
      </c>
      <c r="C26" s="1816"/>
      <c r="D26" s="1817"/>
      <c r="E26" s="1818"/>
      <c r="F26" s="1818"/>
      <c r="G26" s="1818"/>
      <c r="H26" s="1818"/>
      <c r="I26" s="1818"/>
      <c r="J26" s="1818"/>
      <c r="K26" s="1818"/>
      <c r="L26" s="1815"/>
      <c r="M26" s="1818"/>
    </row>
    <row r="27" spans="2:14" ht="20.100000000000001" customHeight="1" x14ac:dyDescent="0.2">
      <c r="B27" s="1105" t="s">
        <v>2089</v>
      </c>
      <c r="C27" s="1816">
        <v>10.558999999999999</v>
      </c>
      <c r="D27" s="1817" t="s">
        <v>2091</v>
      </c>
      <c r="E27" s="1818"/>
      <c r="F27" s="1818">
        <v>394751</v>
      </c>
      <c r="G27" s="1818"/>
      <c r="H27" s="1818"/>
      <c r="I27" s="1818">
        <v>394751</v>
      </c>
      <c r="J27" s="1818"/>
      <c r="K27" s="1818"/>
      <c r="L27" s="1815">
        <f t="shared" si="0"/>
        <v>394751</v>
      </c>
      <c r="M27" s="1818"/>
    </row>
    <row r="28" spans="2:14" ht="20.100000000000001" customHeight="1" x14ac:dyDescent="0.2">
      <c r="B28" s="1105" t="s">
        <v>2090</v>
      </c>
      <c r="C28" s="1816"/>
      <c r="D28" s="1817"/>
      <c r="E28" s="1818">
        <f>E27</f>
        <v>0</v>
      </c>
      <c r="F28" s="1818">
        <f t="shared" ref="F28:M28" si="3">F27</f>
        <v>394751</v>
      </c>
      <c r="G28" s="1818">
        <f t="shared" si="3"/>
        <v>0</v>
      </c>
      <c r="H28" s="1818">
        <f t="shared" si="3"/>
        <v>0</v>
      </c>
      <c r="I28" s="1818">
        <f t="shared" si="3"/>
        <v>394751</v>
      </c>
      <c r="J28" s="1818">
        <f t="shared" si="3"/>
        <v>0</v>
      </c>
      <c r="K28" s="1818">
        <f t="shared" si="3"/>
        <v>0</v>
      </c>
      <c r="L28" s="1818">
        <f t="shared" si="3"/>
        <v>394751</v>
      </c>
      <c r="M28" s="1818">
        <f t="shared" si="3"/>
        <v>0</v>
      </c>
      <c r="N28" s="1106"/>
    </row>
    <row r="29" spans="2:14" ht="12.75" customHeight="1" x14ac:dyDescent="0.2">
      <c r="B29" s="1107"/>
      <c r="C29" s="1108"/>
      <c r="D29" s="1109"/>
      <c r="E29" s="1110"/>
      <c r="F29" s="1110"/>
      <c r="G29" s="1110"/>
      <c r="H29" s="1110"/>
      <c r="I29" s="1110"/>
      <c r="J29" s="1110"/>
      <c r="K29" s="1110"/>
      <c r="L29" s="1110"/>
      <c r="M29" s="1110"/>
      <c r="N29" s="1106"/>
    </row>
    <row r="30" spans="2:14" x14ac:dyDescent="0.2">
      <c r="B30" s="1025"/>
      <c r="C30" s="1111"/>
      <c r="D30" s="1112"/>
      <c r="E30" s="1025"/>
      <c r="F30" s="1025"/>
      <c r="G30" s="1018"/>
      <c r="H30" s="1018"/>
      <c r="I30" s="1018"/>
      <c r="J30" s="1018"/>
      <c r="K30" s="1018"/>
      <c r="L30" s="1018"/>
      <c r="M30" s="1025"/>
      <c r="N30" s="1106"/>
    </row>
    <row r="31" spans="2:14" ht="13.5" customHeight="1" x14ac:dyDescent="0.2">
      <c r="B31" s="1050" t="s">
        <v>1714</v>
      </c>
      <c r="C31" s="1111"/>
      <c r="D31" s="1112"/>
      <c r="E31" s="1025"/>
      <c r="F31" s="1025"/>
      <c r="G31" s="1018"/>
      <c r="H31" s="1018"/>
      <c r="I31" s="1018"/>
      <c r="J31" s="1018"/>
      <c r="K31" s="1018"/>
      <c r="L31" s="1018"/>
      <c r="M31" s="1025"/>
      <c r="N31" s="1106"/>
    </row>
    <row r="32" spans="2:14" ht="8.25" customHeight="1" x14ac:dyDescent="0.2">
      <c r="B32" s="1050"/>
      <c r="C32" s="1111"/>
      <c r="D32" s="1112"/>
      <c r="E32" s="1025"/>
      <c r="F32" s="1025"/>
      <c r="G32" s="1018"/>
      <c r="H32" s="1018"/>
      <c r="I32" s="1018"/>
      <c r="J32" s="1018"/>
      <c r="K32" s="1018"/>
      <c r="L32" s="1018"/>
      <c r="M32" s="1025"/>
      <c r="N32" s="1106"/>
    </row>
    <row r="33" spans="2:13" x14ac:dyDescent="0.2">
      <c r="B33" s="1113" t="s">
        <v>1812</v>
      </c>
      <c r="C33" s="1114"/>
      <c r="D33" s="1115"/>
      <c r="E33" s="1116"/>
      <c r="F33" s="1116"/>
      <c r="G33" s="1116"/>
      <c r="H33" s="1116"/>
      <c r="I33" s="295"/>
      <c r="J33" s="295"/>
    </row>
    <row r="34" spans="2:13" x14ac:dyDescent="0.2">
      <c r="B34" s="1045"/>
      <c r="C34" s="1117"/>
      <c r="D34" s="1118"/>
      <c r="E34" s="1046"/>
      <c r="F34" s="1046"/>
      <c r="G34" s="295"/>
      <c r="H34" s="295"/>
      <c r="I34" s="295"/>
      <c r="J34" s="295"/>
    </row>
    <row r="35" spans="2:13" ht="13.5" customHeight="1" x14ac:dyDescent="0.2">
      <c r="B35" s="1044" t="s">
        <v>1237</v>
      </c>
      <c r="G35" s="295"/>
      <c r="H35" s="295"/>
      <c r="I35" s="295"/>
      <c r="J35" s="295"/>
    </row>
    <row r="36" spans="2:13" ht="13.5" customHeight="1" x14ac:dyDescent="0.2">
      <c r="B36" s="1121"/>
      <c r="C36" s="1122"/>
      <c r="D36" s="1123"/>
      <c r="E36" s="1065"/>
      <c r="F36" s="1065"/>
      <c r="G36" s="1065"/>
      <c r="H36" s="1065"/>
      <c r="I36" s="1065"/>
      <c r="J36" s="1065"/>
      <c r="K36" s="1124"/>
      <c r="L36" s="1124"/>
      <c r="M36" s="1065"/>
    </row>
    <row r="37" spans="2:13" ht="9.6" customHeight="1" x14ac:dyDescent="0.2">
      <c r="B37" s="1125"/>
      <c r="G37" s="295"/>
      <c r="H37" s="295"/>
      <c r="I37" s="295"/>
      <c r="J37" s="295"/>
    </row>
    <row r="38" spans="2:13" ht="11.25" customHeight="1" x14ac:dyDescent="0.2">
      <c r="B38" s="1126" t="s">
        <v>1715</v>
      </c>
      <c r="C38" s="1127"/>
      <c r="D38" s="1127"/>
      <c r="E38" s="1127"/>
      <c r="F38" s="1127"/>
      <c r="G38" s="1127"/>
      <c r="H38" s="1127"/>
      <c r="I38" s="1128"/>
      <c r="J38" s="1128"/>
      <c r="K38" s="1128"/>
      <c r="L38" s="1128"/>
      <c r="M38" s="1128"/>
    </row>
    <row r="39" spans="2:13" ht="11.25" customHeight="1" x14ac:dyDescent="0.2">
      <c r="B39" s="1129" t="s">
        <v>1570</v>
      </c>
      <c r="C39" s="1128"/>
      <c r="D39" s="1128"/>
      <c r="E39" s="1128"/>
      <c r="F39" s="1128"/>
      <c r="G39" s="1128"/>
      <c r="H39" s="1128"/>
      <c r="I39" s="1128"/>
      <c r="J39" s="1128"/>
      <c r="K39" s="1128"/>
      <c r="L39" s="1128"/>
      <c r="M39" s="1128"/>
    </row>
    <row r="40" spans="2:13" ht="3.95" customHeight="1" x14ac:dyDescent="0.2">
      <c r="B40" s="1129"/>
      <c r="C40" s="1128"/>
      <c r="D40" s="1128"/>
      <c r="E40" s="1128"/>
      <c r="F40" s="1128"/>
      <c r="G40" s="1128"/>
      <c r="H40" s="1128"/>
      <c r="I40" s="1128"/>
      <c r="J40" s="1128"/>
      <c r="K40" s="1128"/>
      <c r="L40" s="1128"/>
      <c r="M40" s="1128"/>
    </row>
    <row r="41" spans="2:13" ht="11.25" customHeight="1" x14ac:dyDescent="0.2">
      <c r="B41" s="1126" t="s">
        <v>1716</v>
      </c>
      <c r="C41" s="1128"/>
      <c r="D41" s="1128"/>
      <c r="E41" s="1128"/>
      <c r="F41" s="1128"/>
      <c r="G41" s="1128"/>
      <c r="H41" s="1128"/>
      <c r="I41" s="1128"/>
      <c r="J41" s="1128"/>
      <c r="K41" s="1128"/>
      <c r="L41" s="1128"/>
      <c r="M41" s="1128"/>
    </row>
    <row r="42" spans="2:13" ht="11.25" customHeight="1" x14ac:dyDescent="0.2">
      <c r="B42" s="1068" t="s">
        <v>1571</v>
      </c>
      <c r="C42" s="1130"/>
      <c r="D42" s="1131"/>
      <c r="E42" s="1068"/>
      <c r="F42" s="1068"/>
      <c r="G42" s="1068"/>
      <c r="H42" s="1068"/>
      <c r="I42" s="1068"/>
      <c r="J42" s="1068"/>
      <c r="K42" s="1132"/>
      <c r="L42" s="1132"/>
      <c r="M42" s="1068"/>
    </row>
    <row r="43" spans="2:13" ht="3.95" customHeight="1" x14ac:dyDescent="0.2">
      <c r="B43" s="1068"/>
      <c r="C43" s="1130"/>
      <c r="D43" s="1131"/>
      <c r="E43" s="1068"/>
      <c r="F43" s="1068"/>
      <c r="G43" s="1068"/>
      <c r="H43" s="1068"/>
      <c r="I43" s="1068"/>
      <c r="J43" s="1068"/>
      <c r="K43" s="1132"/>
      <c r="L43" s="1132"/>
      <c r="M43" s="1068"/>
    </row>
    <row r="44" spans="2:13" ht="11.25" customHeight="1" x14ac:dyDescent="0.2">
      <c r="B44" s="1133" t="s">
        <v>1717</v>
      </c>
      <c r="C44" s="1130"/>
      <c r="D44" s="1131"/>
      <c r="E44" s="1068"/>
      <c r="F44" s="1068"/>
      <c r="G44" s="1068"/>
      <c r="H44" s="1068"/>
      <c r="I44" s="1068"/>
      <c r="J44" s="1068"/>
      <c r="K44" s="1132"/>
      <c r="L44" s="1132"/>
      <c r="M44" s="1068"/>
    </row>
    <row r="45" spans="2:13" ht="3.95" customHeight="1" x14ac:dyDescent="0.2">
      <c r="B45" s="1133"/>
      <c r="C45" s="1130"/>
      <c r="D45" s="1131"/>
      <c r="E45" s="1068"/>
      <c r="F45" s="1068"/>
      <c r="G45" s="1068"/>
      <c r="H45" s="1068"/>
      <c r="I45" s="1068"/>
      <c r="J45" s="1068"/>
      <c r="K45" s="1132"/>
      <c r="L45" s="1132"/>
      <c r="M45" s="1068"/>
    </row>
    <row r="46" spans="2:13" ht="11.25" customHeight="1" x14ac:dyDescent="0.2">
      <c r="B46" s="1134" t="s">
        <v>1718</v>
      </c>
      <c r="C46" s="1130"/>
      <c r="D46" s="1131"/>
      <c r="E46" s="1068"/>
      <c r="F46" s="1068"/>
      <c r="G46" s="1068"/>
      <c r="H46" s="1068"/>
      <c r="I46" s="1068"/>
      <c r="J46" s="1068"/>
      <c r="K46" s="1132"/>
      <c r="L46" s="1132"/>
      <c r="M46" s="1068"/>
    </row>
    <row r="47" spans="2:13" ht="11.25" customHeight="1" x14ac:dyDescent="0.2">
      <c r="B47" s="1068" t="s">
        <v>1572</v>
      </c>
      <c r="G47" s="295"/>
      <c r="H47" s="295"/>
      <c r="I47" s="295"/>
      <c r="J47" s="295"/>
    </row>
    <row r="48" spans="2:13" ht="11.1" customHeight="1" x14ac:dyDescent="0.2">
      <c r="B48" s="1068"/>
      <c r="G48" s="295"/>
      <c r="H48" s="295"/>
      <c r="I48" s="295"/>
      <c r="J48" s="295"/>
    </row>
    <row r="49" spans="2:13" ht="11.1" customHeight="1" x14ac:dyDescent="0.2">
      <c r="B49" s="1068"/>
      <c r="G49" s="295"/>
      <c r="H49" s="295"/>
      <c r="I49" s="295"/>
      <c r="J49" s="295"/>
    </row>
    <row r="50" spans="2:13" ht="13.5" customHeight="1" x14ac:dyDescent="0.2">
      <c r="M50" s="1135"/>
    </row>
    <row r="51" spans="2:13" ht="13.5" customHeight="1" x14ac:dyDescent="0.2">
      <c r="M51" s="1135"/>
    </row>
    <row r="52" spans="2:13" ht="13.5" customHeight="1" x14ac:dyDescent="0.2">
      <c r="M52" s="1135"/>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D3D8-E39A-492E-9289-1B95707CC4AB}">
  <sheetPr>
    <tabColor rgb="FF92D050"/>
  </sheetPr>
  <dimension ref="B1:N152"/>
  <sheetViews>
    <sheetView showGridLines="0"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2" t="str">
        <f>'Single Audit Cover'!A7</f>
        <v>Massac County Community Unit S.D. #1</v>
      </c>
      <c r="C1" s="2577"/>
      <c r="D1" s="2577"/>
      <c r="E1" s="2577"/>
      <c r="F1" s="2577"/>
      <c r="G1" s="2577"/>
      <c r="H1" s="2577"/>
      <c r="I1" s="2577"/>
      <c r="J1" s="2577"/>
      <c r="K1" s="2577"/>
      <c r="L1" s="2577"/>
      <c r="M1" s="2577"/>
    </row>
    <row r="2" spans="2:14" ht="15" x14ac:dyDescent="0.2">
      <c r="B2" s="2578" t="str">
        <f>'Single Audit Cover'!E7</f>
        <v>021-061-0010-26</v>
      </c>
      <c r="C2" s="2578"/>
      <c r="D2" s="2578"/>
      <c r="E2" s="2578"/>
      <c r="F2" s="2578"/>
      <c r="G2" s="2578"/>
      <c r="H2" s="2578"/>
      <c r="I2" s="2578"/>
      <c r="J2" s="2578"/>
      <c r="K2" s="2578"/>
      <c r="L2" s="2578"/>
      <c r="M2" s="2578"/>
      <c r="N2" s="1070"/>
    </row>
    <row r="3" spans="2:14" ht="15" x14ac:dyDescent="0.2">
      <c r="B3" s="2579" t="s">
        <v>1210</v>
      </c>
      <c r="C3" s="2579"/>
      <c r="D3" s="2579"/>
      <c r="E3" s="2579"/>
      <c r="F3" s="2579"/>
      <c r="G3" s="2579"/>
      <c r="H3" s="2579"/>
      <c r="I3" s="2579"/>
      <c r="J3" s="2579"/>
      <c r="K3" s="2579"/>
      <c r="L3" s="2579"/>
      <c r="M3" s="2579"/>
      <c r="N3" s="1070"/>
    </row>
    <row r="4" spans="2:14" ht="15" x14ac:dyDescent="0.2">
      <c r="B4" s="2580" t="str">
        <f>'Single Audit Cover'!A4</f>
        <v>Year Ending June 30, 2020</v>
      </c>
      <c r="C4" s="2580"/>
      <c r="D4" s="2580"/>
      <c r="E4" s="2580"/>
      <c r="F4" s="2580"/>
      <c r="G4" s="2580"/>
      <c r="H4" s="2580"/>
      <c r="I4" s="2580"/>
      <c r="J4" s="2580"/>
      <c r="K4" s="2580"/>
      <c r="L4" s="2580"/>
      <c r="M4" s="258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2092</v>
      </c>
      <c r="C11" s="1813"/>
      <c r="D11" s="1814"/>
      <c r="E11" s="1815">
        <f>' SEFA'!E28+' SEFA'!E24+' SEFA'!E15</f>
        <v>641735</v>
      </c>
      <c r="F11" s="1815">
        <f>' SEFA'!F28+' SEFA'!F24+' SEFA'!F15</f>
        <v>1173357</v>
      </c>
      <c r="G11" s="1815">
        <f>' SEFA'!G28+' SEFA'!G24+' SEFA'!G15</f>
        <v>641735</v>
      </c>
      <c r="H11" s="1815">
        <f>' SEFA'!H28+' SEFA'!H24+' SEFA'!H15</f>
        <v>0</v>
      </c>
      <c r="I11" s="1815">
        <f>' SEFA'!I28+' SEFA'!I24+' SEFA'!I15</f>
        <v>1173357</v>
      </c>
      <c r="J11" s="1815">
        <f>' SEFA'!J28+' SEFA'!J24+' SEFA'!J15</f>
        <v>0</v>
      </c>
      <c r="K11" s="1815">
        <f>' SEFA'!K28+' SEFA'!K24+' SEFA'!K15</f>
        <v>0</v>
      </c>
      <c r="L11" s="1815">
        <f>' SEFA'!L28+' SEFA'!L24+' SEFA'!L15</f>
        <v>1815092</v>
      </c>
      <c r="M11" s="1815">
        <f>' SEFA'!M28+' SEFA'!M24+' SEFA'!M15</f>
        <v>0</v>
      </c>
    </row>
    <row r="12" spans="2:14" ht="20.100000000000001" customHeight="1" x14ac:dyDescent="0.2">
      <c r="B12" s="1105"/>
      <c r="C12" s="1816"/>
      <c r="D12" s="1817"/>
      <c r="E12" s="1818"/>
      <c r="F12" s="1818"/>
      <c r="G12" s="1818"/>
      <c r="H12" s="1818"/>
      <c r="I12" s="1818"/>
      <c r="J12" s="1818"/>
      <c r="K12" s="1818"/>
      <c r="L12" s="1815"/>
      <c r="M12" s="1818"/>
    </row>
    <row r="13" spans="2:14" ht="20.100000000000001" customHeight="1" x14ac:dyDescent="0.2">
      <c r="B13" s="1105" t="s">
        <v>2093</v>
      </c>
      <c r="C13" s="1816"/>
      <c r="D13" s="1817"/>
      <c r="E13" s="1818">
        <f>E11</f>
        <v>641735</v>
      </c>
      <c r="F13" s="1818">
        <f t="shared" ref="F13:M13" si="0">F11</f>
        <v>1173357</v>
      </c>
      <c r="G13" s="1818">
        <f t="shared" si="0"/>
        <v>641735</v>
      </c>
      <c r="H13" s="1818">
        <f t="shared" si="0"/>
        <v>0</v>
      </c>
      <c r="I13" s="1818">
        <f t="shared" si="0"/>
        <v>1173357</v>
      </c>
      <c r="J13" s="1818">
        <f t="shared" si="0"/>
        <v>0</v>
      </c>
      <c r="K13" s="1818">
        <f t="shared" si="0"/>
        <v>0</v>
      </c>
      <c r="L13" s="1818">
        <f t="shared" si="0"/>
        <v>1815092</v>
      </c>
      <c r="M13" s="1818">
        <f t="shared" si="0"/>
        <v>0</v>
      </c>
    </row>
    <row r="14" spans="2:14" ht="20.100000000000001" customHeight="1" x14ac:dyDescent="0.2">
      <c r="B14" s="1105"/>
      <c r="C14" s="1816"/>
      <c r="D14" s="1817"/>
      <c r="E14" s="1818"/>
      <c r="F14" s="1818"/>
      <c r="G14" s="1818"/>
      <c r="H14" s="1818"/>
      <c r="I14" s="1818"/>
      <c r="J14" s="1818"/>
      <c r="K14" s="1818"/>
      <c r="L14" s="1815"/>
      <c r="M14" s="1818"/>
    </row>
    <row r="15" spans="2:14" ht="20.100000000000001" customHeight="1" x14ac:dyDescent="0.2">
      <c r="B15" s="1105" t="s">
        <v>2094</v>
      </c>
      <c r="C15" s="1816"/>
      <c r="D15" s="1817"/>
      <c r="E15" s="1818"/>
      <c r="F15" s="1818"/>
      <c r="G15" s="1818"/>
      <c r="H15" s="1818"/>
      <c r="I15" s="1818"/>
      <c r="J15" s="1818"/>
      <c r="K15" s="1818"/>
      <c r="L15" s="1815"/>
      <c r="M15" s="1818"/>
    </row>
    <row r="16" spans="2:14" ht="20.100000000000001" customHeight="1" x14ac:dyDescent="0.2">
      <c r="B16" s="1105" t="s">
        <v>2076</v>
      </c>
      <c r="C16" s="1816"/>
      <c r="D16" s="1817"/>
      <c r="E16" s="1818"/>
      <c r="F16" s="1818"/>
      <c r="G16" s="1818"/>
      <c r="H16" s="1818"/>
      <c r="I16" s="1818"/>
      <c r="J16" s="1818"/>
      <c r="K16" s="1818"/>
      <c r="L16" s="1815"/>
      <c r="M16" s="1818"/>
    </row>
    <row r="17" spans="2:14" ht="20.100000000000001" customHeight="1" x14ac:dyDescent="0.2">
      <c r="B17" s="1105" t="s">
        <v>2095</v>
      </c>
      <c r="C17" s="1816">
        <v>84.01</v>
      </c>
      <c r="D17" s="1817" t="s">
        <v>2097</v>
      </c>
      <c r="E17" s="1818">
        <v>547254</v>
      </c>
      <c r="F17" s="1818">
        <v>408388</v>
      </c>
      <c r="G17" s="1818">
        <v>760834</v>
      </c>
      <c r="H17" s="1818"/>
      <c r="I17" s="1818">
        <v>191358</v>
      </c>
      <c r="J17" s="1818"/>
      <c r="K17" s="1818"/>
      <c r="L17" s="1815">
        <f t="shared" ref="L17:L26" si="1">+G17+I17+K17</f>
        <v>952192</v>
      </c>
      <c r="M17" s="1818">
        <v>1052997</v>
      </c>
    </row>
    <row r="18" spans="2:14" ht="20.100000000000001" customHeight="1" x14ac:dyDescent="0.2">
      <c r="B18" s="1105" t="s">
        <v>2095</v>
      </c>
      <c r="C18" s="1816">
        <v>84.01</v>
      </c>
      <c r="D18" s="1816" t="s">
        <v>2098</v>
      </c>
      <c r="E18" s="1818"/>
      <c r="F18" s="1818">
        <v>479253</v>
      </c>
      <c r="G18" s="1818"/>
      <c r="H18" s="1818"/>
      <c r="I18" s="1818">
        <v>691899</v>
      </c>
      <c r="J18" s="1818"/>
      <c r="K18" s="1818">
        <v>217601</v>
      </c>
      <c r="L18" s="1815">
        <f t="shared" si="1"/>
        <v>909500</v>
      </c>
      <c r="M18" s="1818">
        <v>909500</v>
      </c>
    </row>
    <row r="19" spans="2:14" ht="20.100000000000001" customHeight="1" x14ac:dyDescent="0.2">
      <c r="B19" s="1105" t="s">
        <v>2095</v>
      </c>
      <c r="C19" s="1816">
        <v>84.01</v>
      </c>
      <c r="D19" s="1816" t="s">
        <v>2099</v>
      </c>
      <c r="E19" s="1818">
        <v>2771</v>
      </c>
      <c r="F19" s="1818">
        <v>28617</v>
      </c>
      <c r="G19" s="1818">
        <v>31388</v>
      </c>
      <c r="H19" s="1818"/>
      <c r="I19" s="1818"/>
      <c r="J19" s="1818"/>
      <c r="K19" s="1818"/>
      <c r="L19" s="1815">
        <f t="shared" si="1"/>
        <v>31388</v>
      </c>
      <c r="M19" s="1818">
        <v>77201</v>
      </c>
    </row>
    <row r="20" spans="2:14" ht="20.100000000000001" customHeight="1" x14ac:dyDescent="0.2">
      <c r="B20" s="1105" t="s">
        <v>2095</v>
      </c>
      <c r="C20" s="1816">
        <v>84.01</v>
      </c>
      <c r="D20" s="1816" t="s">
        <v>2100</v>
      </c>
      <c r="E20" s="1818"/>
      <c r="F20" s="1818">
        <v>30187</v>
      </c>
      <c r="G20" s="1818"/>
      <c r="H20" s="1818"/>
      <c r="I20" s="1818">
        <v>40408</v>
      </c>
      <c r="J20" s="1818"/>
      <c r="K20" s="1818">
        <v>19592</v>
      </c>
      <c r="L20" s="1815">
        <f t="shared" si="1"/>
        <v>60000</v>
      </c>
      <c r="M20" s="1818">
        <v>60000</v>
      </c>
    </row>
    <row r="21" spans="2:14" ht="20.100000000000001" customHeight="1" x14ac:dyDescent="0.2">
      <c r="B21" s="1105" t="s">
        <v>2096</v>
      </c>
      <c r="C21" s="1816"/>
      <c r="D21" s="1816"/>
      <c r="E21" s="1818">
        <f>SUM(E17:E20)</f>
        <v>550025</v>
      </c>
      <c r="F21" s="1818">
        <f t="shared" ref="F21:M21" si="2">SUM(F17:F20)</f>
        <v>946445</v>
      </c>
      <c r="G21" s="1818">
        <f t="shared" si="2"/>
        <v>792222</v>
      </c>
      <c r="H21" s="1818">
        <f t="shared" si="2"/>
        <v>0</v>
      </c>
      <c r="I21" s="1818">
        <f t="shared" si="2"/>
        <v>923665</v>
      </c>
      <c r="J21" s="1818">
        <f t="shared" si="2"/>
        <v>0</v>
      </c>
      <c r="K21" s="1818">
        <f t="shared" si="2"/>
        <v>237193</v>
      </c>
      <c r="L21" s="1818">
        <f t="shared" si="2"/>
        <v>1953080</v>
      </c>
      <c r="M21" s="1818">
        <f t="shared" si="2"/>
        <v>2099698</v>
      </c>
    </row>
    <row r="22" spans="2:14" ht="20.100000000000001" customHeight="1" x14ac:dyDescent="0.2">
      <c r="B22" s="1105"/>
      <c r="C22" s="1816"/>
      <c r="D22" s="1816"/>
      <c r="E22" s="1818"/>
      <c r="F22" s="1818"/>
      <c r="G22" s="1818"/>
      <c r="H22" s="1818"/>
      <c r="I22" s="1818"/>
      <c r="J22" s="1818"/>
      <c r="K22" s="1818"/>
      <c r="L22" s="1815"/>
      <c r="M22" s="1818"/>
    </row>
    <row r="23" spans="2:14" ht="20.100000000000001" customHeight="1" x14ac:dyDescent="0.2">
      <c r="B23" s="1105" t="s">
        <v>2076</v>
      </c>
      <c r="C23" s="1816"/>
      <c r="D23" s="1816"/>
      <c r="E23" s="1818"/>
      <c r="F23" s="1818"/>
      <c r="G23" s="1818"/>
      <c r="H23" s="1818"/>
      <c r="I23" s="1818"/>
      <c r="J23" s="1818"/>
      <c r="K23" s="1818"/>
      <c r="L23" s="1815"/>
      <c r="M23" s="1818"/>
    </row>
    <row r="24" spans="2:14" ht="20.100000000000001" customHeight="1" x14ac:dyDescent="0.2">
      <c r="B24" s="1105" t="s">
        <v>2101</v>
      </c>
      <c r="C24" s="1816">
        <v>84.027000000000001</v>
      </c>
      <c r="D24" s="1817" t="s">
        <v>2104</v>
      </c>
      <c r="E24" s="1818">
        <v>296731</v>
      </c>
      <c r="F24" s="1818">
        <v>211971</v>
      </c>
      <c r="G24" s="1818">
        <v>432889</v>
      </c>
      <c r="H24" s="1818"/>
      <c r="I24" s="1818">
        <v>75813</v>
      </c>
      <c r="J24" s="1818"/>
      <c r="K24" s="1818"/>
      <c r="L24" s="1815">
        <f t="shared" si="1"/>
        <v>508702</v>
      </c>
      <c r="M24" s="1818">
        <v>599837</v>
      </c>
    </row>
    <row r="25" spans="2:14" ht="20.100000000000001" customHeight="1" x14ac:dyDescent="0.2">
      <c r="B25" s="1105" t="s">
        <v>2101</v>
      </c>
      <c r="C25" s="1816">
        <v>84.027000000000001</v>
      </c>
      <c r="D25" s="1817" t="s">
        <v>2105</v>
      </c>
      <c r="E25" s="1818"/>
      <c r="F25" s="1818">
        <v>315746</v>
      </c>
      <c r="G25" s="1818"/>
      <c r="H25" s="1818"/>
      <c r="I25" s="1818">
        <v>422869</v>
      </c>
      <c r="J25" s="1818"/>
      <c r="K25" s="1818">
        <v>106292</v>
      </c>
      <c r="L25" s="1815">
        <f t="shared" si="1"/>
        <v>529161</v>
      </c>
      <c r="M25" s="1818">
        <v>529161</v>
      </c>
    </row>
    <row r="26" spans="2:14" ht="20.100000000000001" customHeight="1" x14ac:dyDescent="0.2">
      <c r="B26" s="1105" t="s">
        <v>2102</v>
      </c>
      <c r="C26" s="1816">
        <v>84.027000000000001</v>
      </c>
      <c r="D26" s="1817" t="s">
        <v>2106</v>
      </c>
      <c r="E26" s="1818"/>
      <c r="F26" s="1818">
        <v>11400</v>
      </c>
      <c r="G26" s="1818"/>
      <c r="H26" s="1818"/>
      <c r="I26" s="1818">
        <v>11400</v>
      </c>
      <c r="J26" s="1818"/>
      <c r="K26" s="1818"/>
      <c r="L26" s="1815">
        <f t="shared" si="1"/>
        <v>11400</v>
      </c>
      <c r="M26" s="1818"/>
    </row>
    <row r="27" spans="2:14" ht="20.100000000000001" customHeight="1" x14ac:dyDescent="0.2">
      <c r="B27" s="1105" t="s">
        <v>2103</v>
      </c>
      <c r="C27" s="1816"/>
      <c r="D27" s="1817"/>
      <c r="E27" s="1818">
        <f>SUM(E24:E26)</f>
        <v>296731</v>
      </c>
      <c r="F27" s="1818">
        <f t="shared" ref="F27:M27" si="3">SUM(F24:F26)</f>
        <v>539117</v>
      </c>
      <c r="G27" s="1818">
        <f t="shared" si="3"/>
        <v>432889</v>
      </c>
      <c r="H27" s="1818">
        <f t="shared" si="3"/>
        <v>0</v>
      </c>
      <c r="I27" s="1818">
        <f t="shared" si="3"/>
        <v>510082</v>
      </c>
      <c r="J27" s="1818">
        <f t="shared" si="3"/>
        <v>0</v>
      </c>
      <c r="K27" s="1818">
        <f t="shared" si="3"/>
        <v>106292</v>
      </c>
      <c r="L27" s="1818">
        <f t="shared" si="3"/>
        <v>1049263</v>
      </c>
      <c r="M27" s="1818">
        <f t="shared" si="3"/>
        <v>1128998</v>
      </c>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20" colorId="8" zoomScaleNormal="100" workbookViewId="0">
      <selection activeCell="P38" sqref="P3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1160</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2019</v>
      </c>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4" t="s">
        <v>1619</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2019</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36837</v>
      </c>
      <c r="I53" s="232" t="s">
        <v>1469</v>
      </c>
    </row>
    <row r="54" spans="1:10" s="176" customFormat="1" x14ac:dyDescent="0.2">
      <c r="A54" s="214"/>
      <c r="B54" s="215" t="s">
        <v>2019</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t="s">
        <v>2037</v>
      </c>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1314</v>
      </c>
      <c r="B70" s="2177"/>
      <c r="C70" s="2177"/>
      <c r="D70" s="2177"/>
      <c r="E70" s="2178"/>
      <c r="F70" s="2178"/>
      <c r="G70" s="2178"/>
      <c r="H70" s="2178"/>
      <c r="I70" s="217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1311</v>
      </c>
      <c r="B83" s="2179"/>
      <c r="C83" s="2179"/>
      <c r="D83" s="218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0" t="s">
        <v>1989</v>
      </c>
      <c r="B85" s="2190"/>
      <c r="C85" s="2190"/>
      <c r="D85" s="2191"/>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192" t="s">
        <v>1989</v>
      </c>
      <c r="B88" s="2193"/>
      <c r="C88" s="2193"/>
      <c r="D88" s="2194"/>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c r="D114" s="217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1321</v>
      </c>
      <c r="D117" s="2172"/>
      <c r="E117" s="2173"/>
      <c r="F117" s="2173"/>
      <c r="G117" s="2173"/>
      <c r="H117" s="2173"/>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1873</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2FF5-FD02-404E-A0EA-056D20FA1676}">
  <sheetPr>
    <tabColor rgb="FF92D050"/>
  </sheetPr>
  <dimension ref="B1:N153"/>
  <sheetViews>
    <sheetView showGridLines="0" zoomScaleNormal="100" workbookViewId="0">
      <selection activeCell="B23" sqref="B23"/>
    </sheetView>
  </sheetViews>
  <sheetFormatPr defaultColWidth="33.5703125" defaultRowHeight="12.75" x14ac:dyDescent="0.2"/>
  <cols>
    <col min="1" max="1" width="0.140625" style="295" customWidth="1"/>
    <col min="2" max="2" width="33.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2" t="str">
        <f>'Single Audit Cover'!A7</f>
        <v>Massac County Community Unit S.D. #1</v>
      </c>
      <c r="C1" s="2577"/>
      <c r="D1" s="2577"/>
      <c r="E1" s="2577"/>
      <c r="F1" s="2577"/>
      <c r="G1" s="2577"/>
      <c r="H1" s="2577"/>
      <c r="I1" s="2577"/>
      <c r="J1" s="2577"/>
      <c r="K1" s="2577"/>
      <c r="L1" s="2577"/>
      <c r="M1" s="2577"/>
    </row>
    <row r="2" spans="2:14" ht="15" x14ac:dyDescent="0.2">
      <c r="B2" s="2578" t="str">
        <f>'Single Audit Cover'!E7</f>
        <v>021-061-0010-26</v>
      </c>
      <c r="C2" s="2578"/>
      <c r="D2" s="2578"/>
      <c r="E2" s="2578"/>
      <c r="F2" s="2578"/>
      <c r="G2" s="2578"/>
      <c r="H2" s="2578"/>
      <c r="I2" s="2578"/>
      <c r="J2" s="2578"/>
      <c r="K2" s="2578"/>
      <c r="L2" s="2578"/>
      <c r="M2" s="2578"/>
      <c r="N2" s="1070"/>
    </row>
    <row r="3" spans="2:14" ht="15" x14ac:dyDescent="0.2">
      <c r="B3" s="2579" t="s">
        <v>1210</v>
      </c>
      <c r="C3" s="2579"/>
      <c r="D3" s="2579"/>
      <c r="E3" s="2579"/>
      <c r="F3" s="2579"/>
      <c r="G3" s="2579"/>
      <c r="H3" s="2579"/>
      <c r="I3" s="2579"/>
      <c r="J3" s="2579"/>
      <c r="K3" s="2579"/>
      <c r="L3" s="2579"/>
      <c r="M3" s="2579"/>
      <c r="N3" s="1070"/>
    </row>
    <row r="4" spans="2:14" ht="15" x14ac:dyDescent="0.2">
      <c r="B4" s="2580" t="str">
        <f>'Single Audit Cover'!A4</f>
        <v>Year Ending June 30, 2020</v>
      </c>
      <c r="C4" s="2580"/>
      <c r="D4" s="2580"/>
      <c r="E4" s="2580"/>
      <c r="F4" s="2580"/>
      <c r="G4" s="2580"/>
      <c r="H4" s="2580"/>
      <c r="I4" s="2580"/>
      <c r="J4" s="2580"/>
      <c r="K4" s="2580"/>
      <c r="L4" s="2580"/>
      <c r="M4" s="258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2076</v>
      </c>
      <c r="C11" s="1813"/>
      <c r="D11" s="1814"/>
      <c r="E11" s="1815"/>
      <c r="F11" s="1815"/>
      <c r="G11" s="1815"/>
      <c r="H11" s="1815"/>
      <c r="I11" s="1815"/>
      <c r="J11" s="1815"/>
      <c r="K11" s="1815"/>
      <c r="L11" s="1815"/>
      <c r="M11" s="1815"/>
    </row>
    <row r="12" spans="2:14" ht="20.100000000000001" customHeight="1" x14ac:dyDescent="0.2">
      <c r="B12" s="1105" t="s">
        <v>2109</v>
      </c>
      <c r="C12" s="1816">
        <v>84.173000000000002</v>
      </c>
      <c r="D12" s="1817" t="s">
        <v>2107</v>
      </c>
      <c r="E12" s="1818">
        <v>32800</v>
      </c>
      <c r="F12" s="1818">
        <v>1600</v>
      </c>
      <c r="G12" s="1818">
        <v>34400</v>
      </c>
      <c r="H12" s="1818"/>
      <c r="I12" s="1818"/>
      <c r="J12" s="1818"/>
      <c r="K12" s="1818"/>
      <c r="L12" s="1815">
        <f t="shared" ref="L12:L13" si="0">+G12+I12+K12</f>
        <v>34400</v>
      </c>
      <c r="M12" s="1818">
        <v>34400</v>
      </c>
    </row>
    <row r="13" spans="2:14" ht="20.100000000000001" customHeight="1" x14ac:dyDescent="0.2">
      <c r="B13" s="1105" t="s">
        <v>2109</v>
      </c>
      <c r="C13" s="1816">
        <v>84.173000000000002</v>
      </c>
      <c r="D13" s="1817" t="s">
        <v>2108</v>
      </c>
      <c r="E13" s="1818"/>
      <c r="F13" s="1818">
        <v>12662</v>
      </c>
      <c r="G13" s="1818"/>
      <c r="H13" s="1818"/>
      <c r="I13" s="1818">
        <v>19671</v>
      </c>
      <c r="J13" s="1818"/>
      <c r="K13" s="1818">
        <v>20662</v>
      </c>
      <c r="L13" s="1815">
        <f t="shared" si="0"/>
        <v>40333</v>
      </c>
      <c r="M13" s="1818">
        <v>40333</v>
      </c>
    </row>
    <row r="14" spans="2:14" ht="20.100000000000001" customHeight="1" x14ac:dyDescent="0.2">
      <c r="B14" s="1105" t="s">
        <v>2110</v>
      </c>
      <c r="C14" s="1816"/>
      <c r="D14" s="1817"/>
      <c r="E14" s="1818">
        <f>E12+E13</f>
        <v>32800</v>
      </c>
      <c r="F14" s="1818">
        <f t="shared" ref="F14:M14" si="1">F12+F13</f>
        <v>14262</v>
      </c>
      <c r="G14" s="1818">
        <f t="shared" si="1"/>
        <v>34400</v>
      </c>
      <c r="H14" s="1818">
        <f t="shared" si="1"/>
        <v>0</v>
      </c>
      <c r="I14" s="1818">
        <f t="shared" si="1"/>
        <v>19671</v>
      </c>
      <c r="J14" s="1818">
        <f t="shared" si="1"/>
        <v>0</v>
      </c>
      <c r="K14" s="1818">
        <f t="shared" si="1"/>
        <v>20662</v>
      </c>
      <c r="L14" s="1818">
        <f t="shared" si="1"/>
        <v>74733</v>
      </c>
      <c r="M14" s="1818">
        <f t="shared" si="1"/>
        <v>74733</v>
      </c>
    </row>
    <row r="15" spans="2:14" ht="20.100000000000001" customHeight="1" x14ac:dyDescent="0.2">
      <c r="B15" s="1105"/>
      <c r="C15" s="1816"/>
      <c r="D15" s="1817"/>
      <c r="E15" s="1818"/>
      <c r="F15" s="1818"/>
      <c r="G15" s="1818"/>
      <c r="H15" s="1818"/>
      <c r="I15" s="1818"/>
      <c r="J15" s="1818"/>
      <c r="K15" s="1818"/>
      <c r="L15" s="1815"/>
      <c r="M15" s="1818"/>
    </row>
    <row r="16" spans="2:14" ht="20.100000000000001" customHeight="1" x14ac:dyDescent="0.2">
      <c r="B16" s="1105" t="s">
        <v>2111</v>
      </c>
      <c r="C16" s="1816"/>
      <c r="D16" s="1817"/>
      <c r="E16" s="1818">
        <f>E14+' SEFA (2)'!E27</f>
        <v>329531</v>
      </c>
      <c r="F16" s="1818">
        <f>F14+' SEFA (2)'!F27</f>
        <v>553379</v>
      </c>
      <c r="G16" s="1818">
        <f>G14+' SEFA (2)'!G27</f>
        <v>467289</v>
      </c>
      <c r="H16" s="1818">
        <f>H14+' SEFA (2)'!H27</f>
        <v>0</v>
      </c>
      <c r="I16" s="1818">
        <f>I14+' SEFA (2)'!I27</f>
        <v>529753</v>
      </c>
      <c r="J16" s="1818">
        <f>J14+' SEFA (2)'!J27</f>
        <v>0</v>
      </c>
      <c r="K16" s="1818">
        <f>K14+' SEFA (2)'!K27</f>
        <v>126954</v>
      </c>
      <c r="L16" s="1818">
        <f>L14+' SEFA (2)'!L27</f>
        <v>1123996</v>
      </c>
      <c r="M16" s="1818">
        <f>M14+' SEFA (2)'!M27</f>
        <v>1203731</v>
      </c>
    </row>
    <row r="17" spans="2:14" ht="20.100000000000001" customHeight="1" x14ac:dyDescent="0.2">
      <c r="B17" s="1105"/>
      <c r="C17" s="1816"/>
      <c r="D17" s="1817"/>
      <c r="E17" s="1818"/>
      <c r="F17" s="1818"/>
      <c r="G17" s="1818"/>
      <c r="H17" s="1818"/>
      <c r="I17" s="1818"/>
      <c r="J17" s="1818"/>
      <c r="K17" s="1818"/>
      <c r="L17" s="1815"/>
      <c r="M17" s="1818"/>
    </row>
    <row r="18" spans="2:14" ht="20.100000000000001" customHeight="1" x14ac:dyDescent="0.2">
      <c r="B18" s="1105" t="s">
        <v>2112</v>
      </c>
      <c r="C18" s="1816"/>
      <c r="D18" s="1816"/>
      <c r="E18" s="1818"/>
      <c r="F18" s="1818"/>
      <c r="G18" s="1818"/>
      <c r="H18" s="1818"/>
      <c r="I18" s="1818"/>
      <c r="J18" s="1818"/>
      <c r="K18" s="1818"/>
      <c r="L18" s="1815"/>
      <c r="M18" s="1818"/>
    </row>
    <row r="19" spans="2:14" ht="20.100000000000001" customHeight="1" x14ac:dyDescent="0.2">
      <c r="B19" s="1105" t="s">
        <v>2113</v>
      </c>
      <c r="C19" s="1816">
        <v>84.358000000000004</v>
      </c>
      <c r="D19" s="1816" t="s">
        <v>2115</v>
      </c>
      <c r="E19" s="1818">
        <v>37861</v>
      </c>
      <c r="F19" s="1818"/>
      <c r="G19" s="1818">
        <v>37861</v>
      </c>
      <c r="H19" s="1818"/>
      <c r="I19" s="1818"/>
      <c r="J19" s="1818"/>
      <c r="K19" s="1818"/>
      <c r="L19" s="1815">
        <f t="shared" ref="L19:L25" si="2">+G19+I19+K19</f>
        <v>37861</v>
      </c>
      <c r="M19" s="1818">
        <v>39565</v>
      </c>
    </row>
    <row r="20" spans="2:14" ht="20.100000000000001" customHeight="1" x14ac:dyDescent="0.2">
      <c r="B20" s="1105" t="s">
        <v>2113</v>
      </c>
      <c r="C20" s="1816">
        <v>84.358000000000004</v>
      </c>
      <c r="D20" s="1816" t="s">
        <v>2116</v>
      </c>
      <c r="E20" s="1818"/>
      <c r="F20" s="1818">
        <v>37775</v>
      </c>
      <c r="G20" s="1818"/>
      <c r="H20" s="1818"/>
      <c r="I20" s="1818">
        <v>37775</v>
      </c>
      <c r="J20" s="1818"/>
      <c r="K20" s="1818">
        <v>2287</v>
      </c>
      <c r="L20" s="1815">
        <f t="shared" si="2"/>
        <v>40062</v>
      </c>
      <c r="M20" s="1818">
        <v>40062</v>
      </c>
    </row>
    <row r="21" spans="2:14" ht="20.100000000000001" customHeight="1" x14ac:dyDescent="0.2">
      <c r="B21" s="1105" t="s">
        <v>2114</v>
      </c>
      <c r="C21" s="1816"/>
      <c r="D21" s="1816"/>
      <c r="E21" s="1818">
        <f>E19+E20</f>
        <v>37861</v>
      </c>
      <c r="F21" s="1818">
        <f t="shared" ref="F21:M21" si="3">F19+F20</f>
        <v>37775</v>
      </c>
      <c r="G21" s="1818">
        <f t="shared" si="3"/>
        <v>37861</v>
      </c>
      <c r="H21" s="1818">
        <f t="shared" si="3"/>
        <v>0</v>
      </c>
      <c r="I21" s="1818">
        <f t="shared" si="3"/>
        <v>37775</v>
      </c>
      <c r="J21" s="1818">
        <f t="shared" si="3"/>
        <v>0</v>
      </c>
      <c r="K21" s="1818">
        <f t="shared" si="3"/>
        <v>2287</v>
      </c>
      <c r="L21" s="1818">
        <f t="shared" si="3"/>
        <v>77923</v>
      </c>
      <c r="M21" s="1818">
        <f t="shared" si="3"/>
        <v>79627</v>
      </c>
    </row>
    <row r="22" spans="2:14" ht="20.100000000000001" customHeight="1" x14ac:dyDescent="0.2">
      <c r="B22" s="1105"/>
      <c r="C22" s="1816"/>
      <c r="D22" s="1816"/>
      <c r="E22" s="1818"/>
      <c r="F22" s="1818"/>
      <c r="G22" s="1818"/>
      <c r="H22" s="1818"/>
      <c r="I22" s="1818"/>
      <c r="J22" s="1818"/>
      <c r="K22" s="1818"/>
      <c r="L22" s="1815"/>
      <c r="M22" s="1818"/>
    </row>
    <row r="23" spans="2:14" ht="20.100000000000001" customHeight="1" x14ac:dyDescent="0.2">
      <c r="B23" s="1105" t="s">
        <v>2076</v>
      </c>
      <c r="C23" s="1816"/>
      <c r="D23" s="1816"/>
      <c r="E23" s="1818"/>
      <c r="F23" s="1818"/>
      <c r="G23" s="1818"/>
      <c r="H23" s="1818"/>
      <c r="I23" s="1818"/>
      <c r="J23" s="1818"/>
      <c r="K23" s="1818"/>
      <c r="L23" s="1815"/>
      <c r="M23" s="1818"/>
    </row>
    <row r="24" spans="2:14" ht="20.100000000000001" customHeight="1" x14ac:dyDescent="0.2">
      <c r="B24" s="1105" t="s">
        <v>2117</v>
      </c>
      <c r="C24" s="1816">
        <v>84.367000000000004</v>
      </c>
      <c r="D24" s="1817" t="s">
        <v>2119</v>
      </c>
      <c r="E24" s="1818">
        <v>61690</v>
      </c>
      <c r="F24" s="1818">
        <v>32877</v>
      </c>
      <c r="G24" s="1818">
        <v>94567</v>
      </c>
      <c r="H24" s="1818"/>
      <c r="I24" s="1818"/>
      <c r="J24" s="1818"/>
      <c r="K24" s="1818"/>
      <c r="L24" s="1815">
        <f t="shared" si="2"/>
        <v>94567</v>
      </c>
      <c r="M24" s="1818">
        <v>103148</v>
      </c>
    </row>
    <row r="25" spans="2:14" ht="20.100000000000001" customHeight="1" x14ac:dyDescent="0.2">
      <c r="B25" s="1105" t="s">
        <v>2117</v>
      </c>
      <c r="C25" s="1816">
        <v>84.697000000000003</v>
      </c>
      <c r="D25" s="1817" t="s">
        <v>2120</v>
      </c>
      <c r="E25" s="1818"/>
      <c r="F25" s="1818">
        <v>79159</v>
      </c>
      <c r="G25" s="1818"/>
      <c r="H25" s="1818"/>
      <c r="I25" s="1818">
        <v>100844</v>
      </c>
      <c r="J25" s="1818"/>
      <c r="K25" s="1818">
        <v>9598</v>
      </c>
      <c r="L25" s="1815">
        <f t="shared" si="2"/>
        <v>110442</v>
      </c>
      <c r="M25" s="1818">
        <v>110442</v>
      </c>
    </row>
    <row r="26" spans="2:14" ht="20.100000000000001" customHeight="1" x14ac:dyDescent="0.2">
      <c r="B26" s="1105" t="s">
        <v>2118</v>
      </c>
      <c r="C26" s="1816"/>
      <c r="D26" s="1817"/>
      <c r="E26" s="1818">
        <f>E24+E25</f>
        <v>61690</v>
      </c>
      <c r="F26" s="1818">
        <f t="shared" ref="F26:M26" si="4">F24+F25</f>
        <v>112036</v>
      </c>
      <c r="G26" s="1818">
        <f t="shared" si="4"/>
        <v>94567</v>
      </c>
      <c r="H26" s="1818">
        <f t="shared" si="4"/>
        <v>0</v>
      </c>
      <c r="I26" s="1818">
        <f t="shared" si="4"/>
        <v>100844</v>
      </c>
      <c r="J26" s="1818">
        <f t="shared" si="4"/>
        <v>0</v>
      </c>
      <c r="K26" s="1818">
        <f t="shared" si="4"/>
        <v>9598</v>
      </c>
      <c r="L26" s="1818">
        <f>L24+L25</f>
        <v>205009</v>
      </c>
      <c r="M26" s="1818">
        <f t="shared" si="4"/>
        <v>213590</v>
      </c>
    </row>
    <row r="27" spans="2:14" ht="20.100000000000001" customHeight="1" x14ac:dyDescent="0.2">
      <c r="B27" s="1105"/>
      <c r="C27" s="1816"/>
      <c r="D27" s="1817"/>
      <c r="E27" s="1818"/>
      <c r="F27" s="1818"/>
      <c r="G27" s="1818"/>
      <c r="H27" s="1818"/>
      <c r="I27" s="1818"/>
      <c r="J27" s="1818"/>
      <c r="K27" s="1818"/>
      <c r="L27" s="1818"/>
      <c r="M27" s="1818"/>
    </row>
    <row r="28" spans="2:14" ht="20.100000000000001" customHeight="1" x14ac:dyDescent="0.2">
      <c r="B28" s="1105"/>
      <c r="C28" s="1816"/>
      <c r="D28" s="1817"/>
      <c r="E28" s="1818"/>
      <c r="F28" s="1818"/>
      <c r="G28" s="1818"/>
      <c r="H28" s="1818"/>
      <c r="I28" s="1818"/>
      <c r="J28" s="1818"/>
      <c r="K28" s="1818"/>
      <c r="L28" s="1818"/>
      <c r="M28" s="1818"/>
      <c r="N28" s="1106"/>
    </row>
    <row r="29" spans="2:14" ht="12.75" customHeight="1" x14ac:dyDescent="0.2">
      <c r="B29" s="1107"/>
      <c r="C29" s="1108"/>
      <c r="D29" s="1109"/>
      <c r="E29" s="1110"/>
      <c r="F29" s="1110"/>
      <c r="G29" s="1110"/>
      <c r="H29" s="1110"/>
      <c r="I29" s="1110"/>
      <c r="J29" s="1110"/>
      <c r="K29" s="1110"/>
      <c r="L29" s="1110"/>
      <c r="M29" s="1110"/>
      <c r="N29" s="1106"/>
    </row>
    <row r="30" spans="2:14" x14ac:dyDescent="0.2">
      <c r="B30" s="1025"/>
      <c r="C30" s="1111"/>
      <c r="D30" s="1112"/>
      <c r="E30" s="1025"/>
      <c r="F30" s="1025"/>
      <c r="G30" s="1018"/>
      <c r="H30" s="1018"/>
      <c r="I30" s="1018"/>
      <c r="J30" s="1018"/>
      <c r="K30" s="1018"/>
      <c r="L30" s="1018"/>
      <c r="M30" s="1025"/>
      <c r="N30" s="1106"/>
    </row>
    <row r="31" spans="2:14" ht="13.5" customHeight="1" x14ac:dyDescent="0.2">
      <c r="B31" s="1050" t="s">
        <v>1714</v>
      </c>
      <c r="C31" s="1111"/>
      <c r="D31" s="1112"/>
      <c r="E31" s="1025"/>
      <c r="F31" s="1025"/>
      <c r="G31" s="1018"/>
      <c r="H31" s="1018"/>
      <c r="I31" s="1018"/>
      <c r="J31" s="1018"/>
      <c r="K31" s="1018"/>
      <c r="L31" s="1018"/>
      <c r="M31" s="1025"/>
      <c r="N31" s="1106"/>
    </row>
    <row r="32" spans="2:14" ht="8.25" customHeight="1" x14ac:dyDescent="0.2">
      <c r="B32" s="1050"/>
      <c r="C32" s="1111"/>
      <c r="D32" s="1112"/>
      <c r="E32" s="1025"/>
      <c r="F32" s="1025"/>
      <c r="G32" s="1018"/>
      <c r="H32" s="1018"/>
      <c r="I32" s="1018"/>
      <c r="J32" s="1018"/>
      <c r="K32" s="1018"/>
      <c r="L32" s="1018"/>
      <c r="M32" s="1025"/>
      <c r="N32" s="1106"/>
    </row>
    <row r="33" spans="2:13" x14ac:dyDescent="0.2">
      <c r="B33" s="1113" t="s">
        <v>1812</v>
      </c>
      <c r="C33" s="1114"/>
      <c r="D33" s="1115"/>
      <c r="E33" s="1116"/>
      <c r="F33" s="1116"/>
      <c r="G33" s="1116"/>
      <c r="H33" s="1116"/>
      <c r="I33" s="295"/>
      <c r="J33" s="295"/>
    </row>
    <row r="34" spans="2:13" x14ac:dyDescent="0.2">
      <c r="B34" s="1045"/>
      <c r="C34" s="1117"/>
      <c r="D34" s="1118"/>
      <c r="E34" s="1046"/>
      <c r="F34" s="1046"/>
      <c r="G34" s="295"/>
      <c r="H34" s="295"/>
      <c r="I34" s="295"/>
      <c r="J34" s="295"/>
    </row>
    <row r="35" spans="2:13" ht="13.5" customHeight="1" x14ac:dyDescent="0.2">
      <c r="B35" s="1044" t="s">
        <v>1237</v>
      </c>
      <c r="G35" s="295"/>
      <c r="H35" s="295"/>
      <c r="I35" s="295"/>
      <c r="J35" s="295"/>
    </row>
    <row r="36" spans="2:13" ht="13.5" customHeight="1" x14ac:dyDescent="0.2">
      <c r="B36" s="1121"/>
      <c r="C36" s="1122"/>
      <c r="D36" s="1123"/>
      <c r="E36" s="1065"/>
      <c r="F36" s="1065"/>
      <c r="G36" s="1065"/>
      <c r="H36" s="1065"/>
      <c r="I36" s="1065"/>
      <c r="J36" s="1065"/>
      <c r="K36" s="1124"/>
      <c r="L36" s="1124"/>
      <c r="M36" s="1065"/>
    </row>
    <row r="37" spans="2:13" ht="9.6" customHeight="1" x14ac:dyDescent="0.2">
      <c r="B37" s="1125"/>
      <c r="G37" s="295"/>
      <c r="H37" s="295"/>
      <c r="I37" s="295"/>
      <c r="J37" s="295"/>
    </row>
    <row r="38" spans="2:13" ht="11.25" customHeight="1" x14ac:dyDescent="0.2">
      <c r="B38" s="1126" t="s">
        <v>1715</v>
      </c>
      <c r="C38" s="1127"/>
      <c r="D38" s="1127"/>
      <c r="E38" s="1127"/>
      <c r="F38" s="1127"/>
      <c r="G38" s="1127"/>
      <c r="H38" s="1127"/>
      <c r="I38" s="1128"/>
      <c r="J38" s="1128"/>
      <c r="K38" s="1128"/>
      <c r="L38" s="1128"/>
      <c r="M38" s="1128"/>
    </row>
    <row r="39" spans="2:13" ht="11.25" customHeight="1" x14ac:dyDescent="0.2">
      <c r="B39" s="1129" t="s">
        <v>1570</v>
      </c>
      <c r="C39" s="1128"/>
      <c r="D39" s="1128"/>
      <c r="E39" s="1128"/>
      <c r="F39" s="1128"/>
      <c r="G39" s="1128"/>
      <c r="H39" s="1128"/>
      <c r="I39" s="1128"/>
      <c r="J39" s="1128"/>
      <c r="K39" s="1128"/>
      <c r="L39" s="1128"/>
      <c r="M39" s="1128"/>
    </row>
    <row r="40" spans="2:13" ht="3.95" customHeight="1" x14ac:dyDescent="0.2">
      <c r="B40" s="1129"/>
      <c r="C40" s="1128"/>
      <c r="D40" s="1128"/>
      <c r="E40" s="1128"/>
      <c r="F40" s="1128"/>
      <c r="G40" s="1128"/>
      <c r="H40" s="1128"/>
      <c r="I40" s="1128"/>
      <c r="J40" s="1128"/>
      <c r="K40" s="1128"/>
      <c r="L40" s="1128"/>
      <c r="M40" s="1128"/>
    </row>
    <row r="41" spans="2:13" ht="11.25" customHeight="1" x14ac:dyDescent="0.2">
      <c r="B41" s="1126" t="s">
        <v>1716</v>
      </c>
      <c r="C41" s="1128"/>
      <c r="D41" s="1128"/>
      <c r="E41" s="1128"/>
      <c r="F41" s="1128"/>
      <c r="G41" s="1128"/>
      <c r="H41" s="1128"/>
      <c r="I41" s="1128"/>
      <c r="J41" s="1128"/>
      <c r="K41" s="1128"/>
      <c r="L41" s="1128"/>
      <c r="M41" s="1128"/>
    </row>
    <row r="42" spans="2:13" ht="11.25" customHeight="1" x14ac:dyDescent="0.2">
      <c r="B42" s="1068" t="s">
        <v>1571</v>
      </c>
      <c r="C42" s="1130"/>
      <c r="D42" s="1131"/>
      <c r="E42" s="1068"/>
      <c r="F42" s="1068"/>
      <c r="G42" s="1068"/>
      <c r="H42" s="1068"/>
      <c r="I42" s="1068"/>
      <c r="J42" s="1068"/>
      <c r="K42" s="1132"/>
      <c r="L42" s="1132"/>
      <c r="M42" s="1068"/>
    </row>
    <row r="43" spans="2:13" ht="3.95" customHeight="1" x14ac:dyDescent="0.2">
      <c r="B43" s="1068"/>
      <c r="C43" s="1130"/>
      <c r="D43" s="1131"/>
      <c r="E43" s="1068"/>
      <c r="F43" s="1068"/>
      <c r="G43" s="1068"/>
      <c r="H43" s="1068"/>
      <c r="I43" s="1068"/>
      <c r="J43" s="1068"/>
      <c r="K43" s="1132"/>
      <c r="L43" s="1132"/>
      <c r="M43" s="1068"/>
    </row>
    <row r="44" spans="2:13" ht="11.25" customHeight="1" x14ac:dyDescent="0.2">
      <c r="B44" s="1133" t="s">
        <v>1717</v>
      </c>
      <c r="C44" s="1130"/>
      <c r="D44" s="1131"/>
      <c r="E44" s="1068"/>
      <c r="F44" s="1068"/>
      <c r="G44" s="1068"/>
      <c r="H44" s="1068"/>
      <c r="I44" s="1068"/>
      <c r="J44" s="1068"/>
      <c r="K44" s="1132"/>
      <c r="L44" s="1132"/>
      <c r="M44" s="1068"/>
    </row>
    <row r="45" spans="2:13" ht="3.95" customHeight="1" x14ac:dyDescent="0.2">
      <c r="B45" s="1133"/>
      <c r="C45" s="1130"/>
      <c r="D45" s="1131"/>
      <c r="E45" s="1068"/>
      <c r="F45" s="1068"/>
      <c r="G45" s="1068"/>
      <c r="H45" s="1068"/>
      <c r="I45" s="1068"/>
      <c r="J45" s="1068"/>
      <c r="K45" s="1132"/>
      <c r="L45" s="1132"/>
      <c r="M45" s="1068"/>
    </row>
    <row r="46" spans="2:13" ht="11.25" customHeight="1" x14ac:dyDescent="0.2">
      <c r="B46" s="1134" t="s">
        <v>1718</v>
      </c>
      <c r="C46" s="1130"/>
      <c r="D46" s="1131"/>
      <c r="E46" s="1068"/>
      <c r="F46" s="1068"/>
      <c r="G46" s="1068"/>
      <c r="H46" s="1068"/>
      <c r="I46" s="1068"/>
      <c r="J46" s="1068"/>
      <c r="K46" s="1132"/>
      <c r="L46" s="1132"/>
      <c r="M46" s="1068"/>
    </row>
    <row r="47" spans="2:13" ht="11.25" customHeight="1" x14ac:dyDescent="0.2">
      <c r="B47" s="1068" t="s">
        <v>1572</v>
      </c>
      <c r="G47" s="295"/>
      <c r="H47" s="295"/>
      <c r="I47" s="295"/>
      <c r="J47" s="295"/>
    </row>
    <row r="48" spans="2:13" ht="11.1" customHeight="1" x14ac:dyDescent="0.2">
      <c r="B48" s="1068"/>
      <c r="G48" s="295"/>
      <c r="H48" s="295"/>
      <c r="I48" s="295"/>
      <c r="J48" s="295"/>
    </row>
    <row r="49" spans="2:13" ht="11.1" customHeight="1" x14ac:dyDescent="0.2">
      <c r="B49" s="1068"/>
      <c r="G49" s="295"/>
      <c r="H49" s="295"/>
      <c r="I49" s="295"/>
      <c r="J49" s="295"/>
    </row>
    <row r="50" spans="2:13" ht="13.5" customHeight="1" x14ac:dyDescent="0.2">
      <c r="M50" s="1135"/>
    </row>
    <row r="51" spans="2:13" ht="13.5" customHeight="1" x14ac:dyDescent="0.2">
      <c r="M51" s="1135"/>
    </row>
    <row r="52" spans="2:13" ht="13.5" customHeight="1" x14ac:dyDescent="0.2">
      <c r="M52" s="1135"/>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18298-7A5C-4394-AFB9-B3715DE3B7E3}">
  <sheetPr>
    <tabColor rgb="FF92D050"/>
  </sheetPr>
  <dimension ref="B1:N153"/>
  <sheetViews>
    <sheetView showGridLines="0" topLeftCell="A10" zoomScaleNormal="100" workbookViewId="0">
      <selection activeCell="O24" sqref="O24"/>
    </sheetView>
  </sheetViews>
  <sheetFormatPr defaultColWidth="33.5703125" defaultRowHeight="12.75" x14ac:dyDescent="0.2"/>
  <cols>
    <col min="1" max="1" width="0.140625" style="295" customWidth="1"/>
    <col min="2" max="2" width="33.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2" t="str">
        <f>'Single Audit Cover'!A7</f>
        <v>Massac County Community Unit S.D. #1</v>
      </c>
      <c r="C1" s="2577"/>
      <c r="D1" s="2577"/>
      <c r="E1" s="2577"/>
      <c r="F1" s="2577"/>
      <c r="G1" s="2577"/>
      <c r="H1" s="2577"/>
      <c r="I1" s="2577"/>
      <c r="J1" s="2577"/>
      <c r="K1" s="2577"/>
      <c r="L1" s="2577"/>
      <c r="M1" s="2577"/>
    </row>
    <row r="2" spans="2:14" ht="15" x14ac:dyDescent="0.2">
      <c r="B2" s="2578" t="str">
        <f>'Single Audit Cover'!E7</f>
        <v>021-061-0010-26</v>
      </c>
      <c r="C2" s="2578"/>
      <c r="D2" s="2578"/>
      <c r="E2" s="2578"/>
      <c r="F2" s="2578"/>
      <c r="G2" s="2578"/>
      <c r="H2" s="2578"/>
      <c r="I2" s="2578"/>
      <c r="J2" s="2578"/>
      <c r="K2" s="2578"/>
      <c r="L2" s="2578"/>
      <c r="M2" s="2578"/>
      <c r="N2" s="1070"/>
    </row>
    <row r="3" spans="2:14" ht="15" x14ac:dyDescent="0.2">
      <c r="B3" s="2579" t="s">
        <v>1210</v>
      </c>
      <c r="C3" s="2579"/>
      <c r="D3" s="2579"/>
      <c r="E3" s="2579"/>
      <c r="F3" s="2579"/>
      <c r="G3" s="2579"/>
      <c r="H3" s="2579"/>
      <c r="I3" s="2579"/>
      <c r="J3" s="2579"/>
      <c r="K3" s="2579"/>
      <c r="L3" s="2579"/>
      <c r="M3" s="2579"/>
      <c r="N3" s="1070"/>
    </row>
    <row r="4" spans="2:14" ht="15" x14ac:dyDescent="0.2">
      <c r="B4" s="2580" t="str">
        <f>'Single Audit Cover'!A4</f>
        <v>Year Ending June 30, 2020</v>
      </c>
      <c r="C4" s="2580"/>
      <c r="D4" s="2580"/>
      <c r="E4" s="2580"/>
      <c r="F4" s="2580"/>
      <c r="G4" s="2580"/>
      <c r="H4" s="2580"/>
      <c r="I4" s="2580"/>
      <c r="J4" s="2580"/>
      <c r="K4" s="2580"/>
      <c r="L4" s="2580"/>
      <c r="M4" s="258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2076</v>
      </c>
      <c r="C11" s="1813"/>
      <c r="D11" s="1814"/>
      <c r="E11" s="1815"/>
      <c r="F11" s="1815"/>
      <c r="G11" s="1815"/>
      <c r="H11" s="1815"/>
      <c r="I11" s="1815"/>
      <c r="J11" s="1815"/>
      <c r="K11" s="1815"/>
      <c r="L11" s="1815"/>
      <c r="M11" s="1815"/>
    </row>
    <row r="12" spans="2:14" ht="20.100000000000001" customHeight="1" x14ac:dyDescent="0.2">
      <c r="B12" s="1105" t="s">
        <v>2214</v>
      </c>
      <c r="C12" s="1816">
        <v>84.424999999999997</v>
      </c>
      <c r="D12" s="1817" t="s">
        <v>2215</v>
      </c>
      <c r="E12" s="1818"/>
      <c r="F12" s="1818"/>
      <c r="G12" s="1818"/>
      <c r="H12" s="1818"/>
      <c r="I12" s="1818">
        <v>3350</v>
      </c>
      <c r="J12" s="1818"/>
      <c r="K12" s="1818"/>
      <c r="L12" s="1815">
        <f t="shared" ref="L12" si="0">+G12+I12+K12</f>
        <v>3350</v>
      </c>
      <c r="M12" s="1818">
        <v>628058</v>
      </c>
    </row>
    <row r="13" spans="2:14" ht="20.100000000000001" customHeight="1" x14ac:dyDescent="0.2">
      <c r="B13" s="1105" t="s">
        <v>2216</v>
      </c>
      <c r="C13" s="1816"/>
      <c r="D13" s="1817"/>
      <c r="E13" s="1818">
        <f>E12</f>
        <v>0</v>
      </c>
      <c r="F13" s="1818">
        <f t="shared" ref="F13:M13" si="1">F12</f>
        <v>0</v>
      </c>
      <c r="G13" s="1818">
        <f t="shared" si="1"/>
        <v>0</v>
      </c>
      <c r="H13" s="1818">
        <f t="shared" si="1"/>
        <v>0</v>
      </c>
      <c r="I13" s="1818">
        <f t="shared" si="1"/>
        <v>3350</v>
      </c>
      <c r="J13" s="1818">
        <f t="shared" si="1"/>
        <v>0</v>
      </c>
      <c r="K13" s="1818">
        <f t="shared" si="1"/>
        <v>0</v>
      </c>
      <c r="L13" s="1818">
        <f t="shared" si="1"/>
        <v>3350</v>
      </c>
      <c r="M13" s="1818">
        <f t="shared" si="1"/>
        <v>628058</v>
      </c>
    </row>
    <row r="14" spans="2:14" ht="20.100000000000001" customHeight="1" x14ac:dyDescent="0.2">
      <c r="B14" s="1105"/>
      <c r="C14" s="1816"/>
      <c r="D14" s="1817"/>
      <c r="E14" s="1818"/>
      <c r="F14" s="1818"/>
      <c r="G14" s="1818"/>
      <c r="H14" s="1818"/>
      <c r="I14" s="1818"/>
      <c r="J14" s="1818"/>
      <c r="K14" s="1818"/>
      <c r="L14" s="1818"/>
      <c r="M14" s="1818"/>
    </row>
    <row r="15" spans="2:14" ht="20.100000000000001" customHeight="1" x14ac:dyDescent="0.2">
      <c r="B15" s="1105" t="s">
        <v>2121</v>
      </c>
      <c r="C15" s="1816"/>
      <c r="D15" s="1817"/>
      <c r="E15" s="1818">
        <f>E13+' SEFA (3)'!E26+' SEFA (3)'!E21+' SEFA (3)'!E16+' SEFA (2)'!E21</f>
        <v>979107</v>
      </c>
      <c r="F15" s="1818">
        <f>F13+' SEFA (3)'!F26+' SEFA (3)'!F21+' SEFA (3)'!F16+' SEFA (2)'!F21</f>
        <v>1649635</v>
      </c>
      <c r="G15" s="1818">
        <f>G13+' SEFA (3)'!G26+' SEFA (3)'!G21+' SEFA (3)'!G16+' SEFA (2)'!G21</f>
        <v>1391939</v>
      </c>
      <c r="H15" s="1818">
        <f>H13+' SEFA (3)'!H26+' SEFA (3)'!H21+' SEFA (3)'!H16+' SEFA (2)'!H21</f>
        <v>0</v>
      </c>
      <c r="I15" s="1818">
        <f>I13+' SEFA (3)'!I26+' SEFA (3)'!I21+' SEFA (3)'!I16+' SEFA (2)'!I21</f>
        <v>1595387</v>
      </c>
      <c r="J15" s="1818">
        <f>J13+' SEFA (3)'!J26+' SEFA (3)'!J21+' SEFA (3)'!J16+' SEFA (2)'!J21</f>
        <v>0</v>
      </c>
      <c r="K15" s="1818">
        <f>K13+' SEFA (3)'!K26+' SEFA (3)'!K21+' SEFA (3)'!K16+' SEFA (2)'!K21</f>
        <v>376032</v>
      </c>
      <c r="L15" s="1818">
        <f>L13+' SEFA (3)'!L26+' SEFA (3)'!L21+' SEFA (3)'!L16+' SEFA (2)'!L21</f>
        <v>3363358</v>
      </c>
      <c r="M15" s="1818">
        <f>M13+' SEFA (3)'!M26+' SEFA (3)'!M21+' SEFA (3)'!M16+' SEFA (2)'!M21</f>
        <v>4224704</v>
      </c>
    </row>
    <row r="16" spans="2:14" ht="20.100000000000001" customHeight="1" x14ac:dyDescent="0.2">
      <c r="B16" s="1105"/>
      <c r="C16" s="1816"/>
      <c r="D16" s="1817"/>
      <c r="E16" s="1818"/>
      <c r="F16" s="1818"/>
      <c r="G16" s="1818"/>
      <c r="H16" s="1818"/>
      <c r="I16" s="1818"/>
      <c r="J16" s="1818"/>
      <c r="K16" s="1818"/>
      <c r="L16" s="1818"/>
      <c r="M16" s="1818"/>
    </row>
    <row r="17" spans="2:14" ht="20.100000000000001" customHeight="1" x14ac:dyDescent="0.2">
      <c r="B17" s="1105" t="s">
        <v>2122</v>
      </c>
      <c r="C17" s="1813"/>
      <c r="D17" s="1814"/>
      <c r="E17" s="1815"/>
      <c r="F17" s="1815"/>
      <c r="G17" s="1815"/>
      <c r="H17" s="1815"/>
      <c r="I17" s="1815"/>
      <c r="J17" s="1815"/>
      <c r="K17" s="1815"/>
      <c r="L17" s="1815"/>
      <c r="M17" s="1815"/>
    </row>
    <row r="18" spans="2:14" ht="20.100000000000001" customHeight="1" x14ac:dyDescent="0.2">
      <c r="B18" s="1105" t="s">
        <v>2123</v>
      </c>
      <c r="C18" s="1816"/>
      <c r="D18" s="1817"/>
      <c r="E18" s="1818"/>
      <c r="F18" s="1818"/>
      <c r="G18" s="1818"/>
      <c r="H18" s="1818"/>
      <c r="I18" s="1818"/>
      <c r="J18" s="1818"/>
      <c r="K18" s="1818"/>
      <c r="L18" s="1815"/>
      <c r="M18" s="1818"/>
    </row>
    <row r="19" spans="2:14" ht="20.100000000000001" customHeight="1" x14ac:dyDescent="0.2">
      <c r="B19" s="1105" t="s">
        <v>2124</v>
      </c>
      <c r="C19" s="1816">
        <v>93.778000000000006</v>
      </c>
      <c r="D19" s="1817" t="s">
        <v>2128</v>
      </c>
      <c r="E19" s="1818">
        <v>32114</v>
      </c>
      <c r="F19" s="1818">
        <v>7030</v>
      </c>
      <c r="G19" s="1818">
        <v>40775</v>
      </c>
      <c r="H19" s="1818"/>
      <c r="I19" s="1818"/>
      <c r="J19" s="1818"/>
      <c r="K19" s="1818"/>
      <c r="L19" s="1815">
        <f t="shared" ref="L19" si="2">+G19+I19+K19</f>
        <v>40775</v>
      </c>
      <c r="M19" s="1818"/>
    </row>
    <row r="20" spans="2:14" ht="20.100000000000001" customHeight="1" x14ac:dyDescent="0.2">
      <c r="B20" s="1105" t="s">
        <v>2124</v>
      </c>
      <c r="C20" s="1816">
        <v>93.778000000000006</v>
      </c>
      <c r="D20" s="1817" t="s">
        <v>2129</v>
      </c>
      <c r="E20" s="1818"/>
      <c r="F20" s="1818">
        <v>22801</v>
      </c>
      <c r="G20" s="1818"/>
      <c r="H20" s="1818"/>
      <c r="I20" s="1818">
        <v>23751</v>
      </c>
      <c r="J20" s="1818"/>
      <c r="K20" s="1818"/>
      <c r="L20" s="1818">
        <f t="shared" ref="F20:M21" si="3">L18+L19</f>
        <v>40775</v>
      </c>
      <c r="M20" s="1818"/>
    </row>
    <row r="21" spans="2:14" ht="20.100000000000001" customHeight="1" x14ac:dyDescent="0.2">
      <c r="B21" s="1105" t="s">
        <v>2125</v>
      </c>
      <c r="C21" s="1816"/>
      <c r="D21" s="1817"/>
      <c r="E21" s="1818">
        <f>E19+E20</f>
        <v>32114</v>
      </c>
      <c r="F21" s="1818">
        <f t="shared" si="3"/>
        <v>29831</v>
      </c>
      <c r="G21" s="1818">
        <f t="shared" si="3"/>
        <v>40775</v>
      </c>
      <c r="H21" s="1818">
        <f t="shared" si="3"/>
        <v>0</v>
      </c>
      <c r="I21" s="1818">
        <f t="shared" si="3"/>
        <v>23751</v>
      </c>
      <c r="J21" s="1818">
        <f t="shared" si="3"/>
        <v>0</v>
      </c>
      <c r="K21" s="1818">
        <f t="shared" si="3"/>
        <v>0</v>
      </c>
      <c r="L21" s="1818">
        <f t="shared" si="3"/>
        <v>81550</v>
      </c>
      <c r="M21" s="1818">
        <f t="shared" si="3"/>
        <v>0</v>
      </c>
    </row>
    <row r="22" spans="2:14" ht="20.100000000000001" customHeight="1" x14ac:dyDescent="0.2">
      <c r="B22" s="1105"/>
      <c r="C22" s="1816"/>
      <c r="D22" s="1817"/>
      <c r="E22" s="1818"/>
      <c r="F22" s="1818"/>
      <c r="G22" s="1818"/>
      <c r="H22" s="1818"/>
      <c r="I22" s="1818"/>
      <c r="J22" s="1818"/>
      <c r="K22" s="1818"/>
      <c r="L22" s="1818"/>
      <c r="M22" s="1818"/>
    </row>
    <row r="23" spans="2:14" ht="20.100000000000001" customHeight="1" x14ac:dyDescent="0.2">
      <c r="B23" s="1105" t="s">
        <v>2220</v>
      </c>
      <c r="C23" s="1816"/>
      <c r="D23" s="1817"/>
      <c r="E23" s="1818">
        <f>E21</f>
        <v>32114</v>
      </c>
      <c r="F23" s="1818">
        <f t="shared" ref="F23:M23" si="4">F21</f>
        <v>29831</v>
      </c>
      <c r="G23" s="1818">
        <f t="shared" si="4"/>
        <v>40775</v>
      </c>
      <c r="H23" s="1818">
        <f t="shared" si="4"/>
        <v>0</v>
      </c>
      <c r="I23" s="1818">
        <f t="shared" si="4"/>
        <v>23751</v>
      </c>
      <c r="J23" s="1818">
        <f t="shared" si="4"/>
        <v>0</v>
      </c>
      <c r="K23" s="1818">
        <f t="shared" si="4"/>
        <v>0</v>
      </c>
      <c r="L23" s="1818">
        <f t="shared" si="4"/>
        <v>81550</v>
      </c>
      <c r="M23" s="1818">
        <f t="shared" si="4"/>
        <v>0</v>
      </c>
    </row>
    <row r="24" spans="2:14" ht="20.100000000000001" customHeight="1" x14ac:dyDescent="0.2">
      <c r="B24" s="1105"/>
      <c r="C24" s="1816"/>
      <c r="D24" s="1817"/>
      <c r="E24" s="1818"/>
      <c r="F24" s="1818"/>
      <c r="G24" s="1818"/>
      <c r="H24" s="1818"/>
      <c r="I24" s="1818"/>
      <c r="J24" s="1818"/>
      <c r="K24" s="1818"/>
      <c r="L24" s="1818"/>
      <c r="M24" s="1818"/>
    </row>
    <row r="25" spans="2:14" ht="20.100000000000001" customHeight="1" x14ac:dyDescent="0.2">
      <c r="B25" s="1105" t="s">
        <v>2126</v>
      </c>
      <c r="C25" s="1816"/>
      <c r="D25" s="1817"/>
      <c r="E25" s="1818">
        <f>E21</f>
        <v>32114</v>
      </c>
      <c r="F25" s="1818">
        <f t="shared" ref="F25:M25" si="5">F21</f>
        <v>29831</v>
      </c>
      <c r="G25" s="1818">
        <f t="shared" si="5"/>
        <v>40775</v>
      </c>
      <c r="H25" s="1818">
        <f t="shared" si="5"/>
        <v>0</v>
      </c>
      <c r="I25" s="1818">
        <f t="shared" si="5"/>
        <v>23751</v>
      </c>
      <c r="J25" s="1818">
        <f t="shared" si="5"/>
        <v>0</v>
      </c>
      <c r="K25" s="1818">
        <f t="shared" si="5"/>
        <v>0</v>
      </c>
      <c r="L25" s="1818">
        <f t="shared" si="5"/>
        <v>81550</v>
      </c>
      <c r="M25" s="1818">
        <f t="shared" si="5"/>
        <v>0</v>
      </c>
    </row>
    <row r="26" spans="2:14" ht="20.100000000000001" customHeight="1" x14ac:dyDescent="0.2">
      <c r="B26" s="1105"/>
      <c r="C26" s="1816"/>
      <c r="D26" s="1816"/>
      <c r="E26" s="1818"/>
      <c r="F26" s="1818"/>
      <c r="G26" s="1818"/>
      <c r="H26" s="1818"/>
      <c r="I26" s="1818"/>
      <c r="J26" s="1818"/>
      <c r="K26" s="1818"/>
      <c r="L26" s="1815"/>
      <c r="M26" s="1818"/>
    </row>
    <row r="27" spans="2:14" ht="20.100000000000001" customHeight="1" x14ac:dyDescent="0.2">
      <c r="B27" s="1105" t="s">
        <v>2127</v>
      </c>
      <c r="C27" s="1816"/>
      <c r="D27" s="1816"/>
      <c r="E27" s="1818">
        <f>E15+' SEFA (2)'!E13+E25</f>
        <v>1652956</v>
      </c>
      <c r="F27" s="1818">
        <f>F15+' SEFA (2)'!F13+F25</f>
        <v>2852823</v>
      </c>
      <c r="G27" s="1818">
        <f>G15+' SEFA (2)'!G13+G25</f>
        <v>2074449</v>
      </c>
      <c r="H27" s="1818">
        <f>H15+' SEFA (2)'!H13+H25</f>
        <v>0</v>
      </c>
      <c r="I27" s="1818">
        <f>I15+' SEFA (2)'!I13+I25</f>
        <v>2792495</v>
      </c>
      <c r="J27" s="1818">
        <f>J15+' SEFA (2)'!J13+J25</f>
        <v>0</v>
      </c>
      <c r="K27" s="1818">
        <f>K15+' SEFA (2)'!K13+K25</f>
        <v>376032</v>
      </c>
      <c r="L27" s="1818">
        <f>L15+' SEFA (2)'!L13+L25</f>
        <v>5260000</v>
      </c>
      <c r="M27" s="1818">
        <f>M15+' SEFA (2)'!M13+M25</f>
        <v>4224704</v>
      </c>
    </row>
    <row r="28" spans="2:14" ht="20.100000000000001" customHeight="1" x14ac:dyDescent="0.2">
      <c r="B28" s="1105"/>
      <c r="C28" s="1816"/>
      <c r="D28" s="1817"/>
      <c r="E28" s="1818"/>
      <c r="F28" s="1818"/>
      <c r="G28" s="1818"/>
      <c r="H28" s="1818"/>
      <c r="I28" s="1818"/>
      <c r="J28" s="1818"/>
      <c r="K28" s="1818"/>
      <c r="L28" s="1818"/>
      <c r="M28" s="1818"/>
    </row>
    <row r="29" spans="2:14" ht="12.75" customHeight="1" x14ac:dyDescent="0.2">
      <c r="B29" s="1107"/>
      <c r="C29" s="1108"/>
      <c r="D29" s="1109"/>
      <c r="E29" s="1110"/>
      <c r="F29" s="1110"/>
      <c r="G29" s="1110"/>
      <c r="H29" s="1110"/>
      <c r="I29" s="1110"/>
      <c r="J29" s="1110"/>
      <c r="K29" s="1110"/>
      <c r="L29" s="1110"/>
      <c r="M29" s="1110"/>
      <c r="N29" s="1106"/>
    </row>
    <row r="30" spans="2:14" x14ac:dyDescent="0.2">
      <c r="B30" s="1025"/>
      <c r="C30" s="1111"/>
      <c r="D30" s="1112"/>
      <c r="E30" s="1025"/>
      <c r="F30" s="1025"/>
      <c r="G30" s="1018"/>
      <c r="H30" s="1018"/>
      <c r="I30" s="1018"/>
      <c r="J30" s="1018"/>
      <c r="K30" s="1018"/>
      <c r="L30" s="1018"/>
      <c r="M30" s="1025"/>
      <c r="N30" s="1106"/>
    </row>
    <row r="31" spans="2:14" ht="13.5" customHeight="1" x14ac:dyDescent="0.2">
      <c r="B31" s="1050" t="s">
        <v>1714</v>
      </c>
      <c r="C31" s="1111"/>
      <c r="D31" s="1112"/>
      <c r="E31" s="1025"/>
      <c r="F31" s="1025"/>
      <c r="G31" s="1018"/>
      <c r="H31" s="1018"/>
      <c r="I31" s="1018"/>
      <c r="J31" s="1018"/>
      <c r="K31" s="1018"/>
      <c r="L31" s="1018"/>
      <c r="M31" s="1025"/>
      <c r="N31" s="1106"/>
    </row>
    <row r="32" spans="2:14" ht="8.25" customHeight="1" x14ac:dyDescent="0.2">
      <c r="B32" s="1050"/>
      <c r="C32" s="1111"/>
      <c r="D32" s="1112"/>
      <c r="E32" s="1025"/>
      <c r="F32" s="1025"/>
      <c r="G32" s="1018"/>
      <c r="H32" s="1018"/>
      <c r="I32" s="1018"/>
      <c r="J32" s="1018"/>
      <c r="K32" s="1018"/>
      <c r="L32" s="1018"/>
      <c r="M32" s="1025"/>
      <c r="N32" s="1106"/>
    </row>
    <row r="33" spans="2:13" x14ac:dyDescent="0.2">
      <c r="B33" s="1113" t="s">
        <v>1812</v>
      </c>
      <c r="C33" s="1114"/>
      <c r="D33" s="1115"/>
      <c r="E33" s="1116"/>
      <c r="F33" s="1116"/>
      <c r="G33" s="1116"/>
      <c r="H33" s="1116"/>
      <c r="I33" s="295"/>
      <c r="J33" s="295"/>
    </row>
    <row r="34" spans="2:13" x14ac:dyDescent="0.2">
      <c r="B34" s="1045"/>
      <c r="C34" s="1117"/>
      <c r="D34" s="1118"/>
      <c r="E34" s="1046"/>
      <c r="F34" s="1046"/>
      <c r="G34" s="295"/>
      <c r="H34" s="295"/>
      <c r="I34" s="295"/>
      <c r="J34" s="295"/>
    </row>
    <row r="35" spans="2:13" ht="13.5" customHeight="1" x14ac:dyDescent="0.2">
      <c r="B35" s="1044" t="s">
        <v>1237</v>
      </c>
      <c r="G35" s="295"/>
      <c r="H35" s="295"/>
      <c r="I35" s="295"/>
      <c r="J35" s="295"/>
    </row>
    <row r="36" spans="2:13" ht="13.5" customHeight="1" x14ac:dyDescent="0.2">
      <c r="B36" s="1121"/>
      <c r="C36" s="1122"/>
      <c r="D36" s="1123"/>
      <c r="E36" s="1065"/>
      <c r="F36" s="1065"/>
      <c r="G36" s="1065"/>
      <c r="H36" s="1065"/>
      <c r="I36" s="1065"/>
      <c r="J36" s="1065"/>
      <c r="K36" s="1124"/>
      <c r="L36" s="1124"/>
      <c r="M36" s="1065"/>
    </row>
    <row r="37" spans="2:13" ht="9.6" customHeight="1" x14ac:dyDescent="0.2">
      <c r="B37" s="1125"/>
      <c r="G37" s="295"/>
      <c r="H37" s="295"/>
      <c r="I37" s="295"/>
      <c r="J37" s="295"/>
    </row>
    <row r="38" spans="2:13" ht="11.25" customHeight="1" x14ac:dyDescent="0.2">
      <c r="B38" s="1126" t="s">
        <v>1715</v>
      </c>
      <c r="C38" s="1127"/>
      <c r="D38" s="1127"/>
      <c r="E38" s="1127"/>
      <c r="F38" s="1127"/>
      <c r="G38" s="1127"/>
      <c r="H38" s="1127"/>
      <c r="I38" s="1128"/>
      <c r="J38" s="1128"/>
      <c r="K38" s="1128"/>
      <c r="L38" s="1128"/>
      <c r="M38" s="1128"/>
    </row>
    <row r="39" spans="2:13" ht="11.25" customHeight="1" x14ac:dyDescent="0.2">
      <c r="B39" s="1129" t="s">
        <v>1570</v>
      </c>
      <c r="C39" s="1128"/>
      <c r="D39" s="1128"/>
      <c r="E39" s="1128"/>
      <c r="F39" s="1128"/>
      <c r="G39" s="1128"/>
      <c r="H39" s="1128"/>
      <c r="I39" s="1128"/>
      <c r="J39" s="1128"/>
      <c r="K39" s="1128"/>
      <c r="L39" s="1128"/>
      <c r="M39" s="1128"/>
    </row>
    <row r="40" spans="2:13" ht="3.95" customHeight="1" x14ac:dyDescent="0.2">
      <c r="B40" s="1129"/>
      <c r="C40" s="1128"/>
      <c r="D40" s="1128"/>
      <c r="E40" s="1128"/>
      <c r="F40" s="1128"/>
      <c r="G40" s="1128"/>
      <c r="H40" s="1128"/>
      <c r="I40" s="1128"/>
      <c r="J40" s="1128"/>
      <c r="K40" s="1128"/>
      <c r="L40" s="1128"/>
      <c r="M40" s="1128"/>
    </row>
    <row r="41" spans="2:13" ht="11.25" customHeight="1" x14ac:dyDescent="0.2">
      <c r="B41" s="1126" t="s">
        <v>1716</v>
      </c>
      <c r="C41" s="1128"/>
      <c r="D41" s="1128"/>
      <c r="E41" s="1128"/>
      <c r="F41" s="1128"/>
      <c r="G41" s="1128"/>
      <c r="H41" s="1128"/>
      <c r="I41" s="1128"/>
      <c r="J41" s="1128"/>
      <c r="K41" s="1128"/>
      <c r="L41" s="1128"/>
      <c r="M41" s="1128"/>
    </row>
    <row r="42" spans="2:13" ht="11.25" customHeight="1" x14ac:dyDescent="0.2">
      <c r="B42" s="1068" t="s">
        <v>1571</v>
      </c>
      <c r="C42" s="1130"/>
      <c r="D42" s="1131"/>
      <c r="E42" s="1068"/>
      <c r="F42" s="1068"/>
      <c r="G42" s="1068"/>
      <c r="H42" s="1068"/>
      <c r="I42" s="1068"/>
      <c r="J42" s="1068"/>
      <c r="K42" s="1132"/>
      <c r="L42" s="1132"/>
      <c r="M42" s="1068"/>
    </row>
    <row r="43" spans="2:13" ht="3.95" customHeight="1" x14ac:dyDescent="0.2">
      <c r="B43" s="1068"/>
      <c r="C43" s="1130"/>
      <c r="D43" s="1131"/>
      <c r="E43" s="1068"/>
      <c r="F43" s="1068"/>
      <c r="G43" s="1068"/>
      <c r="H43" s="1068"/>
      <c r="I43" s="1068"/>
      <c r="J43" s="1068"/>
      <c r="K43" s="1132"/>
      <c r="L43" s="1132"/>
      <c r="M43" s="1068"/>
    </row>
    <row r="44" spans="2:13" ht="11.25" customHeight="1" x14ac:dyDescent="0.2">
      <c r="B44" s="1133" t="s">
        <v>1717</v>
      </c>
      <c r="C44" s="1130"/>
      <c r="D44" s="1131"/>
      <c r="E44" s="1068"/>
      <c r="F44" s="1068"/>
      <c r="G44" s="1068"/>
      <c r="H44" s="1068"/>
      <c r="I44" s="1068"/>
      <c r="J44" s="1068"/>
      <c r="K44" s="1132"/>
      <c r="L44" s="1132"/>
      <c r="M44" s="1068"/>
    </row>
    <row r="45" spans="2:13" ht="3.95" customHeight="1" x14ac:dyDescent="0.2">
      <c r="B45" s="1133"/>
      <c r="C45" s="1130"/>
      <c r="D45" s="1131"/>
      <c r="E45" s="1068"/>
      <c r="F45" s="1068"/>
      <c r="G45" s="1068"/>
      <c r="H45" s="1068"/>
      <c r="I45" s="1068"/>
      <c r="J45" s="1068"/>
      <c r="K45" s="1132"/>
      <c r="L45" s="1132"/>
      <c r="M45" s="1068"/>
    </row>
    <row r="46" spans="2:13" ht="11.25" customHeight="1" x14ac:dyDescent="0.2">
      <c r="B46" s="1134" t="s">
        <v>1718</v>
      </c>
      <c r="C46" s="1130"/>
      <c r="D46" s="1131"/>
      <c r="E46" s="1068"/>
      <c r="F46" s="1068"/>
      <c r="G46" s="1068"/>
      <c r="H46" s="1068"/>
      <c r="I46" s="1068"/>
      <c r="J46" s="1068"/>
      <c r="K46" s="1132"/>
      <c r="L46" s="1132"/>
      <c r="M46" s="1068"/>
    </row>
    <row r="47" spans="2:13" ht="11.25" customHeight="1" x14ac:dyDescent="0.2">
      <c r="B47" s="1068" t="s">
        <v>1572</v>
      </c>
      <c r="G47" s="295"/>
      <c r="H47" s="295"/>
      <c r="I47" s="295"/>
      <c r="J47" s="295"/>
    </row>
    <row r="48" spans="2:13" ht="11.1" customHeight="1" x14ac:dyDescent="0.2">
      <c r="B48" s="1068"/>
      <c r="G48" s="295"/>
      <c r="H48" s="295"/>
      <c r="I48" s="295"/>
      <c r="J48" s="295"/>
    </row>
    <row r="49" spans="2:13" ht="11.1" customHeight="1" x14ac:dyDescent="0.2">
      <c r="B49" s="1068"/>
      <c r="G49" s="295"/>
      <c r="H49" s="295"/>
      <c r="I49" s="295"/>
      <c r="J49" s="295"/>
    </row>
    <row r="50" spans="2:13" ht="13.5" customHeight="1" x14ac:dyDescent="0.2">
      <c r="M50" s="1135"/>
    </row>
    <row r="51" spans="2:13" ht="13.5" customHeight="1" x14ac:dyDescent="0.2">
      <c r="M51" s="1135"/>
    </row>
    <row r="52" spans="2:13" ht="13.5" customHeight="1" x14ac:dyDescent="0.2">
      <c r="M52" s="1135"/>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Massac County Community Unit S.D. #1</v>
      </c>
      <c r="B1" s="2582"/>
      <c r="C1" s="2582"/>
      <c r="D1" s="2582"/>
      <c r="E1" s="2582"/>
      <c r="F1" s="2582"/>
    </row>
    <row r="2" spans="1:7" ht="13.5" customHeight="1" x14ac:dyDescent="0.2">
      <c r="A2" s="2578" t="str">
        <f>'Single Audit Cover'!E7</f>
        <v>021-061-0010-26</v>
      </c>
      <c r="B2" s="2578"/>
      <c r="C2" s="2578"/>
      <c r="D2" s="2578"/>
      <c r="E2" s="2578"/>
      <c r="F2" s="2578"/>
      <c r="G2" s="1043"/>
    </row>
    <row r="3" spans="1:7" ht="15.75" customHeight="1" x14ac:dyDescent="0.2">
      <c r="A3" s="2583" t="s">
        <v>1262</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4" t="s">
        <v>1708</v>
      </c>
      <c r="C6" s="295"/>
      <c r="D6" s="295"/>
    </row>
    <row r="7" spans="1:7" ht="60.95" customHeight="1" x14ac:dyDescent="0.2">
      <c r="A7" s="2581" t="s">
        <v>2217</v>
      </c>
      <c r="B7" s="2581"/>
      <c r="C7" s="2581"/>
      <c r="D7" s="2581"/>
      <c r="E7" s="2581"/>
      <c r="F7" s="2581"/>
    </row>
    <row r="8" spans="1:7" ht="12" customHeight="1" x14ac:dyDescent="0.2">
      <c r="A8" s="1044"/>
      <c r="B8" s="1050"/>
      <c r="C8" s="1050"/>
      <c r="D8" s="1050"/>
    </row>
    <row r="9" spans="1:7" ht="15" customHeight="1" x14ac:dyDescent="0.2">
      <c r="A9" s="1045" t="s">
        <v>1709</v>
      </c>
      <c r="B9" s="1048"/>
      <c r="C9" s="1048"/>
      <c r="D9" s="1048"/>
      <c r="E9" s="1046"/>
      <c r="F9" s="1046"/>
      <c r="G9" s="1046"/>
    </row>
    <row r="10" spans="1:7" ht="15" customHeight="1" x14ac:dyDescent="0.2">
      <c r="A10" s="1047" t="s">
        <v>1533</v>
      </c>
      <c r="B10" s="1048"/>
      <c r="C10" s="1049"/>
      <c r="D10" s="1048" t="s">
        <v>1534</v>
      </c>
      <c r="E10" s="1049" t="s">
        <v>2019</v>
      </c>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81" t="s">
        <v>2218</v>
      </c>
      <c r="B13" s="2581"/>
      <c r="C13" s="2581"/>
      <c r="D13" s="2581"/>
      <c r="E13" s="2581"/>
      <c r="F13" s="2581"/>
    </row>
    <row r="14" spans="1:7" ht="9.75" customHeight="1" x14ac:dyDescent="0.2">
      <c r="C14" s="1028"/>
      <c r="D14" s="1028"/>
    </row>
    <row r="15" spans="1:7" ht="13.5" customHeight="1" x14ac:dyDescent="0.2">
      <c r="C15" s="1468" t="s">
        <v>1261</v>
      </c>
      <c r="D15" s="2586" t="s">
        <v>1260</v>
      </c>
      <c r="E15" s="2586"/>
      <c r="F15" s="2586"/>
    </row>
    <row r="16" spans="1:7" ht="13.5" customHeight="1" x14ac:dyDescent="0.2">
      <c r="A16" s="1050"/>
      <c r="B16" s="1044" t="s">
        <v>1259</v>
      </c>
      <c r="C16" s="1468" t="s">
        <v>1258</v>
      </c>
      <c r="D16" s="2587" t="s">
        <v>1574</v>
      </c>
      <c r="E16" s="2587"/>
      <c r="F16" s="2587"/>
    </row>
    <row r="17" spans="1:6" ht="20.45" customHeight="1" x14ac:dyDescent="0.2">
      <c r="A17" s="1051"/>
      <c r="B17" s="1052" t="s">
        <v>2130</v>
      </c>
      <c r="C17" s="1053"/>
      <c r="D17" s="2585"/>
      <c r="E17" s="2585"/>
      <c r="F17" s="2585"/>
    </row>
    <row r="18" spans="1:6" ht="20.65" customHeight="1" x14ac:dyDescent="0.2">
      <c r="A18" s="1051"/>
      <c r="B18" s="1052"/>
      <c r="C18" s="1053"/>
      <c r="D18" s="2585"/>
      <c r="E18" s="2585"/>
      <c r="F18" s="2585"/>
    </row>
    <row r="19" spans="1:6" ht="20.65" customHeight="1" x14ac:dyDescent="0.2">
      <c r="A19" s="1051"/>
      <c r="B19" s="1052"/>
      <c r="C19" s="1053"/>
      <c r="D19" s="2585"/>
      <c r="E19" s="2585"/>
      <c r="F19" s="2585"/>
    </row>
    <row r="20" spans="1:6" ht="20.65" customHeight="1" x14ac:dyDescent="0.2">
      <c r="A20" s="1051"/>
      <c r="B20" s="1052"/>
      <c r="C20" s="1053"/>
      <c r="D20" s="2585"/>
      <c r="E20" s="2585"/>
      <c r="F20" s="2585"/>
    </row>
    <row r="21" spans="1:6" ht="20.65" customHeight="1" x14ac:dyDescent="0.2">
      <c r="A21" s="1051"/>
      <c r="B21" s="1052"/>
      <c r="C21" s="1053"/>
      <c r="D21" s="2585"/>
      <c r="E21" s="2585"/>
      <c r="F21" s="2585"/>
    </row>
    <row r="22" spans="1:6" ht="20.65" customHeight="1" x14ac:dyDescent="0.2">
      <c r="A22" s="1051"/>
      <c r="B22" s="1052"/>
      <c r="C22" s="1053"/>
      <c r="D22" s="2585"/>
      <c r="E22" s="2585"/>
      <c r="F22" s="2585"/>
    </row>
    <row r="23" spans="1:6" ht="20.65" customHeight="1" x14ac:dyDescent="0.2">
      <c r="A23" s="1051"/>
      <c r="B23" s="1052"/>
      <c r="C23" s="1053"/>
      <c r="D23" s="2585"/>
      <c r="E23" s="2585"/>
      <c r="F23" s="2585"/>
    </row>
    <row r="24" spans="1:6" ht="20.65" customHeight="1" x14ac:dyDescent="0.2">
      <c r="A24" s="1051"/>
      <c r="B24" s="1052"/>
      <c r="C24" s="1053"/>
      <c r="D24" s="2585"/>
      <c r="E24" s="2585"/>
      <c r="F24" s="2585"/>
    </row>
    <row r="25" spans="1:6" ht="20.65" customHeight="1" x14ac:dyDescent="0.2">
      <c r="A25" s="1051"/>
      <c r="B25" s="1052"/>
      <c r="C25" s="1053"/>
      <c r="D25" s="2585"/>
      <c r="E25" s="2585"/>
      <c r="F25" s="2585"/>
    </row>
    <row r="26" spans="1:6" ht="20.65" customHeight="1" x14ac:dyDescent="0.2">
      <c r="A26" s="1051"/>
      <c r="B26" s="1052"/>
      <c r="C26" s="1053"/>
      <c r="D26" s="2585"/>
      <c r="E26" s="2585"/>
      <c r="F26" s="2585"/>
    </row>
    <row r="27" spans="1:6" ht="20.65" customHeight="1" x14ac:dyDescent="0.2">
      <c r="A27" s="1051"/>
      <c r="B27" s="1052"/>
      <c r="C27" s="1053"/>
      <c r="D27" s="2585"/>
      <c r="E27" s="2585"/>
      <c r="F27" s="2585"/>
    </row>
    <row r="28" spans="1:6" ht="20.65" customHeight="1" x14ac:dyDescent="0.2">
      <c r="A28" s="1051"/>
      <c r="B28" s="1052"/>
      <c r="C28" s="1053"/>
      <c r="D28" s="2585"/>
      <c r="E28" s="2585"/>
      <c r="F28" s="2585"/>
    </row>
    <row r="29" spans="1:6" ht="20.65" customHeight="1" x14ac:dyDescent="0.2">
      <c r="A29" s="1051"/>
      <c r="B29" s="1052"/>
      <c r="C29" s="1053"/>
      <c r="D29" s="2585"/>
      <c r="E29" s="2585"/>
      <c r="F29" s="2585"/>
    </row>
    <row r="30" spans="1:6" ht="12" customHeight="1" x14ac:dyDescent="0.2">
      <c r="A30" s="306"/>
      <c r="B30" s="306"/>
      <c r="C30" s="1225"/>
      <c r="D30" s="1518"/>
      <c r="E30" s="1054"/>
    </row>
    <row r="31" spans="1:6" ht="12" customHeight="1" x14ac:dyDescent="0.2">
      <c r="A31" s="1055" t="s">
        <v>1535</v>
      </c>
      <c r="B31" s="306"/>
      <c r="C31" s="1225"/>
      <c r="D31" s="1518"/>
      <c r="E31" s="1054"/>
    </row>
    <row r="32" spans="1:6" ht="30" customHeight="1" x14ac:dyDescent="0.2">
      <c r="A32" s="2589" t="s">
        <v>2219</v>
      </c>
      <c r="B32" s="2589"/>
      <c r="C32" s="2589"/>
      <c r="D32" s="2589"/>
      <c r="E32" s="2589"/>
      <c r="F32" s="2589"/>
    </row>
    <row r="33" spans="1:6" ht="13.5" customHeight="1" x14ac:dyDescent="0.2">
      <c r="A33" s="306" t="s">
        <v>1420</v>
      </c>
      <c r="B33" s="306"/>
      <c r="C33" s="1056">
        <v>66921</v>
      </c>
      <c r="D33" s="1518"/>
      <c r="E33" s="1054"/>
    </row>
    <row r="34" spans="1:6" ht="13.5" customHeight="1" x14ac:dyDescent="0.2">
      <c r="A34" s="306" t="s">
        <v>1811</v>
      </c>
      <c r="B34" s="306"/>
      <c r="C34" s="1057">
        <v>25526</v>
      </c>
      <c r="D34" s="1518" t="s">
        <v>1575</v>
      </c>
      <c r="E34" s="2590">
        <f>+C33+C34</f>
        <v>92447</v>
      </c>
      <c r="F34" s="2591"/>
    </row>
    <row r="35" spans="1:6" ht="12" customHeight="1" x14ac:dyDescent="0.2">
      <c r="A35" s="306"/>
      <c r="B35" s="306"/>
      <c r="C35" s="1519"/>
      <c r="D35" s="1518"/>
      <c r="E35" s="1058"/>
      <c r="F35" s="1059"/>
    </row>
    <row r="36" spans="1:6" ht="13.5" customHeight="1" x14ac:dyDescent="0.2">
      <c r="A36" s="1055" t="s">
        <v>1536</v>
      </c>
      <c r="B36" s="306"/>
      <c r="C36" s="1225"/>
      <c r="D36" s="1518"/>
      <c r="E36" s="1054"/>
    </row>
    <row r="37" spans="1:6" ht="14.25" customHeight="1" x14ac:dyDescent="0.2">
      <c r="A37" s="306" t="s">
        <v>1470</v>
      </c>
      <c r="B37" s="306"/>
      <c r="C37" s="1520"/>
      <c r="D37" s="1518"/>
      <c r="E37" s="1054"/>
    </row>
    <row r="38" spans="1:6" ht="14.25" customHeight="1" x14ac:dyDescent="0.2">
      <c r="A38" s="306"/>
      <c r="B38" s="306" t="s">
        <v>1421</v>
      </c>
      <c r="C38" s="1060">
        <v>0</v>
      </c>
      <c r="D38" s="1518"/>
      <c r="E38" s="1054"/>
    </row>
    <row r="39" spans="1:6" ht="14.25" customHeight="1" x14ac:dyDescent="0.2">
      <c r="A39" s="306"/>
      <c r="B39" s="306" t="s">
        <v>1422</v>
      </c>
      <c r="C39" s="1060">
        <v>0</v>
      </c>
      <c r="D39" s="1518"/>
      <c r="E39" s="1054"/>
    </row>
    <row r="40" spans="1:6" ht="14.25" customHeight="1" x14ac:dyDescent="0.2">
      <c r="A40" s="306"/>
      <c r="B40" s="306" t="s">
        <v>1423</v>
      </c>
      <c r="C40" s="1060">
        <v>0</v>
      </c>
      <c r="D40" s="1518"/>
      <c r="E40" s="1054"/>
    </row>
    <row r="41" spans="1:6" ht="14.25" customHeight="1" x14ac:dyDescent="0.2">
      <c r="A41" s="306"/>
      <c r="B41" s="306" t="s">
        <v>1424</v>
      </c>
      <c r="C41" s="1060">
        <v>0</v>
      </c>
      <c r="D41" s="1518"/>
      <c r="E41" s="1054"/>
    </row>
    <row r="42" spans="1:6" ht="14.25" customHeight="1" x14ac:dyDescent="0.2">
      <c r="A42" s="306" t="s">
        <v>1425</v>
      </c>
      <c r="B42" s="306"/>
      <c r="C42" s="1516">
        <v>0</v>
      </c>
      <c r="D42" s="1518"/>
      <c r="E42" s="1054"/>
    </row>
    <row r="43" spans="1:6" ht="14.25" customHeight="1" x14ac:dyDescent="0.2">
      <c r="A43" s="306" t="s">
        <v>1426</v>
      </c>
      <c r="B43" s="306"/>
      <c r="C43" s="1061" t="s">
        <v>380</v>
      </c>
      <c r="D43" s="1518"/>
      <c r="E43" s="1054"/>
    </row>
    <row r="44" spans="1:6" ht="14.25" customHeight="1" x14ac:dyDescent="0.2">
      <c r="A44" s="306"/>
      <c r="B44" s="306"/>
      <c r="C44" s="1520" t="s">
        <v>1427</v>
      </c>
      <c r="D44" s="1518"/>
      <c r="E44" s="1054"/>
    </row>
    <row r="45" spans="1:6" ht="13.5" customHeight="1" x14ac:dyDescent="0.2">
      <c r="B45" s="300"/>
      <c r="C45" s="1062"/>
      <c r="D45" s="1062"/>
    </row>
    <row r="46" spans="1:6" x14ac:dyDescent="0.2">
      <c r="A46" s="1063" t="s">
        <v>1710</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2" t="s">
        <v>1576</v>
      </c>
      <c r="C49" s="2592"/>
      <c r="D49" s="2592"/>
      <c r="E49" s="1160"/>
    </row>
    <row r="50" spans="1:5" s="1068" customFormat="1" ht="3.75" customHeight="1" x14ac:dyDescent="0.2">
      <c r="A50" s="1067"/>
      <c r="B50" s="1467"/>
      <c r="C50" s="1467"/>
      <c r="D50" s="1467"/>
      <c r="E50" s="1160"/>
    </row>
    <row r="51" spans="1:5" s="1068" customFormat="1" ht="20.25" customHeight="1" x14ac:dyDescent="0.2">
      <c r="A51" s="1069">
        <v>6</v>
      </c>
      <c r="B51" s="2588" t="s">
        <v>1537</v>
      </c>
      <c r="C51" s="2588"/>
      <c r="D51" s="2588"/>
    </row>
    <row r="52" spans="1:5" ht="14.25" customHeight="1" x14ac:dyDescent="0.2">
      <c r="A52" s="1069"/>
      <c r="B52" s="2588"/>
      <c r="C52" s="2588"/>
      <c r="D52" s="258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D46" sqref="D46"/>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24.1406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Massac County Community Unit S.D. #1</v>
      </c>
      <c r="C1" s="2598"/>
      <c r="D1" s="2598"/>
      <c r="E1" s="2598"/>
      <c r="F1" s="2598"/>
      <c r="G1" s="2598"/>
      <c r="H1" s="2598"/>
      <c r="I1" s="2598"/>
      <c r="J1" s="1170"/>
    </row>
    <row r="2" spans="2:10" s="295" customFormat="1" ht="12.75" customHeight="1" x14ac:dyDescent="0.2">
      <c r="B2" s="2599" t="str">
        <f>'Single Audit Cover'!E7</f>
        <v>021-061-0010-26</v>
      </c>
      <c r="C2" s="2600"/>
      <c r="D2" s="2600"/>
      <c r="E2" s="2600"/>
      <c r="F2" s="2600"/>
      <c r="G2" s="2600"/>
      <c r="H2" s="2600"/>
      <c r="I2" s="2600"/>
      <c r="J2" s="1170"/>
    </row>
    <row r="3" spans="2:10" s="295" customFormat="1" ht="12.75" customHeight="1" x14ac:dyDescent="0.2">
      <c r="B3" s="2601" t="s">
        <v>1276</v>
      </c>
      <c r="C3" s="2602"/>
      <c r="D3" s="2602"/>
      <c r="E3" s="2602"/>
      <c r="F3" s="2602"/>
      <c r="G3" s="2602"/>
      <c r="H3" s="2602"/>
      <c r="I3" s="2602"/>
      <c r="J3" s="1171"/>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1" t="s">
        <v>1275</v>
      </c>
      <c r="C7" s="2602"/>
      <c r="D7" s="2602"/>
      <c r="E7" s="2602"/>
      <c r="F7" s="2602"/>
      <c r="G7" s="2602"/>
      <c r="H7" s="2602"/>
      <c r="I7" s="2602"/>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03" t="s">
        <v>1156</v>
      </c>
      <c r="D11" s="2603"/>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c r="F15" s="1068" t="s">
        <v>879</v>
      </c>
      <c r="G15" s="1186" t="s">
        <v>2019</v>
      </c>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t="s">
        <v>2019</v>
      </c>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t="s">
        <v>2019</v>
      </c>
      <c r="F20" s="1068" t="s">
        <v>879</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t="s">
        <v>2019</v>
      </c>
      <c r="F24" s="1068" t="s">
        <v>879</v>
      </c>
      <c r="G24" s="1186"/>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t="s">
        <v>2019</v>
      </c>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04" t="s">
        <v>2132</v>
      </c>
      <c r="E29" s="2604"/>
      <c r="F29" s="2604"/>
      <c r="G29" s="2604"/>
      <c r="H29" s="2604"/>
      <c r="I29" s="2604"/>
    </row>
    <row r="30" spans="2:9" s="295" customFormat="1" x14ac:dyDescent="0.2">
      <c r="B30" s="1130"/>
      <c r="C30" s="300"/>
      <c r="D30" s="1181" t="s">
        <v>1725</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t="s">
        <v>2019</v>
      </c>
      <c r="F33" s="1068" t="s">
        <v>879</v>
      </c>
      <c r="G33" s="1186"/>
      <c r="H33" s="1068" t="s">
        <v>99</v>
      </c>
    </row>
    <row r="35" spans="2:9" x14ac:dyDescent="0.2">
      <c r="B35" s="1189" t="s">
        <v>1726</v>
      </c>
      <c r="C35" s="1190"/>
      <c r="D35" s="1035"/>
    </row>
    <row r="36" spans="2:9" ht="6" customHeight="1" x14ac:dyDescent="0.2">
      <c r="B36" s="1189"/>
      <c r="C36" s="1190"/>
      <c r="D36" s="1035"/>
    </row>
    <row r="37" spans="2:9" ht="17.25" customHeight="1" x14ac:dyDescent="0.2">
      <c r="B37" s="1191" t="s">
        <v>1727</v>
      </c>
      <c r="C37" s="2605" t="s">
        <v>1728</v>
      </c>
      <c r="D37" s="2606"/>
      <c r="E37" s="2606"/>
      <c r="F37" s="2607"/>
      <c r="G37" s="2605" t="s">
        <v>1578</v>
      </c>
      <c r="H37" s="2606"/>
      <c r="I37" s="2607"/>
    </row>
    <row r="38" spans="2:9" ht="16.5" customHeight="1" x14ac:dyDescent="0.2">
      <c r="B38" s="1192" t="s">
        <v>2131</v>
      </c>
      <c r="C38" s="2593" t="s">
        <v>2134</v>
      </c>
      <c r="D38" s="2594"/>
      <c r="E38" s="2594"/>
      <c r="F38" s="2595"/>
      <c r="G38" s="2608">
        <v>1173357</v>
      </c>
      <c r="H38" s="2609"/>
      <c r="I38" s="2610"/>
    </row>
    <row r="39" spans="2:9" ht="16.5" customHeight="1" x14ac:dyDescent="0.2">
      <c r="B39" s="1192">
        <v>84.01</v>
      </c>
      <c r="C39" s="2593" t="s">
        <v>2135</v>
      </c>
      <c r="D39" s="2594"/>
      <c r="E39" s="2594"/>
      <c r="F39" s="2595"/>
      <c r="G39" s="2596">
        <v>923665</v>
      </c>
      <c r="H39" s="2596"/>
      <c r="I39" s="2596"/>
    </row>
    <row r="40" spans="2:9" ht="16.5" customHeight="1" x14ac:dyDescent="0.2">
      <c r="B40" s="1192" t="s">
        <v>2133</v>
      </c>
      <c r="C40" s="2593" t="s">
        <v>2136</v>
      </c>
      <c r="D40" s="2594"/>
      <c r="E40" s="2594"/>
      <c r="F40" s="2595"/>
      <c r="G40" s="2596">
        <v>529753</v>
      </c>
      <c r="H40" s="2596"/>
      <c r="I40" s="2596"/>
    </row>
    <row r="41" spans="2:9" ht="16.5" customHeight="1" x14ac:dyDescent="0.2">
      <c r="B41" s="1192"/>
      <c r="C41" s="2593"/>
      <c r="D41" s="2594"/>
      <c r="E41" s="2594"/>
      <c r="F41" s="2595"/>
      <c r="G41" s="2596"/>
      <c r="H41" s="2596"/>
      <c r="I41" s="2596"/>
    </row>
    <row r="42" spans="2:9" ht="16.5" customHeight="1" x14ac:dyDescent="0.2">
      <c r="B42" s="1192"/>
      <c r="C42" s="2593"/>
      <c r="D42" s="2594"/>
      <c r="E42" s="2594"/>
      <c r="F42" s="2595"/>
      <c r="G42" s="2596"/>
      <c r="H42" s="2596"/>
      <c r="I42" s="2596"/>
    </row>
    <row r="43" spans="2:9" ht="16.5" customHeight="1" x14ac:dyDescent="0.2">
      <c r="B43" s="1192"/>
      <c r="C43" s="2611" t="s">
        <v>1579</v>
      </c>
      <c r="D43" s="2612"/>
      <c r="E43" s="2612"/>
      <c r="F43" s="2613"/>
      <c r="G43" s="2614">
        <f>SUM(G38:I42)</f>
        <v>2626775</v>
      </c>
      <c r="H43" s="2614"/>
      <c r="I43" s="2614"/>
    </row>
    <row r="44" spans="2:9" ht="12.75" customHeight="1" x14ac:dyDescent="0.2"/>
    <row r="45" spans="2:9" ht="12.75" customHeight="1" x14ac:dyDescent="0.2">
      <c r="B45" s="1906" t="str">
        <f>"Total Federal Expenditures for 7/1/"&amp;MID('AFR20'!E2,3,2)-1&amp;"-6/30/"&amp;MID('AFR20'!E2,3,2)</f>
        <v>Total Federal Expenditures for 7/1/19-6/30/20</v>
      </c>
      <c r="C45" s="1907"/>
      <c r="D45" s="2615">
        <v>2792495</v>
      </c>
      <c r="E45" s="2616"/>
    </row>
    <row r="46" spans="2:9" ht="5.25" customHeight="1" x14ac:dyDescent="0.2">
      <c r="B46" s="1193"/>
      <c r="D46" s="1194"/>
      <c r="E46" s="1195"/>
    </row>
    <row r="47" spans="2:9" ht="12.75" customHeight="1" x14ac:dyDescent="0.2">
      <c r="B47" s="1068" t="s">
        <v>1580</v>
      </c>
      <c r="C47" s="1068"/>
      <c r="D47" s="1196">
        <f>+G43/D45</f>
        <v>0.94065522051069028</v>
      </c>
      <c r="E47" s="1197"/>
      <c r="F47" s="1198"/>
      <c r="I47" s="1199"/>
    </row>
    <row r="48" spans="2:9" ht="9.9499999999999993" customHeight="1" x14ac:dyDescent="0.2"/>
    <row r="49" spans="1:9" x14ac:dyDescent="0.2">
      <c r="B49" s="1130" t="s">
        <v>1264</v>
      </c>
      <c r="C49" s="1050"/>
      <c r="D49" s="1050"/>
      <c r="E49" s="2617">
        <v>750000</v>
      </c>
      <c r="F49" s="2617"/>
      <c r="G49" s="2617"/>
      <c r="H49" s="300"/>
    </row>
    <row r="51" spans="1:9" ht="13.5" customHeight="1" x14ac:dyDescent="0.2">
      <c r="B51" s="1130" t="s">
        <v>1263</v>
      </c>
      <c r="C51" s="1050"/>
      <c r="E51" s="1186"/>
      <c r="F51" s="1068" t="s">
        <v>879</v>
      </c>
      <c r="G51" s="1186" t="s">
        <v>2019</v>
      </c>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1729</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1730</v>
      </c>
      <c r="C58" s="1212"/>
      <c r="D58" s="1212"/>
    </row>
    <row r="59" spans="1:9" s="1209" customFormat="1" ht="3.95" customHeight="1" x14ac:dyDescent="0.2">
      <c r="A59" s="1206"/>
      <c r="B59" s="1211"/>
      <c r="C59" s="1212"/>
      <c r="D59" s="1212"/>
    </row>
    <row r="60" spans="1:9" s="1209" customFormat="1" ht="13.5" customHeight="1" x14ac:dyDescent="0.2">
      <c r="A60" s="1206"/>
      <c r="B60" s="1211" t="s">
        <v>1731</v>
      </c>
      <c r="C60" s="1212"/>
      <c r="D60" s="1212"/>
    </row>
    <row r="61" spans="1:9" s="1209" customFormat="1" ht="3.95" customHeight="1" x14ac:dyDescent="0.2">
      <c r="A61" s="1206"/>
      <c r="B61" s="1211"/>
      <c r="C61" s="1212"/>
      <c r="D61" s="1212"/>
    </row>
    <row r="62" spans="1:9" s="1209" customFormat="1" ht="12.75" customHeight="1" x14ac:dyDescent="0.2">
      <c r="A62" s="1206"/>
      <c r="B62" s="1211" t="s">
        <v>1732</v>
      </c>
      <c r="C62" s="1212"/>
      <c r="D62" s="1212"/>
    </row>
    <row r="63" spans="1:9" s="1209" customFormat="1" ht="13.5" customHeight="1" x14ac:dyDescent="0.2">
      <c r="A63" s="1206"/>
      <c r="B63" s="1210" t="s">
        <v>1583</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75" firstPageNumber="40" fitToHeight="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F21" sqref="F21:F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Massac County Community Unit S.D. #1</v>
      </c>
      <c r="C1" s="2597"/>
      <c r="D1" s="2597"/>
      <c r="E1" s="2597"/>
      <c r="F1" s="2597"/>
      <c r="G1" s="2597"/>
      <c r="H1" s="2597"/>
      <c r="I1" s="2597"/>
      <c r="J1" s="2597"/>
      <c r="K1" s="2597"/>
      <c r="L1" s="1136"/>
      <c r="M1" s="1136"/>
    </row>
    <row r="2" spans="1:13" ht="12" customHeight="1" x14ac:dyDescent="0.2">
      <c r="B2" s="2599" t="str">
        <f>'Single Audit Cover'!E7</f>
        <v>021-061-0010-26</v>
      </c>
      <c r="C2" s="2599"/>
      <c r="D2" s="2599"/>
      <c r="E2" s="2599"/>
      <c r="F2" s="2599"/>
      <c r="G2" s="2599"/>
      <c r="H2" s="2599"/>
      <c r="I2" s="2599"/>
      <c r="J2" s="2599"/>
      <c r="K2" s="2599"/>
      <c r="L2" s="1137"/>
      <c r="M2" s="1138"/>
    </row>
    <row r="3" spans="1:13" ht="10.35" customHeight="1" x14ac:dyDescent="0.2">
      <c r="B3" s="2620" t="s">
        <v>1276</v>
      </c>
      <c r="C3" s="2620"/>
      <c r="D3" s="2620"/>
      <c r="E3" s="2620"/>
      <c r="F3" s="2620"/>
      <c r="G3" s="2620"/>
      <c r="H3" s="2620"/>
      <c r="I3" s="2620"/>
      <c r="J3" s="2620"/>
      <c r="K3" s="2620"/>
      <c r="L3" s="1139"/>
      <c r="M3" s="1139"/>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1" t="s">
        <v>1287</v>
      </c>
      <c r="C7" s="2621"/>
      <c r="D7" s="2622"/>
      <c r="E7" s="2622"/>
      <c r="F7" s="2622"/>
      <c r="G7" s="2622"/>
      <c r="H7" s="2622"/>
      <c r="I7" s="2622"/>
      <c r="J7" s="2622"/>
      <c r="K7" s="2622"/>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1</v>
      </c>
      <c r="E10" s="300"/>
      <c r="F10" s="1148" t="s">
        <v>1286</v>
      </c>
      <c r="G10" s="1149" t="s">
        <v>2019</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9" t="s">
        <v>2137</v>
      </c>
      <c r="C14" s="2619"/>
      <c r="D14" s="2619"/>
      <c r="E14" s="2619"/>
      <c r="F14" s="2619"/>
      <c r="G14" s="2619"/>
      <c r="H14" s="2619"/>
      <c r="I14" s="2619"/>
      <c r="J14" s="2619"/>
      <c r="K14" s="2619"/>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19" t="s">
        <v>2138</v>
      </c>
      <c r="C17" s="2619"/>
      <c r="D17" s="2619"/>
      <c r="E17" s="2619"/>
      <c r="F17" s="2619"/>
      <c r="G17" s="2619"/>
      <c r="H17" s="2619"/>
      <c r="I17" s="2619"/>
      <c r="J17" s="2619"/>
      <c r="K17" s="2619"/>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23" t="s">
        <v>2139</v>
      </c>
      <c r="C20" s="2623"/>
      <c r="D20" s="2619"/>
      <c r="E20" s="2619"/>
      <c r="F20" s="2619"/>
      <c r="G20" s="2619"/>
      <c r="H20" s="2619"/>
      <c r="I20" s="2619"/>
      <c r="J20" s="2619"/>
      <c r="K20" s="2619"/>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9" t="s">
        <v>2140</v>
      </c>
      <c r="C23" s="2619"/>
      <c r="D23" s="2619"/>
      <c r="E23" s="2619"/>
      <c r="F23" s="2619"/>
      <c r="G23" s="2619"/>
      <c r="H23" s="2619"/>
      <c r="I23" s="2619"/>
      <c r="J23" s="2619"/>
      <c r="K23" s="2619"/>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9" t="s">
        <v>2141</v>
      </c>
      <c r="C26" s="2619"/>
      <c r="D26" s="2619"/>
      <c r="E26" s="2619"/>
      <c r="F26" s="2619"/>
      <c r="G26" s="2619"/>
      <c r="H26" s="2619"/>
      <c r="I26" s="2619"/>
      <c r="J26" s="2619"/>
      <c r="K26" s="2619"/>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8" t="s">
        <v>2142</v>
      </c>
      <c r="C29" s="2618"/>
      <c r="D29" s="2619"/>
      <c r="E29" s="2619"/>
      <c r="F29" s="2619"/>
      <c r="G29" s="2619"/>
      <c r="H29" s="2619"/>
      <c r="I29" s="2619"/>
      <c r="J29" s="2619"/>
      <c r="K29" s="2619"/>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18" t="s">
        <v>2143</v>
      </c>
      <c r="C32" s="2618"/>
      <c r="D32" s="2619"/>
      <c r="E32" s="2619"/>
      <c r="F32" s="2619"/>
      <c r="G32" s="2619"/>
      <c r="H32" s="2619"/>
      <c r="I32" s="2619"/>
      <c r="J32" s="2619"/>
      <c r="K32" s="2619"/>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23" zoomScale="110" zoomScaleNormal="110" workbookViewId="0">
      <selection activeCell="F21" sqref="F21:F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Massac County Community Unit S.D. #1</v>
      </c>
      <c r="C1" s="2625"/>
      <c r="D1" s="2625"/>
      <c r="E1" s="2625"/>
      <c r="F1" s="2625"/>
      <c r="G1" s="2625"/>
      <c r="H1" s="2625"/>
      <c r="I1" s="2625"/>
      <c r="J1" s="2625"/>
      <c r="K1" s="2625"/>
      <c r="L1" s="1213"/>
    </row>
    <row r="2" spans="1:12" ht="12.75" customHeight="1" x14ac:dyDescent="0.2">
      <c r="B2" s="2626" t="str">
        <f>'Single Audit Cover'!E7</f>
        <v>021-061-0010-26</v>
      </c>
      <c r="C2" s="2626"/>
      <c r="D2" s="2626"/>
      <c r="E2" s="2626"/>
      <c r="F2" s="2626"/>
      <c r="G2" s="2626"/>
      <c r="H2" s="2626"/>
      <c r="I2" s="2626"/>
      <c r="J2" s="2626"/>
      <c r="K2" s="2626"/>
      <c r="L2" s="1214"/>
    </row>
    <row r="3" spans="1:12" ht="12.75" customHeight="1" x14ac:dyDescent="0.2">
      <c r="B3" s="2620" t="s">
        <v>1276</v>
      </c>
      <c r="C3" s="2620"/>
      <c r="D3" s="2620"/>
      <c r="E3" s="2620"/>
      <c r="F3" s="2620"/>
      <c r="G3" s="2620"/>
      <c r="H3" s="2620"/>
      <c r="I3" s="2620"/>
      <c r="J3" s="2620"/>
      <c r="K3" s="2620"/>
      <c r="L3" s="1139"/>
    </row>
    <row r="4" spans="1:12" ht="12.75" customHeight="1" x14ac:dyDescent="0.2">
      <c r="B4" s="2620" t="str">
        <f>'Single Audit Cover'!A4</f>
        <v>Year Ending June 30, 2020</v>
      </c>
      <c r="C4" s="2620"/>
      <c r="D4" s="2620"/>
      <c r="E4" s="2620"/>
      <c r="F4" s="2620"/>
      <c r="G4" s="2620"/>
      <c r="H4" s="2620"/>
      <c r="I4" s="2620"/>
      <c r="J4" s="2620"/>
      <c r="K4" s="2620"/>
      <c r="L4" s="1139"/>
    </row>
    <row r="5" spans="1:12" ht="5.25" customHeight="1" x14ac:dyDescent="0.2">
      <c r="B5" s="1028" t="s">
        <v>1161</v>
      </c>
      <c r="C5" s="1028"/>
      <c r="L5" s="300"/>
    </row>
    <row r="6" spans="1:12" ht="30.75" customHeight="1" x14ac:dyDescent="0.2">
      <c r="A6" s="300"/>
      <c r="B6" s="2627" t="s">
        <v>1299</v>
      </c>
      <c r="C6" s="2627"/>
      <c r="D6" s="2627"/>
      <c r="E6" s="2627"/>
      <c r="F6" s="2627"/>
      <c r="G6" s="2627"/>
      <c r="H6" s="2627"/>
      <c r="I6" s="2627"/>
      <c r="J6" s="2627"/>
      <c r="K6" s="2627"/>
      <c r="L6" s="300"/>
    </row>
    <row r="7" spans="1:12" ht="4.5" customHeight="1" x14ac:dyDescent="0.2">
      <c r="B7" s="1141"/>
      <c r="C7" s="1141"/>
      <c r="D7" s="1141"/>
      <c r="E7" s="1141"/>
      <c r="F7" s="1141"/>
      <c r="G7" s="1142"/>
      <c r="H7" s="1141"/>
      <c r="I7" s="1142"/>
      <c r="J7" s="1141"/>
      <c r="K7" s="1141"/>
      <c r="L7" s="300"/>
    </row>
    <row r="8" spans="1:12" ht="13.5" customHeight="1" x14ac:dyDescent="0.2">
      <c r="B8" s="1148" t="s">
        <v>1733</v>
      </c>
      <c r="C8" s="1908" t="str">
        <f>'AFR20'!$E$2&amp;"-"</f>
        <v>2020-</v>
      </c>
      <c r="D8" s="1215">
        <v>2</v>
      </c>
      <c r="E8" s="300"/>
      <c r="F8" s="1146" t="s">
        <v>1286</v>
      </c>
      <c r="G8" s="1216"/>
      <c r="H8" s="1217" t="s">
        <v>1298</v>
      </c>
      <c r="I8" s="1216" t="s">
        <v>2019</v>
      </c>
      <c r="J8" s="1218" t="s">
        <v>1297</v>
      </c>
      <c r="L8" s="300"/>
    </row>
    <row r="9" spans="1:12" ht="13.5" customHeight="1" x14ac:dyDescent="0.2">
      <c r="D9" s="300"/>
      <c r="E9" s="300"/>
      <c r="F9" s="300"/>
      <c r="G9" s="1145"/>
      <c r="H9" s="300"/>
      <c r="I9" s="1219" t="s">
        <v>1283</v>
      </c>
      <c r="J9" s="300"/>
      <c r="K9" s="1220">
        <v>2009</v>
      </c>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24" t="s">
        <v>2144</v>
      </c>
      <c r="G12" s="2624"/>
      <c r="H12" s="2624"/>
      <c r="I12" s="2624"/>
      <c r="J12" s="2624"/>
      <c r="K12" s="2624"/>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28" t="s">
        <v>2145</v>
      </c>
      <c r="E14" s="2628"/>
      <c r="F14" s="2628"/>
      <c r="H14" s="1222" t="s">
        <v>1294</v>
      </c>
      <c r="I14" s="2629" t="s">
        <v>2146</v>
      </c>
      <c r="J14" s="2629"/>
      <c r="K14" s="2629"/>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29" t="s">
        <v>2073</v>
      </c>
      <c r="E16" s="2629"/>
      <c r="F16" s="2629"/>
      <c r="G16" s="2629"/>
      <c r="H16" s="2629"/>
      <c r="I16" s="2629"/>
      <c r="J16" s="2629"/>
      <c r="K16" s="2629"/>
      <c r="L16" s="300"/>
    </row>
    <row r="17" spans="2:12" ht="13.5" customHeight="1" x14ac:dyDescent="0.2">
      <c r="B17" s="1148" t="s">
        <v>1292</v>
      </c>
      <c r="C17" s="1148"/>
      <c r="D17" s="2630" t="s">
        <v>2147</v>
      </c>
      <c r="E17" s="2630"/>
      <c r="F17" s="2630"/>
      <c r="G17" s="2630"/>
      <c r="H17" s="2630"/>
      <c r="I17" s="2630"/>
      <c r="J17" s="2630"/>
      <c r="K17" s="2630"/>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19" t="s">
        <v>2148</v>
      </c>
      <c r="C20" s="2619"/>
      <c r="D20" s="2619"/>
      <c r="E20" s="2619"/>
      <c r="F20" s="2619"/>
      <c r="G20" s="2619"/>
      <c r="H20" s="2619"/>
      <c r="I20" s="2619"/>
      <c r="J20" s="2619"/>
      <c r="K20" s="2619"/>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1734</v>
      </c>
      <c r="C22" s="1224"/>
      <c r="D22" s="300"/>
      <c r="E22" s="300"/>
      <c r="F22" s="300"/>
      <c r="G22" s="1145"/>
      <c r="H22" s="300"/>
      <c r="I22" s="1145"/>
      <c r="J22" s="300"/>
      <c r="K22" s="300"/>
      <c r="L22" s="300"/>
    </row>
    <row r="23" spans="2:12" ht="37.5" customHeight="1" x14ac:dyDescent="0.2">
      <c r="B23" s="2619" t="s">
        <v>2149</v>
      </c>
      <c r="C23" s="2619"/>
      <c r="D23" s="2619"/>
      <c r="E23" s="2619"/>
      <c r="F23" s="2619"/>
      <c r="G23" s="2619"/>
      <c r="H23" s="2619"/>
      <c r="I23" s="2619"/>
      <c r="J23" s="2619"/>
      <c r="K23" s="2619"/>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1735</v>
      </c>
      <c r="C25" s="1224"/>
      <c r="D25" s="300"/>
      <c r="E25" s="300"/>
      <c r="F25" s="300"/>
      <c r="G25" s="1145"/>
      <c r="H25" s="300"/>
      <c r="I25" s="1145"/>
      <c r="J25" s="300"/>
      <c r="K25" s="300"/>
      <c r="L25" s="300"/>
    </row>
    <row r="26" spans="2:12" ht="37.5" customHeight="1" x14ac:dyDescent="0.2">
      <c r="B26" s="2619" t="s">
        <v>2150</v>
      </c>
      <c r="C26" s="2619"/>
      <c r="D26" s="2619"/>
      <c r="E26" s="2619"/>
      <c r="F26" s="2619"/>
      <c r="G26" s="2619"/>
      <c r="H26" s="2619"/>
      <c r="I26" s="2619"/>
      <c r="J26" s="2619"/>
      <c r="K26" s="2619"/>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1736</v>
      </c>
      <c r="C28" s="1224"/>
      <c r="D28" s="300"/>
      <c r="E28" s="300"/>
      <c r="F28" s="300"/>
      <c r="G28" s="1145"/>
      <c r="H28" s="300"/>
      <c r="I28" s="1145"/>
      <c r="J28" s="300"/>
      <c r="K28" s="300"/>
      <c r="L28" s="300"/>
    </row>
    <row r="29" spans="2:12" ht="37.5" customHeight="1" x14ac:dyDescent="0.2">
      <c r="B29" s="2619" t="s">
        <v>2151</v>
      </c>
      <c r="C29" s="2619"/>
      <c r="D29" s="2619"/>
      <c r="E29" s="2619"/>
      <c r="F29" s="2619"/>
      <c r="G29" s="2619"/>
      <c r="H29" s="2619"/>
      <c r="I29" s="2619"/>
      <c r="J29" s="2619"/>
      <c r="K29" s="2619"/>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19" t="s">
        <v>2152</v>
      </c>
      <c r="C32" s="2619"/>
      <c r="D32" s="2619"/>
      <c r="E32" s="2619"/>
      <c r="F32" s="2619"/>
      <c r="G32" s="2619"/>
      <c r="H32" s="2619"/>
      <c r="I32" s="2619"/>
      <c r="J32" s="2619"/>
      <c r="K32" s="2619"/>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19" t="s">
        <v>2153</v>
      </c>
      <c r="C35" s="2619"/>
      <c r="D35" s="2619"/>
      <c r="E35" s="2619"/>
      <c r="F35" s="2619"/>
      <c r="G35" s="2619"/>
      <c r="H35" s="2619"/>
      <c r="I35" s="2619"/>
      <c r="J35" s="2619"/>
      <c r="K35" s="2619"/>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19" t="s">
        <v>2154</v>
      </c>
      <c r="C38" s="2619"/>
      <c r="D38" s="2619"/>
      <c r="E38" s="2619"/>
      <c r="F38" s="2619"/>
      <c r="G38" s="2619"/>
      <c r="H38" s="2619"/>
      <c r="I38" s="2619"/>
      <c r="J38" s="2619"/>
      <c r="K38" s="2619"/>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1737</v>
      </c>
      <c r="C40" s="1164"/>
      <c r="D40" s="1140"/>
      <c r="E40" s="1141"/>
      <c r="F40" s="1141"/>
      <c r="G40" s="1142"/>
      <c r="H40" s="1141"/>
      <c r="I40" s="1142"/>
      <c r="J40" s="1141"/>
      <c r="K40" s="1141"/>
    </row>
    <row r="41" spans="2:12" s="300" customFormat="1" ht="33.75" customHeight="1" x14ac:dyDescent="0.2">
      <c r="B41" s="2619" t="s">
        <v>2155</v>
      </c>
      <c r="C41" s="2619"/>
      <c r="D41" s="2619"/>
      <c r="E41" s="2619"/>
      <c r="F41" s="2619"/>
      <c r="G41" s="2619"/>
      <c r="H41" s="2619"/>
      <c r="I41" s="2619"/>
      <c r="J41" s="2619"/>
      <c r="K41" s="2619"/>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1738</v>
      </c>
      <c r="C44" s="1167"/>
      <c r="D44" s="300"/>
      <c r="E44" s="300"/>
      <c r="F44" s="300"/>
    </row>
    <row r="45" spans="2:12" ht="10.5" customHeight="1" x14ac:dyDescent="0.2">
      <c r="B45" s="1168" t="s">
        <v>1739</v>
      </c>
      <c r="C45" s="1168"/>
      <c r="G45" s="295"/>
      <c r="I45" s="295"/>
    </row>
    <row r="46" spans="2:12" ht="11.1" customHeight="1" x14ac:dyDescent="0.2">
      <c r="B46" s="1168" t="s">
        <v>1740</v>
      </c>
      <c r="C46" s="1168"/>
      <c r="G46" s="295"/>
      <c r="I46" s="295"/>
    </row>
    <row r="47" spans="2:12" ht="11.1" customHeight="1" x14ac:dyDescent="0.2">
      <c r="B47" s="1168" t="s">
        <v>1741</v>
      </c>
      <c r="C47" s="1168"/>
      <c r="G47" s="295"/>
      <c r="I47" s="295"/>
    </row>
    <row r="48" spans="2:12" ht="11.1" customHeight="1" x14ac:dyDescent="0.2">
      <c r="B48" s="1168" t="s">
        <v>1742</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view="pageBreakPreview" zoomScale="60" zoomScaleNormal="110" workbookViewId="0">
      <selection activeCell="F21" sqref="F21:F23"/>
    </sheetView>
  </sheetViews>
  <sheetFormatPr defaultColWidth="9.140625" defaultRowHeight="12.75" x14ac:dyDescent="0.2"/>
  <cols>
    <col min="1" max="1" width="1.5703125" style="295" customWidth="1"/>
    <col min="2" max="2" width="14.7109375" style="295" customWidth="1"/>
    <col min="3" max="3" width="43.855468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97" t="str">
        <f>'Single Audit Cover'!A7</f>
        <v>Massac County Community Unit S.D. #1</v>
      </c>
      <c r="C1" s="2597"/>
      <c r="D1" s="2597"/>
      <c r="E1" s="1232"/>
    </row>
    <row r="2" spans="2:5" s="1050" customFormat="1" ht="12.75" customHeight="1" x14ac:dyDescent="0.2">
      <c r="B2" s="2599" t="str">
        <f>'Single Audit Cover'!E7</f>
        <v>021-061-0010-26</v>
      </c>
      <c r="C2" s="2599"/>
      <c r="D2" s="2599"/>
      <c r="E2" s="1233"/>
    </row>
    <row r="3" spans="2:5" ht="12.75" customHeight="1" x14ac:dyDescent="0.2">
      <c r="B3" s="2620" t="s">
        <v>1743</v>
      </c>
      <c r="C3" s="2620"/>
      <c r="D3" s="2620"/>
      <c r="E3" s="1042"/>
    </row>
    <row r="4" spans="2:5" s="1050" customFormat="1" ht="12.75" customHeight="1" x14ac:dyDescent="0.2">
      <c r="B4" s="2631" t="str">
        <f>'Single Audit Cover'!A4</f>
        <v>Year Ending June 30, 2020</v>
      </c>
      <c r="C4" s="2631"/>
      <c r="D4" s="2631"/>
      <c r="E4" s="1234"/>
    </row>
    <row r="5" spans="2:5" s="1050" customFormat="1" ht="40.15" customHeight="1" x14ac:dyDescent="0.2">
      <c r="B5" s="1235" t="s">
        <v>1744</v>
      </c>
      <c r="C5" s="306"/>
      <c r="D5" s="306"/>
      <c r="E5" s="306"/>
    </row>
    <row r="6" spans="2:5" s="1050" customFormat="1" ht="13.5" customHeight="1" x14ac:dyDescent="0.2">
      <c r="B6" s="1236" t="s">
        <v>1306</v>
      </c>
      <c r="C6" s="1236" t="s">
        <v>1305</v>
      </c>
      <c r="D6" s="1236" t="s">
        <v>1745</v>
      </c>
    </row>
    <row r="7" spans="2:5" ht="13.5" customHeight="1" x14ac:dyDescent="0.2">
      <c r="B7" s="1237" t="s">
        <v>2156</v>
      </c>
      <c r="C7" s="302" t="s">
        <v>2157</v>
      </c>
      <c r="D7" s="1923" t="s">
        <v>2160</v>
      </c>
      <c r="E7" s="302"/>
    </row>
    <row r="8" spans="2:5" ht="13.5" customHeight="1" x14ac:dyDescent="0.2">
      <c r="B8" s="1237"/>
      <c r="C8" s="302" t="s">
        <v>2158</v>
      </c>
      <c r="D8" s="302"/>
      <c r="E8" s="302"/>
    </row>
    <row r="9" spans="2:5" ht="13.5" customHeight="1" x14ac:dyDescent="0.2">
      <c r="B9" s="1238"/>
      <c r="C9" s="301" t="s">
        <v>2159</v>
      </c>
      <c r="D9" s="301"/>
      <c r="E9" s="301"/>
    </row>
    <row r="10" spans="2:5" ht="13.5" customHeight="1" x14ac:dyDescent="0.2">
      <c r="B10" s="1237"/>
      <c r="C10" s="301"/>
      <c r="D10" s="301"/>
      <c r="E10" s="301"/>
    </row>
    <row r="11" spans="2:5" ht="13.5" customHeight="1" x14ac:dyDescent="0.2">
      <c r="B11" s="1237" t="s">
        <v>2161</v>
      </c>
      <c r="C11" s="301" t="s">
        <v>2162</v>
      </c>
      <c r="D11" s="1924" t="s">
        <v>2160</v>
      </c>
      <c r="E11" s="301"/>
    </row>
    <row r="12" spans="2:5" ht="13.5" customHeight="1" x14ac:dyDescent="0.2">
      <c r="B12" s="1237"/>
      <c r="C12" s="301" t="s">
        <v>2163</v>
      </c>
      <c r="D12" s="301"/>
      <c r="E12" s="301"/>
    </row>
    <row r="13" spans="2:5" ht="13.5" customHeight="1" x14ac:dyDescent="0.2">
      <c r="B13" s="1237"/>
      <c r="C13" s="301"/>
      <c r="D13" s="301"/>
      <c r="E13" s="301"/>
    </row>
    <row r="14" spans="2:5" ht="13.5" customHeight="1" x14ac:dyDescent="0.2">
      <c r="B14" s="1237" t="s">
        <v>2164</v>
      </c>
      <c r="C14" s="301" t="s">
        <v>2165</v>
      </c>
      <c r="D14" s="1924" t="s">
        <v>2172</v>
      </c>
      <c r="E14" s="301"/>
    </row>
    <row r="15" spans="2:5" ht="13.5" customHeight="1" x14ac:dyDescent="0.2">
      <c r="B15" s="1237"/>
      <c r="C15" s="301" t="s">
        <v>2166</v>
      </c>
      <c r="D15" s="301"/>
      <c r="E15" s="301"/>
    </row>
    <row r="16" spans="2:5" ht="13.5" customHeight="1" x14ac:dyDescent="0.2">
      <c r="B16" s="1237"/>
      <c r="C16" s="301" t="s">
        <v>2168</v>
      </c>
      <c r="D16" s="301"/>
      <c r="E16" s="301"/>
    </row>
    <row r="17" spans="2:5" ht="13.5" customHeight="1" x14ac:dyDescent="0.2">
      <c r="B17" s="1237"/>
      <c r="C17" s="301" t="s">
        <v>2167</v>
      </c>
      <c r="D17" s="301"/>
      <c r="E17" s="301"/>
    </row>
    <row r="18" spans="2:5" ht="13.5" customHeight="1" x14ac:dyDescent="0.2">
      <c r="B18" s="1237"/>
      <c r="C18" s="301" t="s">
        <v>2169</v>
      </c>
      <c r="D18" s="301"/>
      <c r="E18" s="301"/>
    </row>
    <row r="19" spans="2:5" ht="13.5" customHeight="1" x14ac:dyDescent="0.2">
      <c r="B19" s="1237"/>
      <c r="C19" s="301" t="s">
        <v>2170</v>
      </c>
      <c r="D19" s="301"/>
      <c r="E19" s="301"/>
    </row>
    <row r="20" spans="2:5" ht="13.5" customHeight="1" x14ac:dyDescent="0.2">
      <c r="B20" s="1237"/>
      <c r="C20" s="301" t="s">
        <v>2171</v>
      </c>
      <c r="D20" s="301"/>
      <c r="E20" s="301"/>
    </row>
    <row r="21" spans="2:5" ht="13.5" customHeight="1" x14ac:dyDescent="0.2">
      <c r="B21" s="1237"/>
      <c r="C21" s="301"/>
      <c r="D21" s="301"/>
      <c r="E21" s="301"/>
    </row>
    <row r="22" spans="2:5" ht="13.5" customHeight="1" x14ac:dyDescent="0.2">
      <c r="B22" s="1237" t="s">
        <v>2173</v>
      </c>
      <c r="C22" s="301" t="s">
        <v>2174</v>
      </c>
      <c r="D22" s="1924" t="s">
        <v>2160</v>
      </c>
      <c r="E22" s="301"/>
    </row>
    <row r="23" spans="2:5" ht="13.5" customHeight="1" x14ac:dyDescent="0.2">
      <c r="B23" s="1237"/>
      <c r="C23" s="301" t="s">
        <v>2175</v>
      </c>
      <c r="D23" s="301"/>
      <c r="E23" s="301"/>
    </row>
    <row r="24" spans="2:5" ht="13.5" customHeight="1" x14ac:dyDescent="0.2">
      <c r="B24" s="1237"/>
      <c r="C24" s="301" t="s">
        <v>2176</v>
      </c>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1304</v>
      </c>
      <c r="C44" s="300"/>
    </row>
    <row r="45" spans="2:5" ht="12.2" customHeight="1" x14ac:dyDescent="0.2">
      <c r="B45" s="1246" t="s">
        <v>1746</v>
      </c>
    </row>
    <row r="46" spans="2:5" ht="12.2" customHeight="1" x14ac:dyDescent="0.2">
      <c r="B46" s="1246" t="s">
        <v>1747</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pageSetUpPr fitToPage="1"/>
  </sheetPr>
  <dimension ref="A1:N72"/>
  <sheetViews>
    <sheetView showGridLines="0" defaultGridColor="0" topLeftCell="A7" colorId="8" zoomScale="110" zoomScaleNormal="110" workbookViewId="0">
      <selection activeCell="P38" sqref="P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138895004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2.9112699999999998E-2</v>
      </c>
      <c r="E10" s="333" t="s">
        <v>998</v>
      </c>
      <c r="F10" s="332">
        <v>5.5395000000000002E-3</v>
      </c>
      <c r="G10" s="333" t="s">
        <v>998</v>
      </c>
      <c r="H10" s="332">
        <v>1.9870999999999999E-3</v>
      </c>
      <c r="I10" s="333" t="s">
        <v>999</v>
      </c>
      <c r="J10" s="1416">
        <f>ROUND(D10+F10+H10,5)</f>
        <v>3.6639999999999999E-2</v>
      </c>
      <c r="K10" s="217"/>
      <c r="L10" s="332">
        <v>4.9680000000000004E-4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22390088</v>
      </c>
      <c r="E16" s="1539"/>
      <c r="F16" s="1538">
        <f>SUM('Acct Summary 7-8'!C17,'Acct Summary 7-8'!D17,'Acct Summary 7-8'!F17)</f>
        <v>20451407</v>
      </c>
      <c r="G16" s="1539"/>
      <c r="H16" s="1538">
        <f>SUM(D16-F16)</f>
        <v>1938681</v>
      </c>
      <c r="I16" s="1540"/>
      <c r="J16" s="1538">
        <f>SUM('Acct Summary 7-8'!C81,'Acct Summary 7-8'!D81,'Acct Summary 7-8'!F81,'Acct Summary 7-8'!I81)</f>
        <v>8215051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19167510.552000001</v>
      </c>
      <c r="I31" s="345"/>
      <c r="J31" s="217"/>
      <c r="K31" s="217"/>
      <c r="L31" s="217"/>
      <c r="M31" s="217"/>
    </row>
    <row r="32" spans="1:13" ht="13.35" customHeight="1" x14ac:dyDescent="0.2">
      <c r="B32" s="346" t="s">
        <v>2019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2889500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pageSetUpPr fitToPage="1"/>
  </sheetPr>
  <dimension ref="A1:R44"/>
  <sheetViews>
    <sheetView showGridLines="0" topLeftCell="A7" zoomScale="110" zoomScaleNormal="110" workbookViewId="0">
      <selection activeCell="P38" sqref="P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1399</v>
      </c>
      <c r="B3" s="2215"/>
      <c r="C3" s="2215"/>
      <c r="D3" s="2215"/>
      <c r="E3" s="2215"/>
      <c r="F3" s="2215"/>
      <c r="G3" s="2215"/>
      <c r="H3" s="2215"/>
      <c r="I3" s="2215"/>
      <c r="J3" s="2215"/>
      <c r="K3" s="2215"/>
      <c r="L3" s="2215"/>
      <c r="M3" s="2215"/>
      <c r="N3" s="2215"/>
      <c r="O3" s="2215"/>
      <c r="P3" s="2215"/>
      <c r="Q3" s="2215"/>
      <c r="R3" s="2215"/>
    </row>
    <row r="4" spans="1:18" x14ac:dyDescent="0.2">
      <c r="A4" s="2216" t="s">
        <v>1540</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Massac County Community Unit S.D. #1</v>
      </c>
      <c r="E7" s="368"/>
      <c r="G7" s="247"/>
      <c r="H7" s="364"/>
      <c r="I7" s="364"/>
      <c r="J7" s="364"/>
      <c r="K7" s="364"/>
      <c r="L7" s="307"/>
      <c r="M7" s="307"/>
      <c r="N7" s="307"/>
      <c r="O7" s="307"/>
      <c r="P7" s="307"/>
    </row>
    <row r="8" spans="1:18" ht="12.75" x14ac:dyDescent="0.2">
      <c r="A8" s="307"/>
      <c r="B8" s="307"/>
      <c r="C8" s="366" t="s">
        <v>1117</v>
      </c>
      <c r="D8" s="369" t="str">
        <f>COVER!A13</f>
        <v>021-061-0010-26</v>
      </c>
      <c r="E8" s="370"/>
      <c r="G8" s="307"/>
      <c r="H8" s="307"/>
      <c r="I8" s="307"/>
      <c r="J8" s="307"/>
      <c r="K8" s="307"/>
      <c r="L8" s="307"/>
      <c r="M8" s="307"/>
      <c r="N8" s="307"/>
      <c r="O8" s="307"/>
      <c r="P8" s="307"/>
    </row>
    <row r="9" spans="1:18" ht="12.75" x14ac:dyDescent="0.2">
      <c r="A9" s="307"/>
      <c r="B9" s="307"/>
      <c r="C9" s="366" t="s">
        <v>708</v>
      </c>
      <c r="D9" s="371" t="str">
        <f>COVER!A15</f>
        <v>Massac</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8215051</v>
      </c>
      <c r="I12" s="380"/>
      <c r="J12" s="380"/>
      <c r="K12" s="1551">
        <f>TRUNC((H12/H13*100000),5)/100000</f>
        <v>0.36690570389999999</v>
      </c>
      <c r="L12" s="381"/>
      <c r="M12" s="337" t="s">
        <v>1136</v>
      </c>
      <c r="N12" s="337"/>
      <c r="O12" s="1554">
        <v>0.35</v>
      </c>
      <c r="P12" s="213"/>
      <c r="Q12" s="213"/>
    </row>
    <row r="13" spans="1:18" s="382" customFormat="1" ht="12.75" x14ac:dyDescent="0.2">
      <c r="A13" s="213"/>
      <c r="B13" s="377"/>
      <c r="C13" s="2212" t="s">
        <v>1315</v>
      </c>
      <c r="D13" s="2213"/>
      <c r="E13" s="213"/>
      <c r="F13" s="383" t="s">
        <v>788</v>
      </c>
      <c r="G13" s="378"/>
      <c r="H13" s="1543">
        <f>SUM('Acct Summary 7-8'!C8+'Acct Summary 7-8'!D8+'Acct Summary 7-8'!F8+'Acct Summary 7-8'!I8)+H14</f>
        <v>22390088</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20451407</v>
      </c>
      <c r="I17" s="380"/>
      <c r="J17" s="389"/>
      <c r="K17" s="1551">
        <f>TRUNC((H17/H18*100000),5)/100000</f>
        <v>0.91341342650000001</v>
      </c>
      <c r="L17" s="381"/>
      <c r="M17" s="390" t="s">
        <v>1163</v>
      </c>
      <c r="O17" s="1557" t="str">
        <f>IF(AND(O16="2", J20 &gt; 2),"1",IF(AND(O16 = "1", J20 &gt; 2),"2",IF(AND(O16="1", J20 &gt;1),"1","0")))</f>
        <v>0</v>
      </c>
      <c r="P17" s="213"/>
    </row>
    <row r="18" spans="1:18" s="382" customFormat="1" ht="11.25" x14ac:dyDescent="0.2">
      <c r="A18" s="213"/>
      <c r="B18" s="377"/>
      <c r="C18" s="2212" t="s">
        <v>1308</v>
      </c>
      <c r="D18" s="2213"/>
      <c r="E18" s="213"/>
      <c r="F18" s="391" t="s">
        <v>789</v>
      </c>
      <c r="G18" s="378"/>
      <c r="H18" s="1543">
        <f>SUM('Acct Summary 7-8'!C8+'Acct Summary 7-8'!D8+'Acct Summary 7-8'!F8+'Acct Summary 7-8'!I8)+H19</f>
        <v>22390088</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3</v>
      </c>
      <c r="P23" s="211"/>
      <c r="R23" s="361"/>
    </row>
    <row r="24" spans="1:18" s="382" customFormat="1" ht="11.25" x14ac:dyDescent="0.2">
      <c r="A24" s="213"/>
      <c r="B24" s="377"/>
      <c r="C24" s="2209" t="s">
        <v>1398</v>
      </c>
      <c r="D24" s="2209"/>
      <c r="E24" s="213"/>
      <c r="F24" s="213" t="s">
        <v>442</v>
      </c>
      <c r="G24" s="378"/>
      <c r="H24" s="1543">
        <f>SUM('Assets-Liab 5-6'!C4+'Assets-Liab 5-6'!D4+'Assets-Liab 5-6'!F4+'Assets-Liab 5-6'!I4+'Assets-Liab 5-6'!C5+'Assets-Liab 5-6'!D5+'Assets-Liab 5-6'!F5+'Assets-Liab 5-6'!I5)</f>
        <v>8214406</v>
      </c>
      <c r="I24" s="394"/>
      <c r="J24" s="394"/>
      <c r="K24" s="1547">
        <f>TRUNC(((H24/H25*100000)/100000),2)</f>
        <v>144.59</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56809.463889999999</v>
      </c>
      <c r="I25" s="396"/>
      <c r="J25" s="396"/>
      <c r="K25" s="1550"/>
      <c r="L25" s="213"/>
      <c r="M25" s="337" t="s">
        <v>1137</v>
      </c>
      <c r="N25" s="337"/>
      <c r="O25" s="1555">
        <f>O23*O24</f>
        <v>0.30000000000000004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1893</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4325746.0045800004</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4</v>
      </c>
      <c r="P31" s="211"/>
    </row>
    <row r="32" spans="1:18" s="382" customFormat="1" ht="11.25" x14ac:dyDescent="0.2">
      <c r="A32" s="213"/>
      <c r="B32" s="377"/>
      <c r="C32" s="213" t="s">
        <v>842</v>
      </c>
      <c r="D32" s="213"/>
      <c r="E32" s="213"/>
      <c r="F32" s="213"/>
      <c r="G32" s="378"/>
      <c r="H32" s="1543">
        <f>'FP Info 3'!H37</f>
        <v>2889500</v>
      </c>
      <c r="I32" s="392"/>
      <c r="J32" s="392"/>
      <c r="K32" s="1547">
        <f>TRUNC(100-((((H32/H33*100))*100)/100),2)</f>
        <v>84.92</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19167510.552000001</v>
      </c>
      <c r="I33" s="392"/>
      <c r="J33" s="392"/>
      <c r="K33" s="379"/>
      <c r="L33" s="213"/>
      <c r="M33" s="401" t="s">
        <v>1137</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6" activePane="bottomLeft" state="frozen"/>
      <selection activeCell="D9" sqref="D9"/>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298"/>
      <c r="D3" s="1299"/>
      <c r="E3" s="1299"/>
      <c r="F3" s="1299"/>
      <c r="G3" s="1299"/>
      <c r="H3" s="1299"/>
      <c r="I3" s="1299"/>
      <c r="J3" s="1299"/>
      <c r="K3" s="1299"/>
      <c r="L3" s="1299"/>
      <c r="M3" s="1300"/>
      <c r="N3" s="1301"/>
    </row>
    <row r="4" spans="1:14" ht="13.5" customHeight="1" x14ac:dyDescent="0.2">
      <c r="A4" s="427" t="s">
        <v>1635</v>
      </c>
      <c r="B4" s="428"/>
      <c r="C4" s="1564">
        <v>1692122</v>
      </c>
      <c r="D4" s="1565">
        <v>355127</v>
      </c>
      <c r="E4" s="1565">
        <v>418548</v>
      </c>
      <c r="F4" s="1565">
        <v>139587</v>
      </c>
      <c r="G4" s="1565">
        <v>595215</v>
      </c>
      <c r="H4" s="1565">
        <v>115830</v>
      </c>
      <c r="I4" s="1565">
        <v>232370</v>
      </c>
      <c r="J4" s="1566">
        <v>431274</v>
      </c>
      <c r="K4" s="1565">
        <v>270444</v>
      </c>
      <c r="L4" s="1565">
        <v>238746</v>
      </c>
      <c r="M4" s="1567"/>
      <c r="N4" s="1568"/>
    </row>
    <row r="5" spans="1:14" x14ac:dyDescent="0.2">
      <c r="A5" s="427" t="s">
        <v>985</v>
      </c>
      <c r="B5" s="429">
        <v>120</v>
      </c>
      <c r="C5" s="1564">
        <v>5795200</v>
      </c>
      <c r="D5" s="1565"/>
      <c r="E5" s="1565">
        <v>115000</v>
      </c>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c r="D12" s="1565">
        <v>1354</v>
      </c>
      <c r="E12" s="1565"/>
      <c r="F12" s="1565"/>
      <c r="G12" s="1565"/>
      <c r="H12" s="1565"/>
      <c r="I12" s="1565"/>
      <c r="J12" s="1566"/>
      <c r="K12" s="1565"/>
      <c r="L12" s="1565"/>
      <c r="M12" s="1568"/>
      <c r="N12" s="1568"/>
    </row>
    <row r="13" spans="1:14" ht="13.5" customHeight="1" thickBot="1" x14ac:dyDescent="0.25">
      <c r="A13" s="1418" t="s">
        <v>639</v>
      </c>
      <c r="B13" s="1399"/>
      <c r="C13" s="1579">
        <f>SUM(C4:C12)</f>
        <v>7487322</v>
      </c>
      <c r="D13" s="1579">
        <f t="shared" ref="D13:L13" si="0">SUM(D4:D12)</f>
        <v>356481</v>
      </c>
      <c r="E13" s="1579">
        <f t="shared" si="0"/>
        <v>533548</v>
      </c>
      <c r="F13" s="1579">
        <f t="shared" si="0"/>
        <v>139587</v>
      </c>
      <c r="G13" s="1579">
        <f t="shared" si="0"/>
        <v>595215</v>
      </c>
      <c r="H13" s="1579">
        <f t="shared" si="0"/>
        <v>115830</v>
      </c>
      <c r="I13" s="1579">
        <f t="shared" si="0"/>
        <v>232370</v>
      </c>
      <c r="J13" s="1579">
        <f t="shared" si="0"/>
        <v>431274</v>
      </c>
      <c r="K13" s="1579">
        <f t="shared" si="0"/>
        <v>270444</v>
      </c>
      <c r="L13" s="1579">
        <f t="shared" si="0"/>
        <v>238746</v>
      </c>
      <c r="M13" s="1567"/>
      <c r="N13" s="1568"/>
    </row>
    <row r="14" spans="1:14" ht="18" customHeight="1" thickTop="1" x14ac:dyDescent="0.2">
      <c r="A14" s="2221" t="s">
        <v>146</v>
      </c>
      <c r="B14" s="2222"/>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v>1227227</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v>24852091</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v>6446266</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v>6471295</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v>533548</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2355952</v>
      </c>
    </row>
    <row r="23" spans="1:14" ht="13.5" customHeight="1" thickBot="1" x14ac:dyDescent="0.25">
      <c r="A23" s="1418" t="s">
        <v>638</v>
      </c>
      <c r="B23" s="1421"/>
      <c r="C23" s="1567"/>
      <c r="D23" s="1567"/>
      <c r="E23" s="1567"/>
      <c r="F23" s="1567"/>
      <c r="G23" s="1567"/>
      <c r="H23" s="1567"/>
      <c r="I23" s="1567"/>
      <c r="J23" s="1567"/>
      <c r="K23" s="1567"/>
      <c r="L23" s="1567"/>
      <c r="M23" s="1586">
        <f>SUM(M15:M22)</f>
        <v>38996879</v>
      </c>
      <c r="N23" s="1586">
        <f>SUM(N21:N22)</f>
        <v>2889500</v>
      </c>
    </row>
    <row r="24" spans="1:14" ht="18" customHeight="1" thickTop="1" x14ac:dyDescent="0.2">
      <c r="A24" s="2223" t="s">
        <v>594</v>
      </c>
      <c r="B24" s="2224"/>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v>709</v>
      </c>
      <c r="D31" s="1566"/>
      <c r="E31" s="1566"/>
      <c r="F31" s="1565"/>
      <c r="G31" s="1566">
        <v>44</v>
      </c>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238746</v>
      </c>
      <c r="M33" s="1567"/>
      <c r="N33" s="1568"/>
    </row>
    <row r="34" spans="1:14" ht="13.5" customHeight="1" thickBot="1" x14ac:dyDescent="0.25">
      <c r="A34" s="1419" t="s">
        <v>649</v>
      </c>
      <c r="B34" s="1420"/>
      <c r="C34" s="1592">
        <f>SUM(C25:C33)</f>
        <v>709</v>
      </c>
      <c r="D34" s="1592">
        <f t="shared" ref="D34:K34" si="1">SUM(D25:D33)</f>
        <v>0</v>
      </c>
      <c r="E34" s="1592">
        <f t="shared" si="1"/>
        <v>0</v>
      </c>
      <c r="F34" s="1592">
        <f t="shared" si="1"/>
        <v>0</v>
      </c>
      <c r="G34" s="1592">
        <f t="shared" si="1"/>
        <v>44</v>
      </c>
      <c r="H34" s="1592">
        <f t="shared" si="1"/>
        <v>0</v>
      </c>
      <c r="I34" s="1592">
        <f t="shared" si="1"/>
        <v>0</v>
      </c>
      <c r="J34" s="1592">
        <f t="shared" si="1"/>
        <v>0</v>
      </c>
      <c r="K34" s="1592">
        <f t="shared" si="1"/>
        <v>0</v>
      </c>
      <c r="L34" s="1593">
        <f>SUM(L33)</f>
        <v>238746</v>
      </c>
      <c r="M34" s="1567"/>
      <c r="N34" s="1577"/>
    </row>
    <row r="35" spans="1:14" ht="18" customHeight="1" thickTop="1" x14ac:dyDescent="0.2">
      <c r="A35" s="2225" t="s">
        <v>526</v>
      </c>
      <c r="B35" s="2226"/>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2889500</v>
      </c>
    </row>
    <row r="37" spans="1:14" ht="13.5" thickBot="1" x14ac:dyDescent="0.25">
      <c r="A37" s="1418" t="s">
        <v>648</v>
      </c>
      <c r="B37" s="1421"/>
      <c r="C37" s="1574"/>
      <c r="D37" s="1574"/>
      <c r="E37" s="1574"/>
      <c r="F37" s="1574"/>
      <c r="G37" s="1574"/>
      <c r="H37" s="1574"/>
      <c r="I37" s="1574"/>
      <c r="J37" s="1574"/>
      <c r="K37" s="1574"/>
      <c r="L37" s="1577"/>
      <c r="M37" s="1567"/>
      <c r="N37" s="1586">
        <f>SUM(N36:N36)</f>
        <v>2889500</v>
      </c>
    </row>
    <row r="38" spans="1:14" s="307" customFormat="1" ht="13.5" customHeight="1" thickTop="1" x14ac:dyDescent="0.2">
      <c r="A38" s="438" t="s">
        <v>417</v>
      </c>
      <c r="B38" s="432">
        <v>714</v>
      </c>
      <c r="C38" s="1565"/>
      <c r="D38" s="1565"/>
      <c r="E38" s="1565">
        <v>533548</v>
      </c>
      <c r="F38" s="1565"/>
      <c r="G38" s="1565">
        <v>595171</v>
      </c>
      <c r="H38" s="1565"/>
      <c r="I38" s="1565"/>
      <c r="J38" s="1566">
        <v>431274</v>
      </c>
      <c r="K38" s="1565">
        <v>270444</v>
      </c>
      <c r="L38" s="1578"/>
      <c r="M38" s="1596"/>
      <c r="N38" s="1596"/>
    </row>
    <row r="39" spans="1:14" s="307" customFormat="1" ht="13.5" customHeight="1" x14ac:dyDescent="0.2">
      <c r="A39" s="438" t="s">
        <v>339</v>
      </c>
      <c r="B39" s="432">
        <v>730</v>
      </c>
      <c r="C39" s="1565">
        <v>7486613</v>
      </c>
      <c r="D39" s="1565">
        <v>356481</v>
      </c>
      <c r="E39" s="1565"/>
      <c r="F39" s="1565">
        <v>139587</v>
      </c>
      <c r="G39" s="1565"/>
      <c r="H39" s="1565">
        <v>115830</v>
      </c>
      <c r="I39" s="1565">
        <v>232370</v>
      </c>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38996879</v>
      </c>
      <c r="N40" s="1596"/>
    </row>
    <row r="41" spans="1:14" ht="13.5" customHeight="1" thickBot="1" x14ac:dyDescent="0.25">
      <c r="A41" s="1418" t="s">
        <v>650</v>
      </c>
      <c r="B41" s="1397"/>
      <c r="C41" s="1586">
        <f>(SUM(C34,C37,C38,C39))</f>
        <v>7487322</v>
      </c>
      <c r="D41" s="1586">
        <f t="shared" ref="D41:L41" si="2">SUM(D34,D37,D38:D39)</f>
        <v>356481</v>
      </c>
      <c r="E41" s="1586">
        <f t="shared" si="2"/>
        <v>533548</v>
      </c>
      <c r="F41" s="1586">
        <f t="shared" si="2"/>
        <v>139587</v>
      </c>
      <c r="G41" s="1586">
        <f t="shared" si="2"/>
        <v>595215</v>
      </c>
      <c r="H41" s="1586">
        <f t="shared" si="2"/>
        <v>115830</v>
      </c>
      <c r="I41" s="1586">
        <f t="shared" si="2"/>
        <v>232370</v>
      </c>
      <c r="J41" s="1586">
        <f t="shared" si="2"/>
        <v>431274</v>
      </c>
      <c r="K41" s="1586">
        <f t="shared" si="2"/>
        <v>270444</v>
      </c>
      <c r="L41" s="1586">
        <f t="shared" si="2"/>
        <v>238746</v>
      </c>
      <c r="M41" s="1586">
        <f>SUM(M40)</f>
        <v>38996879</v>
      </c>
      <c r="N41" s="1586">
        <f>SUM(N37)</f>
        <v>2889500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activeCell="N22" sqref="N22"/>
      <selection pane="bottomLeft" activeCell="N22" sqref="N2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1167</v>
      </c>
      <c r="B3" s="2248"/>
      <c r="C3" s="1303"/>
      <c r="D3" s="1304"/>
      <c r="E3" s="1304"/>
      <c r="F3" s="1304"/>
      <c r="G3" s="1304"/>
      <c r="H3" s="1304"/>
      <c r="I3" s="1304"/>
      <c r="J3" s="1304"/>
      <c r="K3" s="1305"/>
      <c r="L3" s="446"/>
    </row>
    <row r="4" spans="1:13" ht="15.75" customHeight="1" x14ac:dyDescent="0.2">
      <c r="A4" s="1529" t="s">
        <v>1485</v>
      </c>
      <c r="B4" s="1530">
        <v>1000</v>
      </c>
      <c r="C4" s="1598">
        <f>'Revenues 9-14'!C109</f>
        <v>5111454</v>
      </c>
      <c r="D4" s="1598">
        <f>'Revenues 9-14'!D109</f>
        <v>985190</v>
      </c>
      <c r="E4" s="1598">
        <f>'Revenues 9-14'!E109</f>
        <v>718494</v>
      </c>
      <c r="F4" s="1598">
        <f>'Revenues 9-14'!F109</f>
        <v>279319</v>
      </c>
      <c r="G4" s="1598">
        <f>'Revenues 9-14'!G109</f>
        <v>583993</v>
      </c>
      <c r="H4" s="1598">
        <f>'Revenues 9-14'!H109</f>
        <v>521</v>
      </c>
      <c r="I4" s="1598">
        <f>'Revenues 9-14'!I109</f>
        <v>69739</v>
      </c>
      <c r="J4" s="1598">
        <f>'Revenues 9-14'!J109</f>
        <v>490989</v>
      </c>
      <c r="K4" s="1598">
        <f>'Revenues 9-14'!K109</f>
        <v>0</v>
      </c>
      <c r="L4" s="325"/>
    </row>
    <row r="5" spans="1:13" ht="15.75" customHeight="1" x14ac:dyDescent="0.2">
      <c r="A5" s="1306" t="s">
        <v>1486</v>
      </c>
      <c r="B5" s="1307">
        <v>2000</v>
      </c>
      <c r="C5" s="1599">
        <f>'Revenues 9-14'!C114</f>
        <v>1581</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10357698</v>
      </c>
      <c r="D6" s="1599">
        <f>'Revenues 9-14'!D170</f>
        <v>1145557</v>
      </c>
      <c r="E6" s="1599">
        <f>'Revenues 9-14'!E170</f>
        <v>0</v>
      </c>
      <c r="F6" s="1599">
        <f>'Revenues 9-14'!F170</f>
        <v>1499929</v>
      </c>
      <c r="G6" s="1599">
        <f>'Revenues 9-14'!G170</f>
        <v>0</v>
      </c>
      <c r="H6" s="1599">
        <f>'Revenues 9-14'!H170</f>
        <v>15000</v>
      </c>
      <c r="I6" s="1599">
        <f>'Revenues 9-14'!I170</f>
        <v>0</v>
      </c>
      <c r="J6" s="1599">
        <f>'Revenues 9-14'!J170</f>
        <v>0</v>
      </c>
      <c r="K6" s="1599">
        <f>'Revenues 9-14'!K170</f>
        <v>50000</v>
      </c>
      <c r="L6" s="325"/>
      <c r="M6" s="448"/>
    </row>
    <row r="7" spans="1:13" ht="15.75" customHeight="1" x14ac:dyDescent="0.2">
      <c r="A7" s="1306" t="s">
        <v>1488</v>
      </c>
      <c r="B7" s="1308">
        <v>4000</v>
      </c>
      <c r="C7" s="1599">
        <f>'Revenues 9-14'!C267</f>
        <v>2939621</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18410354</v>
      </c>
      <c r="D8" s="1586">
        <f t="shared" ref="D8:K8" si="0">SUM(D4:D7)</f>
        <v>2130747</v>
      </c>
      <c r="E8" s="1586">
        <f t="shared" si="0"/>
        <v>718494</v>
      </c>
      <c r="F8" s="1586">
        <f t="shared" si="0"/>
        <v>1779248</v>
      </c>
      <c r="G8" s="1586">
        <f t="shared" si="0"/>
        <v>583993</v>
      </c>
      <c r="H8" s="1586">
        <f t="shared" si="0"/>
        <v>15521</v>
      </c>
      <c r="I8" s="1586">
        <f t="shared" si="0"/>
        <v>69739</v>
      </c>
      <c r="J8" s="1586">
        <f t="shared" si="0"/>
        <v>490989</v>
      </c>
      <c r="K8" s="1586">
        <f t="shared" si="0"/>
        <v>50000</v>
      </c>
      <c r="L8" s="325"/>
    </row>
    <row r="9" spans="1:13" ht="15.75" thickTop="1" x14ac:dyDescent="0.2">
      <c r="A9" s="449" t="s">
        <v>1637</v>
      </c>
      <c r="B9" s="450">
        <v>3998</v>
      </c>
      <c r="C9" s="1578">
        <v>8192926</v>
      </c>
      <c r="D9" s="1605"/>
      <c r="E9" s="1578"/>
      <c r="F9" s="1578"/>
      <c r="G9" s="1606"/>
      <c r="H9" s="1578"/>
      <c r="I9" s="1601" t="s">
        <v>1161</v>
      </c>
      <c r="J9" s="1575"/>
      <c r="K9" s="1578"/>
      <c r="L9" s="325"/>
    </row>
    <row r="10" spans="1:13" s="452" customFormat="1" ht="13.5" thickBot="1" x14ac:dyDescent="0.25">
      <c r="A10" s="1418" t="s">
        <v>1165</v>
      </c>
      <c r="B10" s="1399"/>
      <c r="C10" s="1586">
        <f>SUM(C8:C9)</f>
        <v>26603280</v>
      </c>
      <c r="D10" s="1586">
        <f t="shared" ref="D10:K10" si="1">SUM(D8:D9)</f>
        <v>2130747</v>
      </c>
      <c r="E10" s="1586">
        <f t="shared" si="1"/>
        <v>718494</v>
      </c>
      <c r="F10" s="1586">
        <f t="shared" si="1"/>
        <v>1779248</v>
      </c>
      <c r="G10" s="1586">
        <f t="shared" si="1"/>
        <v>583993</v>
      </c>
      <c r="H10" s="1586">
        <f t="shared" si="1"/>
        <v>15521</v>
      </c>
      <c r="I10" s="1586">
        <f t="shared" si="1"/>
        <v>69739</v>
      </c>
      <c r="J10" s="1586">
        <f t="shared" si="1"/>
        <v>490989</v>
      </c>
      <c r="K10" s="1586">
        <f t="shared" si="1"/>
        <v>50000</v>
      </c>
      <c r="L10" s="451"/>
    </row>
    <row r="11" spans="1:13" s="452" customFormat="1" ht="16.7" customHeight="1" thickTop="1" x14ac:dyDescent="0.2">
      <c r="A11" s="2221" t="s">
        <v>1168</v>
      </c>
      <c r="B11" s="2222"/>
      <c r="C11" s="1594"/>
      <c r="D11" s="1595"/>
      <c r="E11" s="1595"/>
      <c r="F11" s="1595"/>
      <c r="G11" s="1595"/>
      <c r="H11" s="1595"/>
      <c r="I11" s="1595"/>
      <c r="J11" s="1595"/>
      <c r="K11" s="1607"/>
      <c r="L11" s="451"/>
    </row>
    <row r="12" spans="1:13" ht="15.75" customHeight="1" x14ac:dyDescent="0.2">
      <c r="A12" s="1306" t="s">
        <v>453</v>
      </c>
      <c r="B12" s="1308">
        <v>1000</v>
      </c>
      <c r="C12" s="1598">
        <f>'Expenditures 15-22'!K33</f>
        <v>12043973</v>
      </c>
      <c r="D12" s="1608" t="s">
        <v>1161</v>
      </c>
      <c r="E12" s="1567" t="s">
        <v>1161</v>
      </c>
      <c r="F12" s="1567" t="s">
        <v>1161</v>
      </c>
      <c r="G12" s="1598">
        <f>'Expenditures 15-22'!K229</f>
        <v>278923</v>
      </c>
      <c r="H12" s="1609"/>
      <c r="I12" s="1567" t="s">
        <v>1161</v>
      </c>
      <c r="J12" s="1567" t="s">
        <v>1161</v>
      </c>
      <c r="K12" s="1609" t="s">
        <v>1161</v>
      </c>
      <c r="L12" s="325"/>
    </row>
    <row r="13" spans="1:13" ht="15.75" customHeight="1" x14ac:dyDescent="0.2">
      <c r="A13" s="1306" t="s">
        <v>454</v>
      </c>
      <c r="B13" s="1308">
        <v>2000</v>
      </c>
      <c r="C13" s="1599">
        <f>'Expenditures 15-22'!K74</f>
        <v>4476879</v>
      </c>
      <c r="D13" s="1599">
        <f>'Expenditures 15-22'!K129</f>
        <v>1928677</v>
      </c>
      <c r="E13" s="1568" t="s">
        <v>1161</v>
      </c>
      <c r="F13" s="1599">
        <f>'Expenditures 15-22'!K184</f>
        <v>1709110</v>
      </c>
      <c r="G13" s="1599">
        <f>'Expenditures 15-22'!K279</f>
        <v>309370</v>
      </c>
      <c r="H13" s="1599">
        <f>'Expenditures 15-22'!K303</f>
        <v>0</v>
      </c>
      <c r="I13" s="1567" t="s">
        <v>1161</v>
      </c>
      <c r="J13" s="1599">
        <f>'Expenditures 15-22'!K330</f>
        <v>321798</v>
      </c>
      <c r="K13" s="1610">
        <f>'Expenditures 15-22'!K352</f>
        <v>539556</v>
      </c>
      <c r="L13" s="325"/>
    </row>
    <row r="14" spans="1:13" ht="15.75" customHeight="1" x14ac:dyDescent="0.2">
      <c r="A14" s="1306" t="s">
        <v>446</v>
      </c>
      <c r="B14" s="1308">
        <v>3000</v>
      </c>
      <c r="C14" s="1599">
        <f>'Expenditures 15-22'!K75</f>
        <v>19399</v>
      </c>
      <c r="D14" s="1599">
        <f>'Expenditures 15-22'!K130</f>
        <v>0</v>
      </c>
      <c r="E14" s="1608" t="s">
        <v>1161</v>
      </c>
      <c r="F14" s="1599">
        <f>'Expenditures 15-22'!K185</f>
        <v>0</v>
      </c>
      <c r="G14" s="1599">
        <f>'Expenditures 15-22'!K280</f>
        <v>0</v>
      </c>
      <c r="H14" s="1604"/>
      <c r="I14" s="1567" t="s">
        <v>1161</v>
      </c>
      <c r="J14" s="1567" t="s">
        <v>1161</v>
      </c>
      <c r="K14" s="1604" t="s">
        <v>1161</v>
      </c>
      <c r="L14" s="325"/>
    </row>
    <row r="15" spans="1:13" ht="15.75" customHeight="1" x14ac:dyDescent="0.2">
      <c r="A15" s="1306" t="s">
        <v>107</v>
      </c>
      <c r="B15" s="1308">
        <v>4000</v>
      </c>
      <c r="C15" s="1599">
        <f>'Expenditures 15-22'!K102</f>
        <v>273369</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749684</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16813620</v>
      </c>
      <c r="D17" s="1586">
        <f t="shared" si="2"/>
        <v>1928677</v>
      </c>
      <c r="E17" s="1586">
        <f t="shared" si="2"/>
        <v>749684</v>
      </c>
      <c r="F17" s="1586">
        <f t="shared" si="2"/>
        <v>1709110</v>
      </c>
      <c r="G17" s="1586">
        <f t="shared" si="2"/>
        <v>588293</v>
      </c>
      <c r="H17" s="1586">
        <f t="shared" si="2"/>
        <v>0</v>
      </c>
      <c r="I17" s="1567"/>
      <c r="J17" s="1586">
        <f>SUM(J12:J16)</f>
        <v>321798</v>
      </c>
      <c r="K17" s="1586">
        <f>SUM(K12:K16)</f>
        <v>539556</v>
      </c>
      <c r="L17" s="325"/>
    </row>
    <row r="18" spans="1:12" ht="15" customHeight="1" thickTop="1" x14ac:dyDescent="0.2">
      <c r="A18" s="1422" t="s">
        <v>1638</v>
      </c>
      <c r="B18" s="1423">
        <v>4180</v>
      </c>
      <c r="C18" s="1598">
        <f t="shared" ref="C18:H18" si="3">C9</f>
        <v>8192926</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25006546</v>
      </c>
      <c r="D19" s="1586">
        <f t="shared" si="4"/>
        <v>1928677</v>
      </c>
      <c r="E19" s="1586">
        <f t="shared" si="4"/>
        <v>749684</v>
      </c>
      <c r="F19" s="1586">
        <f t="shared" si="4"/>
        <v>1709110</v>
      </c>
      <c r="G19" s="1586">
        <f t="shared" si="4"/>
        <v>588293</v>
      </c>
      <c r="H19" s="1586">
        <f t="shared" si="4"/>
        <v>0</v>
      </c>
      <c r="I19" s="1567"/>
      <c r="J19" s="1586">
        <f>SUM(J17:J18)</f>
        <v>321798</v>
      </c>
      <c r="K19" s="1586">
        <f>SUM(K17:K18)</f>
        <v>539556</v>
      </c>
      <c r="L19" s="325"/>
    </row>
    <row r="20" spans="1:12" ht="16.5" thickTop="1" thickBot="1" x14ac:dyDescent="0.25">
      <c r="A20" s="2237" t="s">
        <v>1639</v>
      </c>
      <c r="B20" s="2238"/>
      <c r="C20" s="1614">
        <f>C8-C17</f>
        <v>1596734</v>
      </c>
      <c r="D20" s="1614">
        <f t="shared" ref="D20:K20" si="5">D8-D17</f>
        <v>202070</v>
      </c>
      <c r="E20" s="1614">
        <f t="shared" si="5"/>
        <v>-31190</v>
      </c>
      <c r="F20" s="1614">
        <f t="shared" si="5"/>
        <v>70138</v>
      </c>
      <c r="G20" s="1614">
        <f t="shared" si="5"/>
        <v>-4300</v>
      </c>
      <c r="H20" s="1614">
        <f t="shared" si="5"/>
        <v>15521</v>
      </c>
      <c r="I20" s="1614">
        <f t="shared" si="5"/>
        <v>69739</v>
      </c>
      <c r="J20" s="1614">
        <f t="shared" si="5"/>
        <v>169191</v>
      </c>
      <c r="K20" s="1614">
        <f t="shared" si="5"/>
        <v>-489556</v>
      </c>
      <c r="L20" s="325"/>
    </row>
    <row r="21" spans="1:12" ht="16.7" customHeight="1" thickTop="1" x14ac:dyDescent="0.2">
      <c r="A21" s="2249" t="s">
        <v>591</v>
      </c>
      <c r="B21" s="2250"/>
      <c r="C21" s="1594"/>
      <c r="D21" s="1595"/>
      <c r="E21" s="1595"/>
      <c r="F21" s="1595"/>
      <c r="G21" s="1595"/>
      <c r="H21" s="1595"/>
      <c r="I21" s="1595"/>
      <c r="J21" s="1595"/>
      <c r="K21" s="1607"/>
      <c r="L21" s="453"/>
    </row>
    <row r="22" spans="1:12" ht="15.75" customHeight="1" collapsed="1" x14ac:dyDescent="0.2">
      <c r="A22" s="2245" t="s">
        <v>592</v>
      </c>
      <c r="B22" s="2246"/>
      <c r="C22" s="1574"/>
      <c r="D22" s="1574"/>
      <c r="E22" s="1574"/>
      <c r="F22" s="1574"/>
      <c r="G22" s="1574"/>
      <c r="H22" s="1574"/>
      <c r="I22" s="1574"/>
      <c r="J22" s="1574"/>
      <c r="K22" s="1574"/>
      <c r="L22" s="325"/>
    </row>
    <row r="23" spans="1:12" s="433" customFormat="1" ht="15.75" customHeight="1" x14ac:dyDescent="0.2">
      <c r="A23" s="2241" t="s">
        <v>290</v>
      </c>
      <c r="B23" s="2242"/>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1771</v>
      </c>
      <c r="B30" s="455">
        <v>7160</v>
      </c>
      <c r="C30" s="1574"/>
      <c r="D30" s="1566"/>
      <c r="E30" s="1574"/>
      <c r="F30" s="1574"/>
      <c r="G30" s="1574"/>
      <c r="H30" s="1574"/>
      <c r="I30" s="1574"/>
      <c r="J30" s="1574"/>
      <c r="K30" s="1574"/>
      <c r="L30" s="453"/>
    </row>
    <row r="31" spans="1:12" s="433" customFormat="1" ht="26.25" x14ac:dyDescent="0.2">
      <c r="A31" s="1252" t="s">
        <v>1775</v>
      </c>
      <c r="B31" s="455">
        <v>7170</v>
      </c>
      <c r="C31" s="1574"/>
      <c r="D31" s="1574"/>
      <c r="E31" s="1571"/>
      <c r="F31" s="1574"/>
      <c r="G31" s="1574"/>
      <c r="H31" s="1574"/>
      <c r="I31" s="1574"/>
      <c r="J31" s="1574"/>
      <c r="K31" s="1574"/>
      <c r="L31" s="453"/>
    </row>
    <row r="32" spans="1:12" s="433" customFormat="1" ht="15.75" customHeight="1" x14ac:dyDescent="0.2">
      <c r="A32" s="2243" t="s">
        <v>974</v>
      </c>
      <c r="B32" s="2244"/>
      <c r="C32" s="1574"/>
      <c r="D32" s="1574"/>
      <c r="E32" s="1572"/>
      <c r="F32" s="1574"/>
      <c r="G32" s="1574"/>
      <c r="H32" s="1574"/>
      <c r="I32" s="1574"/>
      <c r="J32" s="1574"/>
      <c r="K32" s="1574"/>
      <c r="L32" s="453"/>
    </row>
    <row r="33" spans="1:12" s="433" customFormat="1" x14ac:dyDescent="0.2">
      <c r="A33" s="1252" t="s">
        <v>409</v>
      </c>
      <c r="B33" s="454">
        <v>7210</v>
      </c>
      <c r="C33" s="1566"/>
      <c r="D33" s="1566"/>
      <c r="E33" s="1566">
        <v>15000</v>
      </c>
      <c r="F33" s="1566"/>
      <c r="G33" s="1574"/>
      <c r="H33" s="1566"/>
      <c r="I33" s="1566"/>
      <c r="J33" s="1566"/>
      <c r="K33" s="1566">
        <v>760000</v>
      </c>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0</v>
      </c>
      <c r="F39" s="1574"/>
      <c r="G39" s="1574"/>
      <c r="H39" s="1574"/>
      <c r="I39" s="1574"/>
      <c r="J39" s="1574"/>
      <c r="K39" s="1574"/>
      <c r="L39" s="453"/>
    </row>
    <row r="40" spans="1:12" s="433" customFormat="1" ht="13.5" customHeight="1" x14ac:dyDescent="0.2">
      <c r="A40" s="1252" t="s">
        <v>637</v>
      </c>
      <c r="B40" s="432">
        <v>7700</v>
      </c>
      <c r="C40" s="1574"/>
      <c r="D40" s="1574"/>
      <c r="E40" s="1599">
        <f>SUM(C66:D69)</f>
        <v>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c r="D43" s="1566"/>
      <c r="E43" s="1566"/>
      <c r="F43" s="1566"/>
      <c r="G43" s="1566"/>
      <c r="H43" s="1566"/>
      <c r="I43" s="1566"/>
      <c r="J43" s="1566"/>
      <c r="K43" s="1566"/>
      <c r="L43" s="453"/>
    </row>
    <row r="44" spans="1:12" s="433" customFormat="1" ht="13.5" customHeight="1" thickBot="1" x14ac:dyDescent="0.25">
      <c r="A44" s="2251" t="s">
        <v>371</v>
      </c>
      <c r="B44" s="2252"/>
      <c r="C44" s="1616">
        <f>SUM(C24:C43)</f>
        <v>0</v>
      </c>
      <c r="D44" s="1616">
        <f t="shared" ref="D44:K44" si="6">SUM(D24:D43)</f>
        <v>0</v>
      </c>
      <c r="E44" s="1616">
        <f t="shared" si="6"/>
        <v>15000</v>
      </c>
      <c r="F44" s="1616">
        <f t="shared" si="6"/>
        <v>0</v>
      </c>
      <c r="G44" s="1616">
        <f t="shared" si="6"/>
        <v>0</v>
      </c>
      <c r="H44" s="1616">
        <f t="shared" si="6"/>
        <v>0</v>
      </c>
      <c r="I44" s="1616">
        <f t="shared" si="6"/>
        <v>0</v>
      </c>
      <c r="J44" s="1616">
        <f t="shared" si="6"/>
        <v>0</v>
      </c>
      <c r="K44" s="1616">
        <f t="shared" si="6"/>
        <v>760000</v>
      </c>
      <c r="L44" s="453"/>
    </row>
    <row r="45" spans="1:12" ht="15.75" customHeight="1" thickTop="1" x14ac:dyDescent="0.2">
      <c r="A45" s="2245" t="s">
        <v>108</v>
      </c>
      <c r="B45" s="2246"/>
      <c r="C45" s="1617"/>
      <c r="D45" s="1617"/>
      <c r="E45" s="1617"/>
      <c r="F45" s="1617"/>
      <c r="G45" s="1617"/>
      <c r="H45" s="1617"/>
      <c r="I45" s="1617"/>
      <c r="J45" s="1617"/>
      <c r="K45" s="1617"/>
      <c r="L45" s="325"/>
    </row>
    <row r="46" spans="1:12" s="433" customFormat="1" ht="15.75" customHeight="1" x14ac:dyDescent="0.2">
      <c r="A46" s="2253" t="s">
        <v>109</v>
      </c>
      <c r="B46" s="2254"/>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1774</v>
      </c>
      <c r="B52" s="432">
        <v>8160</v>
      </c>
      <c r="C52" s="1574"/>
      <c r="D52" s="1574"/>
      <c r="E52" s="1574"/>
      <c r="F52" s="1574"/>
      <c r="G52" s="1574"/>
      <c r="H52" s="1574"/>
      <c r="I52" s="1574"/>
      <c r="J52" s="1574"/>
      <c r="K52" s="1599">
        <f>D30</f>
        <v>0</v>
      </c>
      <c r="L52" s="453"/>
    </row>
    <row r="53" spans="1:12" s="433" customFormat="1" ht="26.25" x14ac:dyDescent="0.2">
      <c r="A53" s="1253" t="s">
        <v>1773</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27" t="s">
        <v>437</v>
      </c>
      <c r="B76" s="2228"/>
      <c r="C76" s="1616">
        <f t="shared" ref="C76:K76" si="7">SUM(C47:C75)</f>
        <v>0</v>
      </c>
      <c r="D76" s="1616">
        <f t="shared" si="7"/>
        <v>0</v>
      </c>
      <c r="E76" s="1616">
        <f t="shared" si="7"/>
        <v>0</v>
      </c>
      <c r="F76" s="1616">
        <f t="shared" si="7"/>
        <v>0</v>
      </c>
      <c r="G76" s="1616">
        <f t="shared" si="7"/>
        <v>0</v>
      </c>
      <c r="H76" s="1616">
        <f t="shared" si="7"/>
        <v>0</v>
      </c>
      <c r="I76" s="1616">
        <f t="shared" si="7"/>
        <v>0</v>
      </c>
      <c r="J76" s="1616">
        <f t="shared" si="7"/>
        <v>0</v>
      </c>
      <c r="K76" s="1616">
        <f t="shared" si="7"/>
        <v>0</v>
      </c>
      <c r="L76" s="453"/>
    </row>
    <row r="77" spans="1:12" ht="14.25" thickTop="1" thickBot="1" x14ac:dyDescent="0.25">
      <c r="A77" s="2229" t="s">
        <v>1169</v>
      </c>
      <c r="B77" s="2230"/>
      <c r="C77" s="1616">
        <f t="shared" ref="C77:K77" si="8">C44-C76</f>
        <v>0</v>
      </c>
      <c r="D77" s="1616">
        <f t="shared" si="8"/>
        <v>0</v>
      </c>
      <c r="E77" s="1616">
        <f t="shared" si="8"/>
        <v>15000</v>
      </c>
      <c r="F77" s="1616">
        <f t="shared" si="8"/>
        <v>0</v>
      </c>
      <c r="G77" s="1616">
        <f t="shared" si="8"/>
        <v>0</v>
      </c>
      <c r="H77" s="1616">
        <f t="shared" si="8"/>
        <v>0</v>
      </c>
      <c r="I77" s="1616">
        <f t="shared" si="8"/>
        <v>0</v>
      </c>
      <c r="J77" s="1616">
        <f t="shared" si="8"/>
        <v>0</v>
      </c>
      <c r="K77" s="1616">
        <f t="shared" si="8"/>
        <v>760000</v>
      </c>
      <c r="L77" s="325"/>
    </row>
    <row r="78" spans="1:12" ht="21.75" customHeight="1" thickTop="1" thickBot="1" x14ac:dyDescent="0.25">
      <c r="A78" s="2233" t="s">
        <v>593</v>
      </c>
      <c r="B78" s="2234"/>
      <c r="C78" s="1621">
        <f t="shared" ref="C78:K78" si="9">C20+C77</f>
        <v>1596734</v>
      </c>
      <c r="D78" s="1621">
        <f t="shared" si="9"/>
        <v>202070</v>
      </c>
      <c r="E78" s="1621">
        <f t="shared" si="9"/>
        <v>-16190</v>
      </c>
      <c r="F78" s="1621">
        <f t="shared" si="9"/>
        <v>70138</v>
      </c>
      <c r="G78" s="1621">
        <f t="shared" si="9"/>
        <v>-4300</v>
      </c>
      <c r="H78" s="1621">
        <f t="shared" si="9"/>
        <v>15521</v>
      </c>
      <c r="I78" s="1621">
        <f t="shared" si="9"/>
        <v>69739</v>
      </c>
      <c r="J78" s="1621">
        <f t="shared" si="9"/>
        <v>169191</v>
      </c>
      <c r="K78" s="1621">
        <f t="shared" si="9"/>
        <v>270444</v>
      </c>
      <c r="L78" s="457"/>
    </row>
    <row r="79" spans="1:12" ht="13.5" thickTop="1" x14ac:dyDescent="0.2">
      <c r="A79" s="1836" t="str">
        <f>"Fund Balances - July 1, "&amp;'AFR20'!E2-1</f>
        <v>Fund Balances - July 1, 2019</v>
      </c>
      <c r="B79" s="458"/>
      <c r="C79" s="1575">
        <v>5889879</v>
      </c>
      <c r="D79" s="1622">
        <v>154411</v>
      </c>
      <c r="E79" s="1622">
        <v>549738</v>
      </c>
      <c r="F79" s="1622">
        <v>69449</v>
      </c>
      <c r="G79" s="1622">
        <v>599471</v>
      </c>
      <c r="H79" s="1622">
        <v>100309</v>
      </c>
      <c r="I79" s="1622">
        <v>162631</v>
      </c>
      <c r="J79" s="1622">
        <v>262083</v>
      </c>
      <c r="K79" s="1622">
        <v>0</v>
      </c>
      <c r="L79" s="325"/>
    </row>
    <row r="80" spans="1:12" x14ac:dyDescent="0.2">
      <c r="A80" s="2239" t="s">
        <v>1772</v>
      </c>
      <c r="B80" s="2240"/>
      <c r="C80" s="1566"/>
      <c r="D80" s="1566"/>
      <c r="E80" s="1566"/>
      <c r="F80" s="1566"/>
      <c r="G80" s="1566"/>
      <c r="H80" s="1566"/>
      <c r="I80" s="1566"/>
      <c r="J80" s="1566"/>
      <c r="K80" s="1566"/>
      <c r="L80" s="325"/>
    </row>
    <row r="81" spans="1:12" ht="13.5" thickBot="1" x14ac:dyDescent="0.25">
      <c r="A81" s="2231" t="str">
        <f>"Fund Balances - June 30, "&amp;'AFR20'!E2</f>
        <v>Fund Balances - June 30, 2020</v>
      </c>
      <c r="B81" s="2232"/>
      <c r="C81" s="1586">
        <f>(SUM(C78:C80))</f>
        <v>7486613</v>
      </c>
      <c r="D81" s="1586">
        <f>SUM(D78:D80)</f>
        <v>356481</v>
      </c>
      <c r="E81" s="1586">
        <f t="shared" ref="E81:K81" si="10">SUM(E78:E80)</f>
        <v>533548</v>
      </c>
      <c r="F81" s="1586">
        <f t="shared" si="10"/>
        <v>139587</v>
      </c>
      <c r="G81" s="1586">
        <f t="shared" si="10"/>
        <v>595171</v>
      </c>
      <c r="H81" s="1586">
        <f t="shared" si="10"/>
        <v>115830</v>
      </c>
      <c r="I81" s="1586">
        <f t="shared" si="10"/>
        <v>232370</v>
      </c>
      <c r="J81" s="1586">
        <f t="shared" si="10"/>
        <v>431274</v>
      </c>
      <c r="K81" s="1586">
        <f t="shared" si="10"/>
        <v>270444</v>
      </c>
      <c r="L81" s="325"/>
    </row>
    <row r="82" spans="1:12" ht="0.75" customHeight="1" thickTop="1" thickBot="1" x14ac:dyDescent="0.25">
      <c r="A82" s="459" t="s">
        <v>340</v>
      </c>
      <c r="B82" s="460"/>
      <c r="C82" s="461">
        <f>(C81-C79)</f>
        <v>1596734</v>
      </c>
      <c r="D82" s="461">
        <f t="shared" ref="D82:K82" si="11">(D81-D79)</f>
        <v>202070</v>
      </c>
      <c r="E82" s="461">
        <f t="shared" si="11"/>
        <v>-16190</v>
      </c>
      <c r="F82" s="461">
        <f t="shared" si="11"/>
        <v>70138</v>
      </c>
      <c r="G82" s="461">
        <f t="shared" si="11"/>
        <v>-4300</v>
      </c>
      <c r="H82" s="461">
        <f t="shared" si="11"/>
        <v>15521</v>
      </c>
      <c r="I82" s="461">
        <f t="shared" si="11"/>
        <v>69739</v>
      </c>
      <c r="J82" s="461">
        <f t="shared" si="11"/>
        <v>169191</v>
      </c>
      <c r="K82" s="461">
        <f t="shared" si="11"/>
        <v>270444</v>
      </c>
    </row>
    <row r="83" spans="1:12" ht="14.25" hidden="1" thickTop="1" thickBot="1" x14ac:dyDescent="0.25">
      <c r="A83" s="462" t="s">
        <v>341</v>
      </c>
      <c r="B83" s="428"/>
      <c r="C83" s="463">
        <f>C82/C81</f>
        <v>0.21327855466817905</v>
      </c>
      <c r="D83" s="463">
        <f t="shared" ref="D83:K83" si="12">D82/D81</f>
        <v>0.56684647989654424</v>
      </c>
      <c r="E83" s="463">
        <f t="shared" si="12"/>
        <v>-3.0344036525298566E-2</v>
      </c>
      <c r="F83" s="463">
        <f t="shared" si="12"/>
        <v>0.50246799487058247</v>
      </c>
      <c r="G83" s="463">
        <f t="shared" si="12"/>
        <v>-7.2248143810770349E-3</v>
      </c>
      <c r="H83" s="463">
        <f t="shared" si="12"/>
        <v>0.13399810066476733</v>
      </c>
      <c r="I83" s="463">
        <f t="shared" si="12"/>
        <v>0.30012049748246333</v>
      </c>
      <c r="J83" s="463">
        <f t="shared" si="12"/>
        <v>0.39230512388875749</v>
      </c>
      <c r="K83" s="463">
        <f t="shared" si="12"/>
        <v>1</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01" activePane="bottomLeft" state="frozen"/>
      <selection activeCell="N22" sqref="N22"/>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1779</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3943985</v>
      </c>
      <c r="D5" s="1578">
        <v>750446</v>
      </c>
      <c r="E5" s="1565">
        <v>716343</v>
      </c>
      <c r="F5" s="1623">
        <v>278996</v>
      </c>
      <c r="G5" s="1565">
        <v>234512</v>
      </c>
      <c r="H5" s="1565"/>
      <c r="I5" s="1565">
        <v>69609</v>
      </c>
      <c r="J5" s="1566">
        <v>490543</v>
      </c>
      <c r="K5" s="1565"/>
    </row>
    <row r="6" spans="1:12" ht="15" x14ac:dyDescent="0.2">
      <c r="A6" s="427" t="s">
        <v>1646</v>
      </c>
      <c r="B6" s="429">
        <v>1130</v>
      </c>
      <c r="C6" s="1565"/>
      <c r="D6" s="1565">
        <v>35772</v>
      </c>
      <c r="E6" s="1572"/>
      <c r="F6" s="1572"/>
      <c r="G6" s="1567"/>
      <c r="H6" s="1567"/>
      <c r="I6" s="1567"/>
      <c r="J6" s="1567"/>
      <c r="K6" s="1567"/>
    </row>
    <row r="7" spans="1:12" x14ac:dyDescent="0.2">
      <c r="A7" s="427" t="s">
        <v>110</v>
      </c>
      <c r="B7" s="471">
        <v>1140</v>
      </c>
      <c r="C7" s="1565"/>
      <c r="D7" s="1565"/>
      <c r="E7" s="1567"/>
      <c r="F7" s="1566"/>
      <c r="G7" s="1566"/>
      <c r="H7" s="1566"/>
      <c r="I7" s="1567"/>
      <c r="J7" s="1567"/>
      <c r="K7" s="1567"/>
    </row>
    <row r="8" spans="1:12" x14ac:dyDescent="0.2">
      <c r="A8" s="427" t="s">
        <v>410</v>
      </c>
      <c r="B8" s="429">
        <v>1150</v>
      </c>
      <c r="C8" s="1572"/>
      <c r="D8" s="1572"/>
      <c r="E8" s="1574"/>
      <c r="F8" s="1574"/>
      <c r="G8" s="1578">
        <v>234512</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3943985</v>
      </c>
      <c r="D12" s="1625">
        <f t="shared" si="0"/>
        <v>786218</v>
      </c>
      <c r="E12" s="1625">
        <f t="shared" si="0"/>
        <v>716343</v>
      </c>
      <c r="F12" s="1625">
        <f t="shared" si="0"/>
        <v>278996</v>
      </c>
      <c r="G12" s="1625">
        <f t="shared" si="0"/>
        <v>469024</v>
      </c>
      <c r="H12" s="1625">
        <f t="shared" si="0"/>
        <v>0</v>
      </c>
      <c r="I12" s="1625">
        <f t="shared" si="0"/>
        <v>69609</v>
      </c>
      <c r="J12" s="1625">
        <f t="shared" si="0"/>
        <v>490543</v>
      </c>
      <c r="K12" s="1586">
        <f t="shared" si="0"/>
        <v>0</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c r="D14" s="1565"/>
      <c r="E14" s="1565"/>
      <c r="F14" s="1565"/>
      <c r="G14" s="1565"/>
      <c r="H14" s="1565"/>
      <c r="I14" s="1565"/>
      <c r="J14" s="1566"/>
      <c r="K14" s="1565"/>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631486</v>
      </c>
      <c r="D16" s="1565">
        <v>194562</v>
      </c>
      <c r="E16" s="1565"/>
      <c r="F16" s="1565"/>
      <c r="G16" s="1565">
        <v>114969</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631486</v>
      </c>
      <c r="D18" s="1627">
        <f t="shared" ref="D18:K18" si="1">SUM(D14:D17)</f>
        <v>194562</v>
      </c>
      <c r="E18" s="1627">
        <f t="shared" si="1"/>
        <v>0</v>
      </c>
      <c r="F18" s="1627">
        <f t="shared" si="1"/>
        <v>0</v>
      </c>
      <c r="G18" s="1627">
        <f t="shared" si="1"/>
        <v>114969</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0</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118843</v>
      </c>
      <c r="D65" s="1565">
        <v>1487</v>
      </c>
      <c r="E65" s="1565">
        <v>2151</v>
      </c>
      <c r="F65" s="1566">
        <v>323</v>
      </c>
      <c r="G65" s="1565"/>
      <c r="H65" s="1565">
        <v>521</v>
      </c>
      <c r="I65" s="1565">
        <v>130</v>
      </c>
      <c r="J65" s="1566">
        <v>446</v>
      </c>
      <c r="K65" s="1565"/>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118843</v>
      </c>
      <c r="D67" s="1586">
        <f t="shared" ref="D67:K67" si="2">SUM(D65:D66)</f>
        <v>1487</v>
      </c>
      <c r="E67" s="1586">
        <f t="shared" si="2"/>
        <v>2151</v>
      </c>
      <c r="F67" s="1586">
        <f t="shared" si="2"/>
        <v>323</v>
      </c>
      <c r="G67" s="1586">
        <f t="shared" si="2"/>
        <v>0</v>
      </c>
      <c r="H67" s="1586">
        <f t="shared" si="2"/>
        <v>521</v>
      </c>
      <c r="I67" s="1586">
        <f t="shared" si="2"/>
        <v>130</v>
      </c>
      <c r="J67" s="1586">
        <f t="shared" si="2"/>
        <v>446</v>
      </c>
      <c r="K67" s="1586">
        <f t="shared" si="2"/>
        <v>0</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v>40717</v>
      </c>
      <c r="D69" s="1567"/>
      <c r="E69" s="1567"/>
      <c r="F69" s="1567"/>
      <c r="G69" s="1567"/>
      <c r="H69" s="1567"/>
      <c r="I69" s="1567"/>
      <c r="J69" s="1567"/>
      <c r="K69" s="1567"/>
    </row>
    <row r="70" spans="1:11" ht="12.75" customHeight="1" x14ac:dyDescent="0.2">
      <c r="A70" s="427" t="s">
        <v>990</v>
      </c>
      <c r="B70" s="429">
        <v>1612</v>
      </c>
      <c r="C70" s="1624"/>
      <c r="D70" s="1567"/>
      <c r="E70" s="1567"/>
      <c r="F70" s="1567"/>
      <c r="G70" s="1567"/>
      <c r="H70" s="1567"/>
      <c r="I70" s="1567"/>
      <c r="J70" s="1567"/>
      <c r="K70" s="1567"/>
    </row>
    <row r="71" spans="1:11" ht="12.75" customHeight="1" x14ac:dyDescent="0.2">
      <c r="A71" s="427" t="s">
        <v>271</v>
      </c>
      <c r="B71" s="429">
        <v>1613</v>
      </c>
      <c r="C71" s="1624">
        <v>124812</v>
      </c>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12072</v>
      </c>
      <c r="D73" s="1567"/>
      <c r="E73" s="1567"/>
      <c r="F73" s="1567"/>
      <c r="G73" s="1567"/>
      <c r="H73" s="1567"/>
      <c r="I73" s="1567"/>
      <c r="J73" s="1567"/>
      <c r="K73" s="1567"/>
    </row>
    <row r="74" spans="1:11" ht="12.75" customHeight="1" x14ac:dyDescent="0.2">
      <c r="A74" s="427" t="s">
        <v>25</v>
      </c>
      <c r="B74" s="429">
        <v>1690</v>
      </c>
      <c r="C74" s="1624">
        <v>2956</v>
      </c>
      <c r="D74" s="1567"/>
      <c r="E74" s="1567"/>
      <c r="F74" s="1567"/>
      <c r="G74" s="1567"/>
      <c r="H74" s="1567"/>
      <c r="I74" s="1567"/>
      <c r="J74" s="1567"/>
      <c r="K74" s="1567"/>
    </row>
    <row r="75" spans="1:11" ht="12.75" customHeight="1" thickBot="1" x14ac:dyDescent="0.25">
      <c r="A75" s="1398" t="s">
        <v>544</v>
      </c>
      <c r="B75" s="1399"/>
      <c r="C75" s="1586">
        <f>SUM(C69:C74)</f>
        <v>180557</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48437</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48437</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v>19484</v>
      </c>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19484</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c r="E95" s="1609"/>
      <c r="F95" s="1609"/>
      <c r="G95" s="1609"/>
      <c r="H95" s="1609"/>
      <c r="I95" s="1609"/>
      <c r="J95" s="1609"/>
      <c r="K95" s="1609"/>
    </row>
    <row r="96" spans="1:11" ht="12.75" customHeight="1" x14ac:dyDescent="0.2">
      <c r="A96" s="427" t="s">
        <v>388</v>
      </c>
      <c r="B96" s="429">
        <v>1920</v>
      </c>
      <c r="C96" s="1624">
        <v>14302</v>
      </c>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125782</v>
      </c>
      <c r="D99" s="1565"/>
      <c r="E99" s="1565"/>
      <c r="F99" s="1565"/>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v>28578</v>
      </c>
      <c r="D107" s="1565">
        <v>2923</v>
      </c>
      <c r="E107" s="1565"/>
      <c r="F107" s="1565"/>
      <c r="G107" s="1565"/>
      <c r="H107" s="1565"/>
      <c r="I107" s="1565"/>
      <c r="J107" s="1566"/>
      <c r="K107" s="1565"/>
    </row>
    <row r="108" spans="1:12" ht="12.75" customHeight="1" thickBot="1" x14ac:dyDescent="0.25">
      <c r="A108" s="1398" t="s">
        <v>484</v>
      </c>
      <c r="B108" s="1400"/>
      <c r="C108" s="1625">
        <f>SUM(C95:C107)</f>
        <v>168662</v>
      </c>
      <c r="D108" s="1625">
        <f t="shared" ref="D108:K108" si="3">SUM(D95:D107)</f>
        <v>2923</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5111454</v>
      </c>
      <c r="D109" s="1633">
        <f t="shared" si="4"/>
        <v>985190</v>
      </c>
      <c r="E109" s="1633">
        <f t="shared" si="4"/>
        <v>718494</v>
      </c>
      <c r="F109" s="1633">
        <f t="shared" si="4"/>
        <v>279319</v>
      </c>
      <c r="G109" s="1633">
        <f t="shared" si="4"/>
        <v>583993</v>
      </c>
      <c r="H109" s="1633">
        <f t="shared" si="4"/>
        <v>521</v>
      </c>
      <c r="I109" s="1633">
        <f t="shared" si="4"/>
        <v>69739</v>
      </c>
      <c r="J109" s="1633">
        <f t="shared" si="4"/>
        <v>490989</v>
      </c>
      <c r="K109" s="1621">
        <f t="shared" si="4"/>
        <v>0</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v>1581</v>
      </c>
      <c r="D111" s="1578"/>
      <c r="E111" s="1632"/>
      <c r="F111" s="1578"/>
      <c r="G111" s="1578"/>
      <c r="H111" s="1632"/>
      <c r="I111" s="1567"/>
      <c r="J111" s="1567"/>
      <c r="K111" s="1567"/>
    </row>
    <row r="112" spans="1:12" ht="12.75" customHeight="1" x14ac:dyDescent="0.2">
      <c r="A112" s="427" t="s">
        <v>819</v>
      </c>
      <c r="B112" s="429">
        <v>2200</v>
      </c>
      <c r="C112" s="1624"/>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1581</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9852332</v>
      </c>
      <c r="D117" s="1578">
        <v>1145557</v>
      </c>
      <c r="E117" s="1565"/>
      <c r="F117" s="1578">
        <v>585017</v>
      </c>
      <c r="G117" s="1578"/>
      <c r="H117" s="1565">
        <v>15000</v>
      </c>
      <c r="I117" s="1567"/>
      <c r="J117" s="1566"/>
      <c r="K117" s="1565"/>
    </row>
    <row r="118" spans="1:11" ht="12.75" customHeight="1" x14ac:dyDescent="0.2">
      <c r="A118" s="427" t="s">
        <v>1776</v>
      </c>
      <c r="B118" s="478">
        <v>3002</v>
      </c>
      <c r="C118" s="1624"/>
      <c r="D118" s="1565"/>
      <c r="E118" s="1565"/>
      <c r="F118" s="1565"/>
      <c r="G118" s="1565"/>
      <c r="H118" s="1565"/>
      <c r="I118" s="1567"/>
      <c r="J118" s="1566"/>
      <c r="K118" s="1565"/>
    </row>
    <row r="119" spans="1:11" ht="12.75" customHeight="1" x14ac:dyDescent="0.2">
      <c r="A119" s="427" t="s">
        <v>1777</v>
      </c>
      <c r="B119" s="478">
        <v>3005</v>
      </c>
      <c r="C119" s="1624"/>
      <c r="D119" s="1565"/>
      <c r="E119" s="1565"/>
      <c r="F119" s="1565"/>
      <c r="G119" s="1565"/>
      <c r="H119" s="1565"/>
      <c r="I119" s="1567"/>
      <c r="J119" s="1566"/>
      <c r="K119" s="1565"/>
    </row>
    <row r="120" spans="1:11" ht="12.75" customHeight="1" x14ac:dyDescent="0.2">
      <c r="A120" s="1531" t="s">
        <v>1895</v>
      </c>
      <c r="B120" s="478">
        <v>3030</v>
      </c>
      <c r="C120" s="1624"/>
      <c r="D120" s="1565"/>
      <c r="E120" s="1565"/>
      <c r="F120" s="1565"/>
      <c r="G120" s="1565"/>
      <c r="H120" s="1565"/>
      <c r="I120" s="1567"/>
      <c r="J120" s="1566"/>
      <c r="K120" s="1565"/>
    </row>
    <row r="121" spans="1:11" x14ac:dyDescent="0.2">
      <c r="A121" s="1258" t="s">
        <v>1778</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9852332</v>
      </c>
      <c r="D122" s="1625">
        <f t="shared" si="5"/>
        <v>1145557</v>
      </c>
      <c r="E122" s="1625">
        <f t="shared" si="5"/>
        <v>0</v>
      </c>
      <c r="F122" s="1625">
        <f t="shared" si="5"/>
        <v>585017</v>
      </c>
      <c r="G122" s="1625">
        <f t="shared" si="5"/>
        <v>0</v>
      </c>
      <c r="H122" s="1625">
        <f t="shared" si="5"/>
        <v>15000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v>39215</v>
      </c>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39215</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v>6016</v>
      </c>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6016</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10059</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19061</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c r="G152" s="1566"/>
      <c r="H152" s="1567"/>
      <c r="I152" s="1567"/>
      <c r="J152" s="1567"/>
      <c r="K152" s="1567"/>
    </row>
    <row r="153" spans="1:11" ht="12.75" customHeight="1" x14ac:dyDescent="0.2">
      <c r="A153" s="427" t="s">
        <v>1050</v>
      </c>
      <c r="B153" s="478">
        <v>3510</v>
      </c>
      <c r="C153" s="1624"/>
      <c r="D153" s="1565"/>
      <c r="E153" s="1632"/>
      <c r="F153" s="1565">
        <v>914912</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914912</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397287</v>
      </c>
      <c r="D159" s="1645"/>
      <c r="E159" s="1632"/>
      <c r="F159" s="1643"/>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c r="E167" s="1609"/>
      <c r="F167" s="1609"/>
      <c r="G167" s="1567"/>
      <c r="H167" s="1619"/>
      <c r="I167" s="1567"/>
      <c r="J167" s="1567"/>
      <c r="K167" s="1618">
        <v>50000</v>
      </c>
    </row>
    <row r="168" spans="1:11" ht="14.25" thickTop="1" thickBot="1" x14ac:dyDescent="0.25">
      <c r="A168" s="1262" t="s">
        <v>70</v>
      </c>
      <c r="B168" s="484">
        <v>3999</v>
      </c>
      <c r="C168" s="1646">
        <v>33728</v>
      </c>
      <c r="D168" s="1647"/>
      <c r="E168" s="1647"/>
      <c r="F168" s="1647"/>
      <c r="G168" s="1648"/>
      <c r="H168" s="1649"/>
      <c r="I168" s="1648"/>
      <c r="J168" s="1648"/>
      <c r="K168" s="1649"/>
    </row>
    <row r="169" spans="1:11" ht="12.75" customHeight="1" thickTop="1" thickBot="1" x14ac:dyDescent="0.25">
      <c r="A169" s="2255" t="s">
        <v>395</v>
      </c>
      <c r="B169" s="2256"/>
      <c r="C169" s="1650">
        <f t="shared" ref="C169:K169" si="6">SUM(C132,C141,C145,C146:C150,C155,C156:C167,C168)</f>
        <v>505366</v>
      </c>
      <c r="D169" s="1650">
        <f t="shared" si="6"/>
        <v>0</v>
      </c>
      <c r="E169" s="1650">
        <f t="shared" si="6"/>
        <v>0</v>
      </c>
      <c r="F169" s="1650">
        <f t="shared" si="6"/>
        <v>914912</v>
      </c>
      <c r="G169" s="1650">
        <f t="shared" si="6"/>
        <v>0</v>
      </c>
      <c r="H169" s="1650">
        <f t="shared" si="6"/>
        <v>0</v>
      </c>
      <c r="I169" s="1650">
        <f t="shared" si="6"/>
        <v>0</v>
      </c>
      <c r="J169" s="1650">
        <f t="shared" si="6"/>
        <v>0</v>
      </c>
      <c r="K169" s="1616">
        <f t="shared" si="6"/>
        <v>50000</v>
      </c>
    </row>
    <row r="170" spans="1:11" ht="12.75" customHeight="1" thickTop="1" thickBot="1" x14ac:dyDescent="0.25">
      <c r="A170" s="1398" t="s">
        <v>396</v>
      </c>
      <c r="B170" s="1402" t="s">
        <v>571</v>
      </c>
      <c r="C170" s="1633">
        <f t="shared" ref="C170:K170" si="7">SUM(C122,C169)</f>
        <v>10357698</v>
      </c>
      <c r="D170" s="1633">
        <f t="shared" si="7"/>
        <v>1145557</v>
      </c>
      <c r="E170" s="1633">
        <f t="shared" si="7"/>
        <v>0</v>
      </c>
      <c r="F170" s="1633">
        <f t="shared" si="7"/>
        <v>1499929</v>
      </c>
      <c r="G170" s="1633">
        <f t="shared" si="7"/>
        <v>0</v>
      </c>
      <c r="H170" s="1633">
        <f t="shared" si="7"/>
        <v>15000</v>
      </c>
      <c r="I170" s="1633">
        <f t="shared" si="7"/>
        <v>0</v>
      </c>
      <c r="J170" s="1633">
        <f t="shared" si="7"/>
        <v>0</v>
      </c>
      <c r="K170" s="1621">
        <f t="shared" si="7"/>
        <v>50000</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57" t="s">
        <v>1478</v>
      </c>
      <c r="B172" s="2258"/>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61" t="s">
        <v>1649</v>
      </c>
      <c r="B175" s="2262"/>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65" t="s">
        <v>1648</v>
      </c>
      <c r="B176" s="2266"/>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63" t="s">
        <v>780</v>
      </c>
      <c r="B181" s="2264"/>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59" t="s">
        <v>1780</v>
      </c>
      <c r="B182" s="2260"/>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v>37775</v>
      </c>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37775</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498282</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187877</v>
      </c>
      <c r="D193" s="1567"/>
      <c r="E193" s="1632"/>
      <c r="F193" s="1567"/>
      <c r="G193" s="1656"/>
      <c r="H193" s="1567"/>
      <c r="I193" s="1567"/>
      <c r="J193" s="1567"/>
      <c r="K193" s="1567"/>
    </row>
    <row r="194" spans="1:11" ht="12.75" customHeight="1" x14ac:dyDescent="0.2">
      <c r="A194" s="427" t="s">
        <v>1437</v>
      </c>
      <c r="B194" s="429">
        <v>4225</v>
      </c>
      <c r="C194" s="1624">
        <v>394751</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c r="D196" s="1567"/>
      <c r="E196" s="1632"/>
      <c r="F196" s="1567"/>
      <c r="G196" s="1657"/>
      <c r="H196" s="1567"/>
      <c r="I196" s="1567"/>
      <c r="J196" s="1567"/>
      <c r="K196" s="1567"/>
    </row>
    <row r="197" spans="1:11" ht="12.75" customHeight="1" x14ac:dyDescent="0.2">
      <c r="A197" s="427" t="s">
        <v>71</v>
      </c>
      <c r="B197" s="429">
        <v>4299</v>
      </c>
      <c r="C197" s="1624"/>
      <c r="D197" s="1567"/>
      <c r="E197" s="1632"/>
      <c r="F197" s="1567"/>
      <c r="G197" s="1656"/>
      <c r="H197" s="1567"/>
      <c r="I197" s="1567"/>
      <c r="J197" s="1567"/>
      <c r="K197" s="1567"/>
    </row>
    <row r="198" spans="1:11" ht="12.75" customHeight="1" thickBot="1" x14ac:dyDescent="0.25">
      <c r="A198" s="1398" t="s">
        <v>544</v>
      </c>
      <c r="B198" s="1399"/>
      <c r="C198" s="1586">
        <f>SUM(C190:C197)</f>
        <v>1080910</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946445</v>
      </c>
      <c r="D200" s="1565"/>
      <c r="E200" s="1567"/>
      <c r="F200" s="1565"/>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c r="D203" s="1565"/>
      <c r="E203" s="1567"/>
      <c r="F203" s="1565"/>
      <c r="G203" s="1565"/>
      <c r="H203" s="1567"/>
      <c r="I203" s="1567"/>
      <c r="J203" s="1567"/>
      <c r="K203" s="1567"/>
    </row>
    <row r="204" spans="1:11" ht="12.75" customHeight="1" thickBot="1" x14ac:dyDescent="0.25">
      <c r="A204" s="1398" t="s">
        <v>397</v>
      </c>
      <c r="B204" s="1399"/>
      <c r="C204" s="1625">
        <f>SUM(C200:C203)</f>
        <v>946445</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c r="D206" s="1565"/>
      <c r="E206" s="1567"/>
      <c r="F206" s="1565"/>
      <c r="G206" s="1565"/>
      <c r="H206" s="1567"/>
      <c r="I206" s="1567"/>
      <c r="J206" s="1567"/>
      <c r="K206" s="1567"/>
    </row>
    <row r="207" spans="1:11" ht="12.75" customHeight="1" x14ac:dyDescent="0.2">
      <c r="A207" s="427" t="s">
        <v>1439</v>
      </c>
      <c r="B207" s="429">
        <v>4421</v>
      </c>
      <c r="C207" s="1624"/>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0</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v>14262</v>
      </c>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v>527717</v>
      </c>
      <c r="D213" s="1565"/>
      <c r="E213" s="1567"/>
      <c r="F213" s="1565"/>
      <c r="G213" s="1565"/>
      <c r="H213" s="1567"/>
      <c r="I213" s="1567"/>
      <c r="J213" s="1567"/>
      <c r="K213" s="1567"/>
    </row>
    <row r="214" spans="1:11" ht="12.75" customHeight="1" x14ac:dyDescent="0.2">
      <c r="A214" s="427" t="s">
        <v>1047</v>
      </c>
      <c r="B214" s="429">
        <v>4625</v>
      </c>
      <c r="C214" s="1624">
        <v>11400</v>
      </c>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553379</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v>112036</v>
      </c>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1896</v>
      </c>
      <c r="B261" s="429">
        <v>4981</v>
      </c>
      <c r="C261" s="1642"/>
      <c r="D261" s="1643"/>
      <c r="E261" s="1567"/>
      <c r="F261" s="1643"/>
      <c r="G261" s="1643"/>
      <c r="H261" s="1567"/>
      <c r="I261" s="1567"/>
      <c r="J261" s="1567"/>
      <c r="K261" s="1567"/>
    </row>
    <row r="262" spans="1:11" ht="12.75" customHeight="1" thickTop="1" thickBot="1" x14ac:dyDescent="0.25">
      <c r="A262" s="1532" t="s">
        <v>1897</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v>29831</v>
      </c>
      <c r="D263" s="1643"/>
      <c r="E263" s="1567"/>
      <c r="F263" s="1643"/>
      <c r="G263" s="1643"/>
      <c r="H263" s="1567"/>
      <c r="I263" s="1567"/>
      <c r="J263" s="1567"/>
      <c r="K263" s="1567"/>
    </row>
    <row r="264" spans="1:11" ht="12.75" customHeight="1" thickTop="1" thickBot="1" x14ac:dyDescent="0.25">
      <c r="A264" s="427" t="s">
        <v>374</v>
      </c>
      <c r="B264" s="429">
        <v>4992</v>
      </c>
      <c r="C264" s="1642">
        <v>179245</v>
      </c>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2939621</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2939621</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18410354</v>
      </c>
      <c r="D268" s="1633">
        <f t="shared" si="12"/>
        <v>2130747</v>
      </c>
      <c r="E268" s="1633">
        <f t="shared" si="12"/>
        <v>718494</v>
      </c>
      <c r="F268" s="1633">
        <f t="shared" si="12"/>
        <v>1779248</v>
      </c>
      <c r="G268" s="1633">
        <f t="shared" si="12"/>
        <v>583993</v>
      </c>
      <c r="H268" s="1633">
        <f t="shared" si="12"/>
        <v>15521</v>
      </c>
      <c r="I268" s="1633">
        <f t="shared" si="12"/>
        <v>69739</v>
      </c>
      <c r="J268" s="1633">
        <f t="shared" si="12"/>
        <v>490989</v>
      </c>
      <c r="K268" s="1621">
        <f t="shared" si="12"/>
        <v>50000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42" activePane="bottomLeft" state="frozen"/>
      <selection activeCell="N22" sqref="N22"/>
      <selection pane="bottomLeft" activeCell="K64" sqref="K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5" t="s">
        <v>294</v>
      </c>
      <c r="B3" s="2276"/>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5923133</v>
      </c>
      <c r="D5" s="1565">
        <v>1351696</v>
      </c>
      <c r="E5" s="1565">
        <v>18222</v>
      </c>
      <c r="F5" s="1565">
        <v>131166</v>
      </c>
      <c r="G5" s="1565">
        <v>17706</v>
      </c>
      <c r="H5" s="1565">
        <v>1481</v>
      </c>
      <c r="I5" s="1566"/>
      <c r="J5" s="1566"/>
      <c r="K5" s="1664">
        <f>SUM(C5:J5)</f>
        <v>7443404</v>
      </c>
      <c r="L5" s="1565">
        <v>7656445</v>
      </c>
    </row>
    <row r="6" spans="1:14" x14ac:dyDescent="0.2">
      <c r="A6" s="1266" t="s">
        <v>1419</v>
      </c>
      <c r="B6" s="503" t="s">
        <v>1417</v>
      </c>
      <c r="C6" s="1574"/>
      <c r="D6" s="1574"/>
      <c r="E6" s="1565"/>
      <c r="F6" s="1574"/>
      <c r="G6" s="1574"/>
      <c r="H6" s="1574"/>
      <c r="I6" s="1574"/>
      <c r="J6" s="1574"/>
      <c r="K6" s="1664">
        <f>SUM(C6,E6)</f>
        <v>0</v>
      </c>
      <c r="L6" s="1565"/>
    </row>
    <row r="7" spans="1:14" x14ac:dyDescent="0.2">
      <c r="A7" s="1266" t="s">
        <v>162</v>
      </c>
      <c r="B7" s="503" t="s">
        <v>961</v>
      </c>
      <c r="C7" s="1566">
        <v>207699</v>
      </c>
      <c r="D7" s="1566">
        <v>56646</v>
      </c>
      <c r="E7" s="1566">
        <v>1392</v>
      </c>
      <c r="F7" s="1566">
        <v>40112</v>
      </c>
      <c r="G7" s="1566">
        <v>4872</v>
      </c>
      <c r="H7" s="1566"/>
      <c r="I7" s="1566"/>
      <c r="J7" s="1566"/>
      <c r="K7" s="1664">
        <f t="shared" ref="K7:K32" si="0">SUM(C7:J7)</f>
        <v>310721</v>
      </c>
      <c r="L7" s="1565">
        <v>247902</v>
      </c>
    </row>
    <row r="8" spans="1:14" x14ac:dyDescent="0.2">
      <c r="A8" s="1266" t="s">
        <v>163</v>
      </c>
      <c r="B8" s="503">
        <v>1200</v>
      </c>
      <c r="C8" s="1565">
        <v>2177811</v>
      </c>
      <c r="D8" s="1565">
        <v>465302</v>
      </c>
      <c r="E8" s="1565">
        <v>9336</v>
      </c>
      <c r="F8" s="1565">
        <v>20870</v>
      </c>
      <c r="G8" s="1565">
        <v>4710</v>
      </c>
      <c r="H8" s="1565">
        <v>399</v>
      </c>
      <c r="I8" s="1566"/>
      <c r="J8" s="1566"/>
      <c r="K8" s="1664">
        <f t="shared" si="0"/>
        <v>2678428</v>
      </c>
      <c r="L8" s="1565">
        <v>2793582</v>
      </c>
    </row>
    <row r="9" spans="1:14" x14ac:dyDescent="0.2">
      <c r="A9" s="1266" t="s">
        <v>716</v>
      </c>
      <c r="B9" s="503" t="s">
        <v>962</v>
      </c>
      <c r="C9" s="1566"/>
      <c r="D9" s="1566"/>
      <c r="E9" s="1566"/>
      <c r="F9" s="1566"/>
      <c r="G9" s="1566"/>
      <c r="H9" s="1566"/>
      <c r="I9" s="1566"/>
      <c r="J9" s="1566"/>
      <c r="K9" s="1664">
        <f t="shared" si="0"/>
        <v>0</v>
      </c>
      <c r="L9" s="1565"/>
    </row>
    <row r="10" spans="1:14" x14ac:dyDescent="0.2">
      <c r="A10" s="1266" t="s">
        <v>717</v>
      </c>
      <c r="B10" s="503">
        <v>1250</v>
      </c>
      <c r="C10" s="1565">
        <v>431200</v>
      </c>
      <c r="D10" s="1565">
        <v>100546</v>
      </c>
      <c r="E10" s="1565">
        <v>47741</v>
      </c>
      <c r="F10" s="1565">
        <v>166013</v>
      </c>
      <c r="G10" s="1565">
        <v>7989</v>
      </c>
      <c r="H10" s="1565"/>
      <c r="I10" s="1566"/>
      <c r="J10" s="1566"/>
      <c r="K10" s="1664">
        <f t="shared" si="0"/>
        <v>753489</v>
      </c>
      <c r="L10" s="1565">
        <v>593755</v>
      </c>
    </row>
    <row r="11" spans="1:14" x14ac:dyDescent="0.2">
      <c r="A11" s="1266" t="s">
        <v>1122</v>
      </c>
      <c r="B11" s="503" t="s">
        <v>160</v>
      </c>
      <c r="C11" s="1566"/>
      <c r="D11" s="1566"/>
      <c r="E11" s="1566"/>
      <c r="F11" s="1566"/>
      <c r="G11" s="1566"/>
      <c r="H11" s="1566"/>
      <c r="I11" s="1566"/>
      <c r="J11" s="1566"/>
      <c r="K11" s="1664">
        <f t="shared" si="0"/>
        <v>0</v>
      </c>
      <c r="L11" s="1565"/>
    </row>
    <row r="12" spans="1:14" x14ac:dyDescent="0.2">
      <c r="A12" s="1266" t="s">
        <v>956</v>
      </c>
      <c r="B12" s="503">
        <v>1300</v>
      </c>
      <c r="C12" s="1565"/>
      <c r="D12" s="1565"/>
      <c r="E12" s="1565"/>
      <c r="F12" s="1565"/>
      <c r="G12" s="1565"/>
      <c r="H12" s="1565"/>
      <c r="I12" s="1566"/>
      <c r="J12" s="1566"/>
      <c r="K12" s="1664">
        <f t="shared" si="0"/>
        <v>0</v>
      </c>
      <c r="L12" s="1565"/>
    </row>
    <row r="13" spans="1:14" x14ac:dyDescent="0.2">
      <c r="A13" s="1266" t="s">
        <v>718</v>
      </c>
      <c r="B13" s="503">
        <v>1400</v>
      </c>
      <c r="C13" s="1565">
        <v>491980</v>
      </c>
      <c r="D13" s="1565">
        <v>82554</v>
      </c>
      <c r="E13" s="1565">
        <v>2248</v>
      </c>
      <c r="F13" s="1565">
        <v>9238</v>
      </c>
      <c r="G13" s="1565">
        <v>1100</v>
      </c>
      <c r="H13" s="1565">
        <v>1975</v>
      </c>
      <c r="I13" s="1566"/>
      <c r="J13" s="1566"/>
      <c r="K13" s="1664">
        <f t="shared" si="0"/>
        <v>589095</v>
      </c>
      <c r="L13" s="1565">
        <v>589729</v>
      </c>
    </row>
    <row r="14" spans="1:14" x14ac:dyDescent="0.2">
      <c r="A14" s="1266" t="s">
        <v>957</v>
      </c>
      <c r="B14" s="503">
        <v>1500</v>
      </c>
      <c r="C14" s="1565">
        <v>173722</v>
      </c>
      <c r="D14" s="1565">
        <v>5212</v>
      </c>
      <c r="E14" s="1565">
        <v>40158</v>
      </c>
      <c r="F14" s="1565">
        <v>40962</v>
      </c>
      <c r="G14" s="1565"/>
      <c r="H14" s="1565">
        <v>8782</v>
      </c>
      <c r="I14" s="1566"/>
      <c r="J14" s="1566"/>
      <c r="K14" s="1664">
        <f t="shared" si="0"/>
        <v>268836</v>
      </c>
      <c r="L14" s="1565">
        <v>290179</v>
      </c>
    </row>
    <row r="15" spans="1:14" x14ac:dyDescent="0.2">
      <c r="A15" s="1266" t="s">
        <v>958</v>
      </c>
      <c r="B15" s="503">
        <v>1600</v>
      </c>
      <c r="C15" s="1565"/>
      <c r="D15" s="1565"/>
      <c r="E15" s="1565"/>
      <c r="F15" s="1565"/>
      <c r="G15" s="1565"/>
      <c r="H15" s="1565"/>
      <c r="I15" s="1566"/>
      <c r="J15" s="1566"/>
      <c r="K15" s="1664">
        <f t="shared" si="0"/>
        <v>0</v>
      </c>
      <c r="L15" s="1565"/>
    </row>
    <row r="16" spans="1:14" x14ac:dyDescent="0.2">
      <c r="A16" s="1266" t="s">
        <v>980</v>
      </c>
      <c r="B16" s="503" t="s">
        <v>421</v>
      </c>
      <c r="C16" s="1565"/>
      <c r="D16" s="1565"/>
      <c r="E16" s="1565"/>
      <c r="F16" s="1565"/>
      <c r="G16" s="1565"/>
      <c r="H16" s="1565"/>
      <c r="I16" s="1566"/>
      <c r="J16" s="1566"/>
      <c r="K16" s="1664">
        <f t="shared" si="0"/>
        <v>0</v>
      </c>
      <c r="L16" s="1565"/>
    </row>
    <row r="17" spans="1:12" x14ac:dyDescent="0.2">
      <c r="A17" s="1266" t="s">
        <v>719</v>
      </c>
      <c r="B17" s="503" t="s">
        <v>161</v>
      </c>
      <c r="C17" s="1566"/>
      <c r="D17" s="1566"/>
      <c r="E17" s="1566"/>
      <c r="F17" s="1566"/>
      <c r="G17" s="1566"/>
      <c r="H17" s="1566"/>
      <c r="I17" s="1566"/>
      <c r="J17" s="1566"/>
      <c r="K17" s="1664">
        <f t="shared" si="0"/>
        <v>0</v>
      </c>
      <c r="L17" s="1565"/>
    </row>
    <row r="18" spans="1:12" x14ac:dyDescent="0.2">
      <c r="A18" s="1266" t="s">
        <v>1080</v>
      </c>
      <c r="B18" s="503">
        <v>1800</v>
      </c>
      <c r="C18" s="1565"/>
      <c r="D18" s="1565"/>
      <c r="E18" s="1565"/>
      <c r="F18" s="1565"/>
      <c r="G18" s="1565"/>
      <c r="H18" s="1565"/>
      <c r="I18" s="1566"/>
      <c r="J18" s="1566"/>
      <c r="K18" s="1664">
        <f t="shared" si="0"/>
        <v>0</v>
      </c>
      <c r="L18" s="1565"/>
    </row>
    <row r="19" spans="1:12" x14ac:dyDescent="0.2">
      <c r="A19" s="1266" t="s">
        <v>133</v>
      </c>
      <c r="B19" s="503">
        <v>1900</v>
      </c>
      <c r="C19" s="1565"/>
      <c r="D19" s="1565"/>
      <c r="E19" s="1565"/>
      <c r="F19" s="1565"/>
      <c r="G19" s="1565"/>
      <c r="H19" s="1565"/>
      <c r="I19" s="1566"/>
      <c r="J19" s="1566"/>
      <c r="K19" s="1664">
        <f t="shared" si="0"/>
        <v>0</v>
      </c>
      <c r="L19" s="1565"/>
    </row>
    <row r="20" spans="1:12" x14ac:dyDescent="0.2">
      <c r="A20" s="1267" t="s">
        <v>733</v>
      </c>
      <c r="B20" s="494" t="s">
        <v>720</v>
      </c>
      <c r="C20" s="1574"/>
      <c r="D20" s="1574"/>
      <c r="E20" s="1574"/>
      <c r="F20" s="1574"/>
      <c r="G20" s="1574"/>
      <c r="H20" s="1571"/>
      <c r="I20" s="1665"/>
      <c r="J20" s="1572"/>
      <c r="K20" s="1664">
        <f t="shared" si="0"/>
        <v>0</v>
      </c>
      <c r="L20" s="1569"/>
    </row>
    <row r="21" spans="1:12" x14ac:dyDescent="0.2">
      <c r="A21" s="1267" t="s">
        <v>734</v>
      </c>
      <c r="B21" s="494" t="s">
        <v>721</v>
      </c>
      <c r="C21" s="1574"/>
      <c r="D21" s="1574"/>
      <c r="E21" s="1574"/>
      <c r="F21" s="1574"/>
      <c r="G21" s="1574"/>
      <c r="H21" s="1571"/>
      <c r="I21" s="1665"/>
      <c r="J21" s="1574"/>
      <c r="K21" s="1664">
        <f t="shared" si="0"/>
        <v>0</v>
      </c>
      <c r="L21" s="1569"/>
    </row>
    <row r="22" spans="1:12" x14ac:dyDescent="0.2">
      <c r="A22" s="1267" t="s">
        <v>735</v>
      </c>
      <c r="B22" s="494" t="s">
        <v>722</v>
      </c>
      <c r="C22" s="1574"/>
      <c r="D22" s="1574"/>
      <c r="E22" s="1574"/>
      <c r="F22" s="1574"/>
      <c r="G22" s="1574"/>
      <c r="H22" s="1571"/>
      <c r="I22" s="1665"/>
      <c r="J22" s="1574"/>
      <c r="K22" s="1664">
        <f t="shared" si="0"/>
        <v>0</v>
      </c>
      <c r="L22" s="1569"/>
    </row>
    <row r="23" spans="1:12" x14ac:dyDescent="0.2">
      <c r="A23" s="1267" t="s">
        <v>736</v>
      </c>
      <c r="B23" s="494" t="s">
        <v>723</v>
      </c>
      <c r="C23" s="1574"/>
      <c r="D23" s="1574"/>
      <c r="E23" s="1574"/>
      <c r="F23" s="1574"/>
      <c r="G23" s="1574"/>
      <c r="H23" s="1571"/>
      <c r="I23" s="1665"/>
      <c r="J23" s="1574"/>
      <c r="K23" s="1664">
        <f t="shared" si="0"/>
        <v>0</v>
      </c>
      <c r="L23" s="1569"/>
    </row>
    <row r="24" spans="1:12" ht="12.75" customHeight="1" x14ac:dyDescent="0.2">
      <c r="A24" s="1267" t="s">
        <v>737</v>
      </c>
      <c r="B24" s="494" t="s">
        <v>724</v>
      </c>
      <c r="C24" s="1574"/>
      <c r="D24" s="1574"/>
      <c r="E24" s="1574"/>
      <c r="F24" s="1574"/>
      <c r="G24" s="1574"/>
      <c r="H24" s="1571"/>
      <c r="I24" s="1665"/>
      <c r="J24" s="1574"/>
      <c r="K24" s="1664">
        <f t="shared" si="0"/>
        <v>0</v>
      </c>
      <c r="L24" s="1569"/>
    </row>
    <row r="25" spans="1:12" ht="12.75" customHeight="1" x14ac:dyDescent="0.2">
      <c r="A25" s="1267" t="s">
        <v>797</v>
      </c>
      <c r="B25" s="494" t="s">
        <v>725</v>
      </c>
      <c r="C25" s="1574"/>
      <c r="D25" s="1574"/>
      <c r="E25" s="1574"/>
      <c r="F25" s="1574"/>
      <c r="G25" s="1574"/>
      <c r="H25" s="1571"/>
      <c r="I25" s="1665"/>
      <c r="J25" s="1574"/>
      <c r="K25" s="1664">
        <f t="shared" si="0"/>
        <v>0</v>
      </c>
      <c r="L25" s="1569"/>
    </row>
    <row r="26" spans="1:12" x14ac:dyDescent="0.2">
      <c r="A26" s="1267" t="s">
        <v>618</v>
      </c>
      <c r="B26" s="494" t="s">
        <v>726</v>
      </c>
      <c r="C26" s="1574"/>
      <c r="D26" s="1574"/>
      <c r="E26" s="1574"/>
      <c r="F26" s="1574"/>
      <c r="G26" s="1574"/>
      <c r="H26" s="1571"/>
      <c r="I26" s="1665"/>
      <c r="J26" s="1574"/>
      <c r="K26" s="1664">
        <f t="shared" si="0"/>
        <v>0</v>
      </c>
      <c r="L26" s="1569"/>
    </row>
    <row r="27" spans="1:12" x14ac:dyDescent="0.2">
      <c r="A27" s="1267" t="s">
        <v>619</v>
      </c>
      <c r="B27" s="494" t="s">
        <v>727</v>
      </c>
      <c r="C27" s="1574"/>
      <c r="D27" s="1574"/>
      <c r="E27" s="1574"/>
      <c r="F27" s="1574"/>
      <c r="G27" s="1574"/>
      <c r="H27" s="1571"/>
      <c r="I27" s="1665"/>
      <c r="J27" s="1574"/>
      <c r="K27" s="1664">
        <f t="shared" si="0"/>
        <v>0</v>
      </c>
      <c r="L27" s="1569"/>
    </row>
    <row r="28" spans="1:12" x14ac:dyDescent="0.2">
      <c r="A28" s="1267" t="s">
        <v>149</v>
      </c>
      <c r="B28" s="494" t="s">
        <v>728</v>
      </c>
      <c r="C28" s="1574"/>
      <c r="D28" s="1574"/>
      <c r="E28" s="1574"/>
      <c r="F28" s="1574"/>
      <c r="G28" s="1574"/>
      <c r="H28" s="1571"/>
      <c r="I28" s="1665"/>
      <c r="J28" s="1574"/>
      <c r="K28" s="1664">
        <f t="shared" si="0"/>
        <v>0</v>
      </c>
      <c r="L28" s="1569"/>
    </row>
    <row r="29" spans="1:12" x14ac:dyDescent="0.2">
      <c r="A29" s="1267" t="s">
        <v>150</v>
      </c>
      <c r="B29" s="494" t="s">
        <v>729</v>
      </c>
      <c r="C29" s="1574"/>
      <c r="D29" s="1574"/>
      <c r="E29" s="1574"/>
      <c r="F29" s="1574"/>
      <c r="G29" s="1574"/>
      <c r="H29" s="1571"/>
      <c r="I29" s="1665"/>
      <c r="J29" s="1574"/>
      <c r="K29" s="1664">
        <f t="shared" si="0"/>
        <v>0</v>
      </c>
      <c r="L29" s="1569"/>
    </row>
    <row r="30" spans="1:12" x14ac:dyDescent="0.2">
      <c r="A30" s="1267" t="s">
        <v>151</v>
      </c>
      <c r="B30" s="494" t="s">
        <v>730</v>
      </c>
      <c r="C30" s="1574"/>
      <c r="D30" s="1574"/>
      <c r="E30" s="1574"/>
      <c r="F30" s="1574"/>
      <c r="G30" s="1574"/>
      <c r="H30" s="1571"/>
      <c r="I30" s="1665"/>
      <c r="J30" s="1574"/>
      <c r="K30" s="1664">
        <f t="shared" si="0"/>
        <v>0</v>
      </c>
      <c r="L30" s="1569"/>
    </row>
    <row r="31" spans="1:12" x14ac:dyDescent="0.2">
      <c r="A31" s="1267" t="s">
        <v>152</v>
      </c>
      <c r="B31" s="494" t="s">
        <v>731</v>
      </c>
      <c r="C31" s="1574"/>
      <c r="D31" s="1574"/>
      <c r="E31" s="1574"/>
      <c r="F31" s="1574"/>
      <c r="G31" s="1574"/>
      <c r="H31" s="1571"/>
      <c r="I31" s="1665"/>
      <c r="J31" s="1574"/>
      <c r="K31" s="1664">
        <f t="shared" si="0"/>
        <v>0</v>
      </c>
      <c r="L31" s="1569"/>
    </row>
    <row r="32" spans="1:12" x14ac:dyDescent="0.2">
      <c r="A32" s="1268" t="s">
        <v>1121</v>
      </c>
      <c r="B32" s="503"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9405545</v>
      </c>
      <c r="D33" s="1666">
        <f t="shared" ref="D33:L33" si="1">SUM(D5:D32)</f>
        <v>2061956</v>
      </c>
      <c r="E33" s="1666">
        <f t="shared" si="1"/>
        <v>119097</v>
      </c>
      <c r="F33" s="1666">
        <f t="shared" si="1"/>
        <v>408361</v>
      </c>
      <c r="G33" s="1666">
        <f t="shared" si="1"/>
        <v>36377</v>
      </c>
      <c r="H33" s="1666">
        <f t="shared" si="1"/>
        <v>12637</v>
      </c>
      <c r="I33" s="1666">
        <f t="shared" si="1"/>
        <v>0</v>
      </c>
      <c r="J33" s="1666">
        <f t="shared" si="1"/>
        <v>0</v>
      </c>
      <c r="K33" s="1666">
        <f t="shared" si="1"/>
        <v>12043973</v>
      </c>
      <c r="L33" s="1666">
        <f t="shared" si="1"/>
        <v>12171592</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v>129613</v>
      </c>
      <c r="D36" s="1578">
        <v>30556</v>
      </c>
      <c r="E36" s="1578">
        <v>535</v>
      </c>
      <c r="F36" s="1578">
        <v>436</v>
      </c>
      <c r="G36" s="1578"/>
      <c r="H36" s="1578"/>
      <c r="I36" s="1566"/>
      <c r="J36" s="1566"/>
      <c r="K36" s="1664">
        <f t="shared" ref="K36:K41" si="2">SUM(C36:J36)</f>
        <v>161140</v>
      </c>
      <c r="L36" s="1565">
        <v>165865</v>
      </c>
    </row>
    <row r="37" spans="1:14" x14ac:dyDescent="0.2">
      <c r="A37" s="1266" t="s">
        <v>1083</v>
      </c>
      <c r="B37" s="503">
        <v>2120</v>
      </c>
      <c r="C37" s="1565">
        <v>141166</v>
      </c>
      <c r="D37" s="1565">
        <v>28755</v>
      </c>
      <c r="E37" s="1565"/>
      <c r="F37" s="1565"/>
      <c r="G37" s="1565"/>
      <c r="H37" s="1565"/>
      <c r="I37" s="1566"/>
      <c r="J37" s="1566"/>
      <c r="K37" s="1664">
        <f t="shared" si="2"/>
        <v>169921</v>
      </c>
      <c r="L37" s="1565">
        <v>176563</v>
      </c>
    </row>
    <row r="38" spans="1:14" x14ac:dyDescent="0.2">
      <c r="A38" s="1266" t="s">
        <v>196</v>
      </c>
      <c r="B38" s="503">
        <v>2130</v>
      </c>
      <c r="C38" s="1565">
        <v>92889</v>
      </c>
      <c r="D38" s="1565">
        <v>3820</v>
      </c>
      <c r="E38" s="1565">
        <v>33908</v>
      </c>
      <c r="F38" s="1565">
        <v>4730</v>
      </c>
      <c r="G38" s="1565"/>
      <c r="H38" s="1565">
        <v>40</v>
      </c>
      <c r="I38" s="1566"/>
      <c r="J38" s="1566"/>
      <c r="K38" s="1664">
        <f t="shared" si="2"/>
        <v>135387</v>
      </c>
      <c r="L38" s="1565">
        <v>134299</v>
      </c>
    </row>
    <row r="39" spans="1:14" x14ac:dyDescent="0.2">
      <c r="A39" s="1266" t="s">
        <v>197</v>
      </c>
      <c r="B39" s="503">
        <v>2140</v>
      </c>
      <c r="C39" s="1565">
        <v>68593</v>
      </c>
      <c r="D39" s="1565">
        <v>15251</v>
      </c>
      <c r="E39" s="1565">
        <v>248</v>
      </c>
      <c r="F39" s="1565"/>
      <c r="G39" s="1565"/>
      <c r="H39" s="1565"/>
      <c r="I39" s="1566"/>
      <c r="J39" s="1566"/>
      <c r="K39" s="1664">
        <f t="shared" si="2"/>
        <v>84092</v>
      </c>
      <c r="L39" s="1565">
        <v>84560</v>
      </c>
    </row>
    <row r="40" spans="1:14" x14ac:dyDescent="0.2">
      <c r="A40" s="1266" t="s">
        <v>198</v>
      </c>
      <c r="B40" s="503">
        <v>2150</v>
      </c>
      <c r="C40" s="1565">
        <v>194481</v>
      </c>
      <c r="D40" s="1565">
        <v>34602</v>
      </c>
      <c r="E40" s="1565">
        <v>439</v>
      </c>
      <c r="F40" s="1565"/>
      <c r="G40" s="1565"/>
      <c r="H40" s="1565"/>
      <c r="I40" s="1566"/>
      <c r="J40" s="1566"/>
      <c r="K40" s="1664">
        <f t="shared" si="2"/>
        <v>229522</v>
      </c>
      <c r="L40" s="1565">
        <v>230124</v>
      </c>
    </row>
    <row r="41" spans="1:14" x14ac:dyDescent="0.2">
      <c r="A41" s="1266" t="s">
        <v>1653</v>
      </c>
      <c r="B41" s="503">
        <v>2190</v>
      </c>
      <c r="C41" s="1565">
        <v>48885</v>
      </c>
      <c r="D41" s="1565">
        <v>1902</v>
      </c>
      <c r="E41" s="1565">
        <v>12751</v>
      </c>
      <c r="F41" s="1565">
        <v>5310</v>
      </c>
      <c r="G41" s="1565"/>
      <c r="H41" s="1565">
        <v>1378</v>
      </c>
      <c r="I41" s="1566"/>
      <c r="J41" s="1566"/>
      <c r="K41" s="1664">
        <f t="shared" si="2"/>
        <v>70226</v>
      </c>
      <c r="L41" s="1565">
        <v>81817</v>
      </c>
    </row>
    <row r="42" spans="1:14" ht="12.75" customHeight="1" thickBot="1" x14ac:dyDescent="0.25">
      <c r="A42" s="1372" t="s">
        <v>556</v>
      </c>
      <c r="B42" s="1373" t="s">
        <v>711</v>
      </c>
      <c r="C42" s="1666">
        <f>SUM(C36:C41)</f>
        <v>675627</v>
      </c>
      <c r="D42" s="1666">
        <f t="shared" ref="D42:L42" si="3">SUM(D36:D41)</f>
        <v>114886</v>
      </c>
      <c r="E42" s="1666">
        <f t="shared" si="3"/>
        <v>47881</v>
      </c>
      <c r="F42" s="1666">
        <f t="shared" si="3"/>
        <v>10476</v>
      </c>
      <c r="G42" s="1666">
        <f t="shared" si="3"/>
        <v>0</v>
      </c>
      <c r="H42" s="1666">
        <f t="shared" si="3"/>
        <v>1418</v>
      </c>
      <c r="I42" s="1666">
        <f t="shared" si="3"/>
        <v>0</v>
      </c>
      <c r="J42" s="1666">
        <f t="shared" si="3"/>
        <v>0</v>
      </c>
      <c r="K42" s="1666">
        <f t="shared" si="3"/>
        <v>850288</v>
      </c>
      <c r="L42" s="1666">
        <f t="shared" si="3"/>
        <v>873228</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69737</v>
      </c>
      <c r="D44" s="1578">
        <v>21268</v>
      </c>
      <c r="E44" s="1578">
        <v>25144</v>
      </c>
      <c r="F44" s="1578">
        <v>2240</v>
      </c>
      <c r="G44" s="1578"/>
      <c r="H44" s="1578"/>
      <c r="I44" s="1566"/>
      <c r="J44" s="1566"/>
      <c r="K44" s="1670">
        <f>SUM(C44:J44)</f>
        <v>118389</v>
      </c>
      <c r="L44" s="1578">
        <v>620092</v>
      </c>
    </row>
    <row r="45" spans="1:14" x14ac:dyDescent="0.2">
      <c r="A45" s="1266" t="s">
        <v>810</v>
      </c>
      <c r="B45" s="503">
        <v>2220</v>
      </c>
      <c r="C45" s="1565">
        <v>147909</v>
      </c>
      <c r="D45" s="1565">
        <v>37587</v>
      </c>
      <c r="E45" s="1565">
        <v>12411</v>
      </c>
      <c r="F45" s="1565">
        <v>4375</v>
      </c>
      <c r="G45" s="1565"/>
      <c r="H45" s="1565"/>
      <c r="I45" s="1566"/>
      <c r="J45" s="1566"/>
      <c r="K45" s="1670">
        <f>SUM(C45:J45)</f>
        <v>202282</v>
      </c>
      <c r="L45" s="1565">
        <v>246725</v>
      </c>
    </row>
    <row r="46" spans="1:14" x14ac:dyDescent="0.2">
      <c r="A46" s="1266" t="s">
        <v>811</v>
      </c>
      <c r="B46" s="503">
        <v>2230</v>
      </c>
      <c r="C46" s="1565"/>
      <c r="D46" s="1565"/>
      <c r="E46" s="1565">
        <v>60314</v>
      </c>
      <c r="F46" s="1565">
        <v>455</v>
      </c>
      <c r="G46" s="1565"/>
      <c r="H46" s="1565"/>
      <c r="I46" s="1566"/>
      <c r="J46" s="1566"/>
      <c r="K46" s="1670">
        <f>SUM(C46:J46)</f>
        <v>60769</v>
      </c>
      <c r="L46" s="1565">
        <v>76119</v>
      </c>
    </row>
    <row r="47" spans="1:14" ht="12.75" customHeight="1" thickBot="1" x14ac:dyDescent="0.25">
      <c r="A47" s="1372" t="s">
        <v>557</v>
      </c>
      <c r="B47" s="1373" t="s">
        <v>32</v>
      </c>
      <c r="C47" s="1666">
        <f>SUM(C44:C46)</f>
        <v>217646</v>
      </c>
      <c r="D47" s="1666">
        <f t="shared" ref="D47:K47" si="4">SUM(D44:D46)</f>
        <v>58855</v>
      </c>
      <c r="E47" s="1666">
        <f t="shared" si="4"/>
        <v>97869</v>
      </c>
      <c r="F47" s="1666">
        <f t="shared" si="4"/>
        <v>7070</v>
      </c>
      <c r="G47" s="1666">
        <f t="shared" si="4"/>
        <v>0</v>
      </c>
      <c r="H47" s="1666">
        <f t="shared" si="4"/>
        <v>0</v>
      </c>
      <c r="I47" s="1666">
        <f t="shared" si="4"/>
        <v>0</v>
      </c>
      <c r="J47" s="1666">
        <f t="shared" si="4"/>
        <v>0</v>
      </c>
      <c r="K47" s="1666">
        <f t="shared" si="4"/>
        <v>381440</v>
      </c>
      <c r="L47" s="1666">
        <f>SUM(L44:L46)</f>
        <v>942936</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5000</v>
      </c>
      <c r="D49" s="1578">
        <v>26446</v>
      </c>
      <c r="E49" s="1578">
        <v>58238</v>
      </c>
      <c r="F49" s="1578">
        <v>7889</v>
      </c>
      <c r="G49" s="1578"/>
      <c r="H49" s="1578">
        <v>18623</v>
      </c>
      <c r="I49" s="1566"/>
      <c r="J49" s="1566"/>
      <c r="K49" s="1670">
        <f>SUM(C49:J49)</f>
        <v>116196</v>
      </c>
      <c r="L49" s="1578">
        <v>79844</v>
      </c>
    </row>
    <row r="50" spans="1:14" x14ac:dyDescent="0.2">
      <c r="A50" s="1266" t="s">
        <v>813</v>
      </c>
      <c r="B50" s="503">
        <v>2320</v>
      </c>
      <c r="C50" s="1565">
        <v>118450</v>
      </c>
      <c r="D50" s="1565">
        <v>28063</v>
      </c>
      <c r="E50" s="1565">
        <v>2790</v>
      </c>
      <c r="F50" s="1565">
        <v>79</v>
      </c>
      <c r="G50" s="1565"/>
      <c r="H50" s="1565">
        <v>1008</v>
      </c>
      <c r="I50" s="1566"/>
      <c r="J50" s="1566"/>
      <c r="K50" s="1670">
        <f>SUM(C50:J50)</f>
        <v>150390</v>
      </c>
      <c r="L50" s="1565">
        <v>145502</v>
      </c>
    </row>
    <row r="51" spans="1:14" x14ac:dyDescent="0.2">
      <c r="A51" s="1266" t="s">
        <v>42</v>
      </c>
      <c r="B51" s="503">
        <v>2330</v>
      </c>
      <c r="C51" s="1565">
        <v>3528</v>
      </c>
      <c r="D51" s="1565">
        <v>123</v>
      </c>
      <c r="E51" s="1565">
        <v>13684</v>
      </c>
      <c r="F51" s="1565"/>
      <c r="G51" s="1565">
        <v>3725</v>
      </c>
      <c r="H51" s="1565"/>
      <c r="I51" s="1566"/>
      <c r="J51" s="1566"/>
      <c r="K51" s="1670">
        <f>SUM(C51:J51)</f>
        <v>21060</v>
      </c>
      <c r="L51" s="1565">
        <v>53045</v>
      </c>
    </row>
    <row r="52" spans="1:14" ht="22.5" x14ac:dyDescent="0.2">
      <c r="A52" s="1267" t="s">
        <v>295</v>
      </c>
      <c r="B52" s="511" t="s">
        <v>363</v>
      </c>
      <c r="C52" s="1571"/>
      <c r="D52" s="1571"/>
      <c r="E52" s="1571">
        <v>494</v>
      </c>
      <c r="F52" s="1571"/>
      <c r="G52" s="1571"/>
      <c r="H52" s="1571"/>
      <c r="I52" s="1571"/>
      <c r="J52" s="1571"/>
      <c r="K52" s="1670">
        <f>SUM(C52:J52)</f>
        <v>494</v>
      </c>
      <c r="L52" s="1571">
        <v>5500</v>
      </c>
    </row>
    <row r="53" spans="1:14" ht="12.75" customHeight="1" thickBot="1" x14ac:dyDescent="0.25">
      <c r="A53" s="1372" t="s">
        <v>712</v>
      </c>
      <c r="B53" s="1373" t="s">
        <v>33</v>
      </c>
      <c r="C53" s="1666">
        <f>SUM(C49:C52)</f>
        <v>126978</v>
      </c>
      <c r="D53" s="1666">
        <f t="shared" ref="D53:L53" si="5">SUM(D49:D52)</f>
        <v>54632</v>
      </c>
      <c r="E53" s="1666">
        <f t="shared" si="5"/>
        <v>75206</v>
      </c>
      <c r="F53" s="1666">
        <f t="shared" si="5"/>
        <v>7968</v>
      </c>
      <c r="G53" s="1666">
        <f t="shared" si="5"/>
        <v>3725</v>
      </c>
      <c r="H53" s="1666">
        <f t="shared" si="5"/>
        <v>19631</v>
      </c>
      <c r="I53" s="1666">
        <f t="shared" si="5"/>
        <v>0</v>
      </c>
      <c r="J53" s="1666">
        <f t="shared" si="5"/>
        <v>0</v>
      </c>
      <c r="K53" s="1666">
        <f t="shared" si="5"/>
        <v>288140</v>
      </c>
      <c r="L53" s="1666">
        <f t="shared" si="5"/>
        <v>283891</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905848</v>
      </c>
      <c r="D55" s="1578">
        <v>145050</v>
      </c>
      <c r="E55" s="1578">
        <v>31292</v>
      </c>
      <c r="F55" s="1578">
        <v>55930</v>
      </c>
      <c r="G55" s="1578">
        <v>2275</v>
      </c>
      <c r="H55" s="1578">
        <v>3837</v>
      </c>
      <c r="I55" s="1566"/>
      <c r="J55" s="1566"/>
      <c r="K55" s="1670">
        <f>SUM(C55:J55)</f>
        <v>1144232</v>
      </c>
      <c r="L55" s="1578">
        <v>1112670</v>
      </c>
    </row>
    <row r="56" spans="1:14" ht="12.75" customHeight="1" x14ac:dyDescent="0.2">
      <c r="A56" s="1270" t="s">
        <v>373</v>
      </c>
      <c r="B56" s="512">
        <v>2490</v>
      </c>
      <c r="C56" s="1565">
        <v>3711</v>
      </c>
      <c r="D56" s="1565">
        <v>172</v>
      </c>
      <c r="E56" s="1565"/>
      <c r="F56" s="1565"/>
      <c r="G56" s="1565"/>
      <c r="H56" s="1565"/>
      <c r="I56" s="1566"/>
      <c r="J56" s="1566"/>
      <c r="K56" s="1670">
        <f>SUM(C56:J56)</f>
        <v>3883</v>
      </c>
      <c r="L56" s="1565">
        <v>4247</v>
      </c>
    </row>
    <row r="57" spans="1:14" s="321" customFormat="1" ht="12.75" customHeight="1" thickBot="1" x14ac:dyDescent="0.25">
      <c r="A57" s="1372" t="s">
        <v>261</v>
      </c>
      <c r="B57" s="1374" t="s">
        <v>34</v>
      </c>
      <c r="C57" s="1671">
        <f>SUM(C55:C56)</f>
        <v>909559</v>
      </c>
      <c r="D57" s="1671">
        <f t="shared" ref="D57:K57" si="6">SUM(D55:D56)</f>
        <v>145222</v>
      </c>
      <c r="E57" s="1671">
        <f t="shared" si="6"/>
        <v>31292</v>
      </c>
      <c r="F57" s="1671">
        <f t="shared" si="6"/>
        <v>55930</v>
      </c>
      <c r="G57" s="1671">
        <f t="shared" si="6"/>
        <v>2275</v>
      </c>
      <c r="H57" s="1671">
        <f t="shared" si="6"/>
        <v>3837</v>
      </c>
      <c r="I57" s="1671">
        <f t="shared" si="6"/>
        <v>0</v>
      </c>
      <c r="J57" s="1671">
        <f t="shared" si="6"/>
        <v>0</v>
      </c>
      <c r="K57" s="1671">
        <f t="shared" si="6"/>
        <v>1148115</v>
      </c>
      <c r="L57" s="1666">
        <f>SUM(L55:L56)</f>
        <v>1116917</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c r="D59" s="1578"/>
      <c r="E59" s="1578"/>
      <c r="F59" s="1578"/>
      <c r="G59" s="1578"/>
      <c r="H59" s="1578"/>
      <c r="I59" s="1566"/>
      <c r="J59" s="1566"/>
      <c r="K59" s="1670">
        <f t="shared" ref="K59:K64" si="7">SUM(C59:J59)</f>
        <v>0</v>
      </c>
      <c r="L59" s="1578"/>
      <c r="M59" s="501"/>
      <c r="N59" s="501"/>
    </row>
    <row r="60" spans="1:14" s="321" customFormat="1" x14ac:dyDescent="0.2">
      <c r="A60" s="1266" t="s">
        <v>460</v>
      </c>
      <c r="B60" s="503">
        <v>2520</v>
      </c>
      <c r="C60" s="1565">
        <v>248340</v>
      </c>
      <c r="D60" s="1565">
        <v>220252</v>
      </c>
      <c r="E60" s="1565">
        <v>12315</v>
      </c>
      <c r="F60" s="1565">
        <v>15151</v>
      </c>
      <c r="G60" s="1565">
        <v>859</v>
      </c>
      <c r="H60" s="1565">
        <v>4147</v>
      </c>
      <c r="I60" s="1566"/>
      <c r="J60" s="1566"/>
      <c r="K60" s="1670">
        <f t="shared" si="7"/>
        <v>501064</v>
      </c>
      <c r="L60" s="1565">
        <v>602414</v>
      </c>
      <c r="M60" s="501"/>
      <c r="N60" s="501"/>
    </row>
    <row r="61" spans="1:14" s="321" customFormat="1" x14ac:dyDescent="0.2">
      <c r="A61" s="1266" t="s">
        <v>195</v>
      </c>
      <c r="B61" s="503">
        <v>2540</v>
      </c>
      <c r="C61" s="1565"/>
      <c r="D61" s="1565"/>
      <c r="E61" s="1565">
        <v>125</v>
      </c>
      <c r="F61" s="1565"/>
      <c r="G61" s="1565"/>
      <c r="H61" s="1565"/>
      <c r="I61" s="1566"/>
      <c r="J61" s="1566"/>
      <c r="K61" s="1670">
        <f t="shared" si="7"/>
        <v>125</v>
      </c>
      <c r="L61" s="1565">
        <v>4576</v>
      </c>
      <c r="M61" s="501"/>
      <c r="N61" s="501"/>
    </row>
    <row r="62" spans="1:14" s="321" customFormat="1" x14ac:dyDescent="0.2">
      <c r="A62" s="1266" t="s">
        <v>947</v>
      </c>
      <c r="B62" s="503">
        <v>2550</v>
      </c>
      <c r="C62" s="1565"/>
      <c r="D62" s="1565"/>
      <c r="E62" s="1565">
        <v>3802</v>
      </c>
      <c r="F62" s="1565"/>
      <c r="G62" s="1565"/>
      <c r="H62" s="1565"/>
      <c r="I62" s="1566"/>
      <c r="J62" s="1566"/>
      <c r="K62" s="1670">
        <f t="shared" si="7"/>
        <v>3802</v>
      </c>
      <c r="L62" s="1565">
        <v>1200</v>
      </c>
      <c r="M62" s="501"/>
      <c r="N62" s="501"/>
    </row>
    <row r="63" spans="1:14" s="501" customFormat="1" x14ac:dyDescent="0.2">
      <c r="A63" s="1266" t="s">
        <v>100</v>
      </c>
      <c r="B63" s="503">
        <v>2560</v>
      </c>
      <c r="C63" s="1565">
        <v>422088</v>
      </c>
      <c r="D63" s="1565">
        <v>66611</v>
      </c>
      <c r="E63" s="1565">
        <v>54863</v>
      </c>
      <c r="F63" s="1565">
        <v>734563</v>
      </c>
      <c r="G63" s="1565">
        <v>5749</v>
      </c>
      <c r="H63" s="1565">
        <v>1336</v>
      </c>
      <c r="I63" s="1566"/>
      <c r="J63" s="1566"/>
      <c r="K63" s="1670">
        <f t="shared" si="7"/>
        <v>1285210</v>
      </c>
      <c r="L63" s="1565">
        <v>1185018</v>
      </c>
    </row>
    <row r="64" spans="1:14" s="501" customFormat="1" x14ac:dyDescent="0.2">
      <c r="A64" s="1271" t="s">
        <v>101</v>
      </c>
      <c r="B64" s="513">
        <v>2570</v>
      </c>
      <c r="C64" s="1578"/>
      <c r="D64" s="1578"/>
      <c r="E64" s="1578"/>
      <c r="F64" s="1578"/>
      <c r="G64" s="1578"/>
      <c r="H64" s="1578"/>
      <c r="I64" s="1566"/>
      <c r="J64" s="1566"/>
      <c r="K64" s="1670">
        <f t="shared" si="7"/>
        <v>0</v>
      </c>
      <c r="L64" s="1578">
        <v>1000</v>
      </c>
    </row>
    <row r="65" spans="1:14" s="321" customFormat="1" ht="12.75" customHeight="1" thickBot="1" x14ac:dyDescent="0.25">
      <c r="A65" s="1372" t="s">
        <v>714</v>
      </c>
      <c r="B65" s="1373" t="s">
        <v>35</v>
      </c>
      <c r="C65" s="1666">
        <f>SUM(C59:C64)</f>
        <v>670428</v>
      </c>
      <c r="D65" s="1666">
        <f t="shared" ref="D65:L65" si="8">SUM(D59:D64)</f>
        <v>286863</v>
      </c>
      <c r="E65" s="1666">
        <f t="shared" si="8"/>
        <v>71105</v>
      </c>
      <c r="F65" s="1666">
        <f t="shared" si="8"/>
        <v>749714</v>
      </c>
      <c r="G65" s="1666">
        <f t="shared" si="8"/>
        <v>6608</v>
      </c>
      <c r="H65" s="1666">
        <f t="shared" si="8"/>
        <v>5483</v>
      </c>
      <c r="I65" s="1666">
        <f t="shared" si="8"/>
        <v>0</v>
      </c>
      <c r="J65" s="1666">
        <f t="shared" si="8"/>
        <v>0</v>
      </c>
      <c r="K65" s="1666">
        <f t="shared" si="8"/>
        <v>1790201</v>
      </c>
      <c r="L65" s="1666">
        <f t="shared" si="8"/>
        <v>1794208</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v>4800</v>
      </c>
      <c r="M67" s="501"/>
      <c r="N67" s="501"/>
    </row>
    <row r="68" spans="1:14" s="321" customFormat="1" x14ac:dyDescent="0.2">
      <c r="A68" s="1266" t="s">
        <v>603</v>
      </c>
      <c r="B68" s="503">
        <v>2620</v>
      </c>
      <c r="C68" s="1565"/>
      <c r="D68" s="1565"/>
      <c r="E68" s="1565"/>
      <c r="F68" s="1565"/>
      <c r="G68" s="1565"/>
      <c r="H68" s="1565"/>
      <c r="I68" s="1566"/>
      <c r="J68" s="1566"/>
      <c r="K68" s="1670">
        <f>SUM(C68:J68)</f>
        <v>0</v>
      </c>
      <c r="L68" s="1565">
        <v>10625</v>
      </c>
      <c r="M68" s="501"/>
      <c r="N68" s="501"/>
    </row>
    <row r="69" spans="1:14" s="321" customFormat="1" x14ac:dyDescent="0.2">
      <c r="A69" s="1266" t="s">
        <v>1054</v>
      </c>
      <c r="B69" s="503">
        <v>2630</v>
      </c>
      <c r="C69" s="1565"/>
      <c r="D69" s="1565"/>
      <c r="E69" s="1565"/>
      <c r="F69" s="1565"/>
      <c r="G69" s="1565"/>
      <c r="H69" s="1565"/>
      <c r="I69" s="1566"/>
      <c r="J69" s="1566"/>
      <c r="K69" s="1670">
        <f>SUM(C69:J69)</f>
        <v>0</v>
      </c>
      <c r="L69" s="1565"/>
      <c r="M69" s="501"/>
      <c r="N69" s="501"/>
    </row>
    <row r="70" spans="1:14" s="321" customFormat="1" x14ac:dyDescent="0.2">
      <c r="A70" s="1266" t="s">
        <v>400</v>
      </c>
      <c r="B70" s="503">
        <v>2640</v>
      </c>
      <c r="C70" s="1565"/>
      <c r="D70" s="1565"/>
      <c r="E70" s="1565"/>
      <c r="F70" s="1565"/>
      <c r="G70" s="1565"/>
      <c r="H70" s="1565"/>
      <c r="I70" s="1566"/>
      <c r="J70" s="1566"/>
      <c r="K70" s="1670">
        <f>SUM(C70:J70)</f>
        <v>0</v>
      </c>
      <c r="L70" s="1565">
        <v>0</v>
      </c>
      <c r="M70" s="501"/>
      <c r="N70" s="501"/>
    </row>
    <row r="71" spans="1:14" s="321" customFormat="1" x14ac:dyDescent="0.2">
      <c r="A71" s="1266" t="s">
        <v>401</v>
      </c>
      <c r="B71" s="503">
        <v>2660</v>
      </c>
      <c r="C71" s="1565"/>
      <c r="D71" s="1565"/>
      <c r="E71" s="1565">
        <v>4882</v>
      </c>
      <c r="F71" s="1565"/>
      <c r="G71" s="1565">
        <v>13813</v>
      </c>
      <c r="H71" s="1565"/>
      <c r="I71" s="1566"/>
      <c r="J71" s="1566"/>
      <c r="K71" s="1670">
        <f>SUM(C71:J71)</f>
        <v>18695</v>
      </c>
      <c r="L71" s="1565">
        <v>4900</v>
      </c>
      <c r="M71" s="501"/>
      <c r="N71" s="501"/>
    </row>
    <row r="72" spans="1:14" s="321" customFormat="1" ht="12.75" customHeight="1" thickBot="1" x14ac:dyDescent="0.25">
      <c r="A72" s="1372" t="s">
        <v>37</v>
      </c>
      <c r="B72" s="1375" t="s">
        <v>36</v>
      </c>
      <c r="C72" s="1666">
        <f>SUM(C67:C71)</f>
        <v>0</v>
      </c>
      <c r="D72" s="1666">
        <f t="shared" ref="D72:K72" si="9">SUM(D67:D71)</f>
        <v>0</v>
      </c>
      <c r="E72" s="1666">
        <f t="shared" si="9"/>
        <v>4882</v>
      </c>
      <c r="F72" s="1666">
        <f t="shared" si="9"/>
        <v>0</v>
      </c>
      <c r="G72" s="1666">
        <f t="shared" si="9"/>
        <v>13813</v>
      </c>
      <c r="H72" s="1666">
        <f t="shared" si="9"/>
        <v>0</v>
      </c>
      <c r="I72" s="1666">
        <f t="shared" si="9"/>
        <v>0</v>
      </c>
      <c r="J72" s="1666">
        <f t="shared" si="9"/>
        <v>0</v>
      </c>
      <c r="K72" s="1666">
        <f t="shared" si="9"/>
        <v>18695</v>
      </c>
      <c r="L72" s="1666">
        <f>SUM(L67:L71)</f>
        <v>20325</v>
      </c>
      <c r="M72" s="501"/>
      <c r="N72" s="501"/>
    </row>
    <row r="73" spans="1:14" s="321" customFormat="1" ht="14.25" thickTop="1" thickBot="1" x14ac:dyDescent="0.25">
      <c r="A73" s="1272" t="s">
        <v>973</v>
      </c>
      <c r="B73" s="515" t="s">
        <v>570</v>
      </c>
      <c r="C73" s="1641"/>
      <c r="D73" s="1641"/>
      <c r="E73" s="1641"/>
      <c r="F73" s="1641"/>
      <c r="G73" s="1641"/>
      <c r="H73" s="1641"/>
      <c r="I73" s="1619"/>
      <c r="J73" s="1619"/>
      <c r="K73" s="1666">
        <f>SUM(C73:J73)</f>
        <v>0</v>
      </c>
      <c r="L73" s="1643"/>
      <c r="M73" s="501"/>
      <c r="N73" s="501"/>
    </row>
    <row r="74" spans="1:14" ht="12.75" customHeight="1" thickTop="1" thickBot="1" x14ac:dyDescent="0.25">
      <c r="A74" s="1372" t="s">
        <v>806</v>
      </c>
      <c r="B74" s="1376">
        <v>2000</v>
      </c>
      <c r="C74" s="1673">
        <f>SUM(C42,C47,C53,C57,C65,C72,C73)</f>
        <v>2600238</v>
      </c>
      <c r="D74" s="1673">
        <f t="shared" ref="D74:K74" si="10">SUM(D42,D47,D53,D57,D65,D72,D73)</f>
        <v>660458</v>
      </c>
      <c r="E74" s="1673">
        <f t="shared" si="10"/>
        <v>328235</v>
      </c>
      <c r="F74" s="1673">
        <f t="shared" si="10"/>
        <v>831158</v>
      </c>
      <c r="G74" s="1673">
        <f t="shared" si="10"/>
        <v>26421</v>
      </c>
      <c r="H74" s="1673">
        <f t="shared" si="10"/>
        <v>30369</v>
      </c>
      <c r="I74" s="1673">
        <f t="shared" si="10"/>
        <v>0</v>
      </c>
      <c r="J74" s="1673">
        <f t="shared" si="10"/>
        <v>0</v>
      </c>
      <c r="K74" s="1673">
        <f t="shared" si="10"/>
        <v>4476879</v>
      </c>
      <c r="L74" s="1673">
        <f>SUM(L42,L47,L53,L57,L65,L72,L73)</f>
        <v>5031505</v>
      </c>
    </row>
    <row r="75" spans="1:14" s="254" customFormat="1" ht="15.75" customHeight="1" thickTop="1" thickBot="1" x14ac:dyDescent="0.25">
      <c r="A75" s="1340" t="s">
        <v>47</v>
      </c>
      <c r="B75" s="1341" t="s">
        <v>571</v>
      </c>
      <c r="C75" s="1641"/>
      <c r="D75" s="1641"/>
      <c r="E75" s="1641">
        <v>17327</v>
      </c>
      <c r="F75" s="1641">
        <v>2072</v>
      </c>
      <c r="G75" s="1641"/>
      <c r="H75" s="1641"/>
      <c r="I75" s="1619"/>
      <c r="J75" s="1619"/>
      <c r="K75" s="1666">
        <f>SUM(C75:J75)</f>
        <v>19399</v>
      </c>
      <c r="L75" s="1643">
        <v>29707</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v>9829</v>
      </c>
      <c r="F78" s="1665"/>
      <c r="G78" s="1665"/>
      <c r="H78" s="1674">
        <v>3254</v>
      </c>
      <c r="I78" s="1574"/>
      <c r="J78" s="1574"/>
      <c r="K78" s="1664">
        <f t="shared" ref="K78:K83" si="11">SUM(C78:J78)</f>
        <v>13083</v>
      </c>
      <c r="L78" s="1578">
        <v>3000</v>
      </c>
    </row>
    <row r="79" spans="1:14" x14ac:dyDescent="0.2">
      <c r="A79" s="1266" t="s">
        <v>301</v>
      </c>
      <c r="B79" s="503">
        <v>4120</v>
      </c>
      <c r="C79" s="1665"/>
      <c r="D79" s="1665"/>
      <c r="E79" s="1565"/>
      <c r="F79" s="1665"/>
      <c r="G79" s="1665"/>
      <c r="H79" s="1565">
        <v>608</v>
      </c>
      <c r="I79" s="1574"/>
      <c r="J79" s="1574"/>
      <c r="K79" s="1664">
        <f t="shared" si="11"/>
        <v>608</v>
      </c>
      <c r="L79" s="1565"/>
    </row>
    <row r="80" spans="1:14" x14ac:dyDescent="0.2">
      <c r="A80" s="1266" t="s">
        <v>302</v>
      </c>
      <c r="B80" s="503">
        <v>4130</v>
      </c>
      <c r="C80" s="1665"/>
      <c r="D80" s="1665"/>
      <c r="E80" s="1565"/>
      <c r="F80" s="1665"/>
      <c r="G80" s="1665"/>
      <c r="H80" s="1565"/>
      <c r="I80" s="1574"/>
      <c r="J80" s="1574"/>
      <c r="K80" s="1664">
        <f t="shared" si="11"/>
        <v>0</v>
      </c>
      <c r="L80" s="1565"/>
    </row>
    <row r="81" spans="1:12" x14ac:dyDescent="0.2">
      <c r="A81" s="1266" t="s">
        <v>692</v>
      </c>
      <c r="B81" s="503">
        <v>4140</v>
      </c>
      <c r="C81" s="1665"/>
      <c r="D81" s="1665"/>
      <c r="E81" s="1565"/>
      <c r="F81" s="1665"/>
      <c r="G81" s="1665"/>
      <c r="H81" s="1565">
        <v>104819</v>
      </c>
      <c r="I81" s="1574"/>
      <c r="J81" s="1574"/>
      <c r="K81" s="1664">
        <f t="shared" si="11"/>
        <v>104819</v>
      </c>
      <c r="L81" s="1565">
        <v>19000</v>
      </c>
    </row>
    <row r="82" spans="1:12" x14ac:dyDescent="0.2">
      <c r="A82" s="1266" t="s">
        <v>86</v>
      </c>
      <c r="B82" s="503">
        <v>4170</v>
      </c>
      <c r="C82" s="1665"/>
      <c r="D82" s="1665"/>
      <c r="E82" s="1565"/>
      <c r="F82" s="1665"/>
      <c r="G82" s="1665"/>
      <c r="H82" s="1565"/>
      <c r="I82" s="1574"/>
      <c r="J82" s="1574"/>
      <c r="K82" s="1664">
        <f t="shared" si="11"/>
        <v>0</v>
      </c>
      <c r="L82" s="1565"/>
    </row>
    <row r="83" spans="1:12" x14ac:dyDescent="0.2">
      <c r="A83" s="1270" t="s">
        <v>693</v>
      </c>
      <c r="B83" s="512">
        <v>4190</v>
      </c>
      <c r="C83" s="1665"/>
      <c r="D83" s="1665"/>
      <c r="E83" s="1565"/>
      <c r="F83" s="1665"/>
      <c r="G83" s="1665"/>
      <c r="H83" s="1565">
        <v>109739</v>
      </c>
      <c r="I83" s="1574"/>
      <c r="J83" s="1574"/>
      <c r="K83" s="1664">
        <f t="shared" si="11"/>
        <v>109739</v>
      </c>
      <c r="L83" s="1565">
        <v>2000</v>
      </c>
    </row>
    <row r="84" spans="1:12" ht="13.5" thickBot="1" x14ac:dyDescent="0.25">
      <c r="A84" s="1372" t="s">
        <v>1471</v>
      </c>
      <c r="B84" s="1377">
        <v>4100</v>
      </c>
      <c r="C84" s="1665"/>
      <c r="D84" s="1665"/>
      <c r="E84" s="1666">
        <f>SUM(E78:E83)</f>
        <v>9829</v>
      </c>
      <c r="F84" s="1665"/>
      <c r="G84" s="1665"/>
      <c r="H84" s="1666">
        <f>SUM(H78:H83)</f>
        <v>218420</v>
      </c>
      <c r="I84" s="1574"/>
      <c r="J84" s="1574"/>
      <c r="K84" s="1666">
        <f>SUM(K78:K83)</f>
        <v>228249</v>
      </c>
      <c r="L84" s="1666">
        <f>SUM(L78:L83)</f>
        <v>24000</v>
      </c>
    </row>
    <row r="85" spans="1:12" ht="12.75" customHeight="1" thickTop="1" thickBot="1" x14ac:dyDescent="0.25">
      <c r="A85" s="1273" t="s">
        <v>253</v>
      </c>
      <c r="B85" s="517">
        <v>4210</v>
      </c>
      <c r="C85" s="1665"/>
      <c r="D85" s="1665"/>
      <c r="E85" s="1675"/>
      <c r="F85" s="1665"/>
      <c r="G85" s="1665"/>
      <c r="H85" s="1622"/>
      <c r="I85" s="1574"/>
      <c r="J85" s="1574"/>
      <c r="K85" s="1673">
        <f>H85</f>
        <v>0</v>
      </c>
      <c r="L85" s="1618"/>
    </row>
    <row r="86" spans="1:12" ht="12.75" customHeight="1" thickTop="1" thickBot="1" x14ac:dyDescent="0.25">
      <c r="A86" s="1274" t="s">
        <v>694</v>
      </c>
      <c r="B86" s="518">
        <v>4220</v>
      </c>
      <c r="C86" s="1665"/>
      <c r="D86" s="1665"/>
      <c r="E86" s="1676"/>
      <c r="F86" s="1665"/>
      <c r="G86" s="1665"/>
      <c r="H86" s="1566">
        <v>45120</v>
      </c>
      <c r="I86" s="1574"/>
      <c r="J86" s="1574"/>
      <c r="K86" s="1673">
        <f t="shared" ref="K86:K98" si="12">H86</f>
        <v>45120</v>
      </c>
      <c r="L86" s="1618">
        <v>70000</v>
      </c>
    </row>
    <row r="87" spans="1:12" ht="14.25" thickTop="1" thickBot="1" x14ac:dyDescent="0.25">
      <c r="A87" s="1275" t="s">
        <v>695</v>
      </c>
      <c r="B87" s="519">
        <v>4230</v>
      </c>
      <c r="C87" s="1665"/>
      <c r="D87" s="1665"/>
      <c r="E87" s="1676"/>
      <c r="F87" s="1665"/>
      <c r="G87" s="1665"/>
      <c r="H87" s="1566"/>
      <c r="I87" s="1574"/>
      <c r="J87" s="1574"/>
      <c r="K87" s="1673">
        <f t="shared" si="12"/>
        <v>0</v>
      </c>
      <c r="L87" s="1618"/>
    </row>
    <row r="88" spans="1:12" ht="12.75" customHeight="1" thickTop="1" thickBot="1" x14ac:dyDescent="0.25">
      <c r="A88" s="1275" t="s">
        <v>760</v>
      </c>
      <c r="B88" s="519">
        <v>4240</v>
      </c>
      <c r="C88" s="1665"/>
      <c r="D88" s="1665"/>
      <c r="E88" s="1676"/>
      <c r="F88" s="1665"/>
      <c r="G88" s="1665"/>
      <c r="H88" s="1566"/>
      <c r="I88" s="1574"/>
      <c r="J88" s="1574"/>
      <c r="K88" s="1673">
        <f t="shared" si="12"/>
        <v>0</v>
      </c>
      <c r="L88" s="1618"/>
    </row>
    <row r="89" spans="1:12" ht="12.75" customHeight="1" thickTop="1" thickBot="1" x14ac:dyDescent="0.25">
      <c r="A89" s="1275" t="s">
        <v>696</v>
      </c>
      <c r="B89" s="519">
        <v>4270</v>
      </c>
      <c r="C89" s="1665"/>
      <c r="D89" s="1665"/>
      <c r="E89" s="1676"/>
      <c r="F89" s="1665"/>
      <c r="G89" s="1665"/>
      <c r="H89" s="1566"/>
      <c r="I89" s="1574"/>
      <c r="J89" s="1574"/>
      <c r="K89" s="1673">
        <f t="shared" si="12"/>
        <v>0</v>
      </c>
      <c r="L89" s="1618"/>
    </row>
    <row r="90" spans="1:12" ht="12.75" customHeight="1" thickTop="1" thickBot="1" x14ac:dyDescent="0.25">
      <c r="A90" s="1275" t="s">
        <v>681</v>
      </c>
      <c r="B90" s="519">
        <v>4280</v>
      </c>
      <c r="C90" s="1665"/>
      <c r="D90" s="1665"/>
      <c r="E90" s="1676"/>
      <c r="F90" s="1665"/>
      <c r="G90" s="1665"/>
      <c r="H90" s="1566"/>
      <c r="I90" s="1574"/>
      <c r="J90" s="1574"/>
      <c r="K90" s="1673">
        <f t="shared" si="12"/>
        <v>0</v>
      </c>
      <c r="L90" s="1618"/>
    </row>
    <row r="91" spans="1:12" ht="12.75" customHeight="1" thickTop="1" thickBot="1" x14ac:dyDescent="0.25">
      <c r="A91" s="1275" t="s">
        <v>682</v>
      </c>
      <c r="B91" s="519">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45120</v>
      </c>
      <c r="I92" s="1574"/>
      <c r="J92" s="1574"/>
      <c r="K92" s="1673">
        <f t="shared" si="12"/>
        <v>45120</v>
      </c>
      <c r="L92" s="1666">
        <f>SUM(L85:L91)</f>
        <v>70000</v>
      </c>
    </row>
    <row r="93" spans="1:12" ht="14.25" thickTop="1" thickBot="1" x14ac:dyDescent="0.25">
      <c r="A93" s="1274" t="s">
        <v>683</v>
      </c>
      <c r="B93" s="520">
        <v>4310</v>
      </c>
      <c r="C93" s="1665"/>
      <c r="D93" s="1665"/>
      <c r="E93" s="1676"/>
      <c r="F93" s="1665"/>
      <c r="G93" s="1665"/>
      <c r="H93" s="1677"/>
      <c r="I93" s="1574"/>
      <c r="J93" s="1574"/>
      <c r="K93" s="1673">
        <f t="shared" si="12"/>
        <v>0</v>
      </c>
      <c r="L93" s="1620"/>
    </row>
    <row r="94" spans="1:12" ht="12.75" customHeight="1" thickTop="1" thickBot="1" x14ac:dyDescent="0.25">
      <c r="A94" s="1275" t="s">
        <v>684</v>
      </c>
      <c r="B94" s="519">
        <v>4320</v>
      </c>
      <c r="C94" s="1665"/>
      <c r="D94" s="1665"/>
      <c r="E94" s="1676"/>
      <c r="F94" s="1665"/>
      <c r="G94" s="1665"/>
      <c r="H94" s="1566"/>
      <c r="I94" s="1574"/>
      <c r="J94" s="1574"/>
      <c r="K94" s="1673">
        <f t="shared" si="12"/>
        <v>0</v>
      </c>
      <c r="L94" s="1618"/>
    </row>
    <row r="95" spans="1:12" ht="15" customHeight="1" thickTop="1" thickBot="1" x14ac:dyDescent="0.25">
      <c r="A95" s="1275" t="s">
        <v>1474</v>
      </c>
      <c r="B95" s="519">
        <v>4330</v>
      </c>
      <c r="C95" s="1665"/>
      <c r="D95" s="1665"/>
      <c r="E95" s="1676"/>
      <c r="F95" s="1665"/>
      <c r="G95" s="1665"/>
      <c r="H95" s="1566"/>
      <c r="I95" s="1574"/>
      <c r="J95" s="1574"/>
      <c r="K95" s="1673">
        <f t="shared" si="12"/>
        <v>0</v>
      </c>
      <c r="L95" s="1618"/>
    </row>
    <row r="96" spans="1:12" ht="14.25" thickTop="1" thickBot="1" x14ac:dyDescent="0.25">
      <c r="A96" s="1275" t="s">
        <v>685</v>
      </c>
      <c r="B96" s="519">
        <v>4340</v>
      </c>
      <c r="C96" s="1665"/>
      <c r="D96" s="1665"/>
      <c r="E96" s="1676"/>
      <c r="F96" s="1665"/>
      <c r="G96" s="1665"/>
      <c r="H96" s="1566"/>
      <c r="I96" s="1574"/>
      <c r="J96" s="1574"/>
      <c r="K96" s="1673">
        <f t="shared" si="12"/>
        <v>0</v>
      </c>
      <c r="L96" s="1618"/>
    </row>
    <row r="97" spans="1:14" ht="12.75" customHeight="1" thickTop="1" thickBot="1" x14ac:dyDescent="0.25">
      <c r="A97" s="1275" t="s">
        <v>758</v>
      </c>
      <c r="B97" s="519">
        <v>4370</v>
      </c>
      <c r="C97" s="1665"/>
      <c r="D97" s="1665"/>
      <c r="E97" s="1676"/>
      <c r="F97" s="1665"/>
      <c r="G97" s="1665"/>
      <c r="H97" s="1566"/>
      <c r="I97" s="1574"/>
      <c r="J97" s="1574"/>
      <c r="K97" s="1673">
        <f t="shared" si="12"/>
        <v>0</v>
      </c>
      <c r="L97" s="1618"/>
    </row>
    <row r="98" spans="1:14" ht="14.25" thickTop="1" thickBot="1" x14ac:dyDescent="0.25">
      <c r="A98" s="1275" t="s">
        <v>759</v>
      </c>
      <c r="B98" s="519">
        <v>4380</v>
      </c>
      <c r="C98" s="1665"/>
      <c r="D98" s="1665"/>
      <c r="E98" s="1678"/>
      <c r="F98" s="1665"/>
      <c r="G98" s="1665"/>
      <c r="H98" s="1566"/>
      <c r="I98" s="1574"/>
      <c r="J98" s="1574"/>
      <c r="K98" s="1673">
        <f t="shared" si="12"/>
        <v>0</v>
      </c>
      <c r="L98" s="1618"/>
    </row>
    <row r="99" spans="1:14" ht="14.25" thickTop="1" thickBot="1" x14ac:dyDescent="0.25">
      <c r="A99" s="1275" t="s">
        <v>364</v>
      </c>
      <c r="B99" s="519">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9829</v>
      </c>
      <c r="F102" s="1665"/>
      <c r="G102" s="1665"/>
      <c r="H102" s="1673">
        <f>SUM(H84,H92,H100,H101)</f>
        <v>263540</v>
      </c>
      <c r="I102" s="1574"/>
      <c r="J102" s="1574"/>
      <c r="K102" s="1673">
        <f>SUM(K84,K92,K100,K101)</f>
        <v>273369</v>
      </c>
      <c r="L102" s="1673">
        <f>SUM(L84,L92,L100,L101)</f>
        <v>94000</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c r="M113" s="502"/>
      <c r="N113" s="502"/>
    </row>
    <row r="114" spans="1:14" ht="12.75" customHeight="1" thickTop="1" thickBot="1" x14ac:dyDescent="0.25">
      <c r="A114" s="1372" t="s">
        <v>48</v>
      </c>
      <c r="B114" s="1380"/>
      <c r="C114" s="1666">
        <f>SUM(C33,C74,C75,C102,C112,C113)</f>
        <v>12005783</v>
      </c>
      <c r="D114" s="1666">
        <f t="shared" ref="D114:K114" si="13">SUM(D33,D74,D75,D102,D112,D113)</f>
        <v>2722414</v>
      </c>
      <c r="E114" s="1666">
        <f t="shared" si="13"/>
        <v>474488</v>
      </c>
      <c r="F114" s="1666">
        <f t="shared" si="13"/>
        <v>1241591</v>
      </c>
      <c r="G114" s="1666">
        <f t="shared" si="13"/>
        <v>62798</v>
      </c>
      <c r="H114" s="1666">
        <f>SUM(H33,H74,H75,H102,H112,H113)</f>
        <v>306546</v>
      </c>
      <c r="I114" s="1666">
        <f t="shared" si="13"/>
        <v>0</v>
      </c>
      <c r="J114" s="1666">
        <f t="shared" si="13"/>
        <v>0</v>
      </c>
      <c r="K114" s="1666">
        <f t="shared" si="13"/>
        <v>16813620</v>
      </c>
      <c r="L114" s="1666">
        <f>SUM(L33,L74,L75,L102,L112,L113)</f>
        <v>17326804</v>
      </c>
    </row>
    <row r="115" spans="1:14" ht="13.5" thickTop="1" x14ac:dyDescent="0.2">
      <c r="A115" s="2267" t="s">
        <v>989</v>
      </c>
      <c r="B115" s="2268"/>
      <c r="C115" s="1667"/>
      <c r="D115" s="1667"/>
      <c r="E115" s="1667"/>
      <c r="F115" s="1667"/>
      <c r="G115" s="1667"/>
      <c r="H115" s="1667"/>
      <c r="I115" s="1667"/>
      <c r="J115" s="1667"/>
      <c r="K115" s="1681">
        <f>'Revenues 9-14'!C268-'Expenditures 15-22'!K114</f>
        <v>1596734</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72" t="s">
        <v>293</v>
      </c>
      <c r="B117" s="2273"/>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1963</v>
      </c>
      <c r="B120" s="512" t="s">
        <v>711</v>
      </c>
      <c r="C120" s="1565"/>
      <c r="D120" s="1565"/>
      <c r="E120" s="1565"/>
      <c r="F120" s="1565"/>
      <c r="G120" s="1565"/>
      <c r="H120" s="1565"/>
      <c r="I120" s="1566"/>
      <c r="J120" s="1566"/>
      <c r="K120" s="1664">
        <f>SUM(C120:J120)</f>
        <v>0</v>
      </c>
      <c r="L120" s="1565"/>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row>
    <row r="123" spans="1:14" ht="14.25" thickTop="1" thickBot="1" x14ac:dyDescent="0.25">
      <c r="A123" s="1266" t="s">
        <v>4</v>
      </c>
      <c r="B123" s="503">
        <v>2530</v>
      </c>
      <c r="C123" s="1565"/>
      <c r="D123" s="1565"/>
      <c r="E123" s="1565"/>
      <c r="F123" s="1565"/>
      <c r="G123" s="1565"/>
      <c r="H123" s="1565"/>
      <c r="I123" s="1566"/>
      <c r="J123" s="1566"/>
      <c r="K123" s="1666">
        <f>SUM(C123:J123)</f>
        <v>0</v>
      </c>
      <c r="L123" s="1565"/>
    </row>
    <row r="124" spans="1:14" ht="14.25" thickTop="1" thickBot="1" x14ac:dyDescent="0.25">
      <c r="A124" s="1266" t="s">
        <v>195</v>
      </c>
      <c r="B124" s="503">
        <v>2540</v>
      </c>
      <c r="C124" s="1565">
        <v>735349</v>
      </c>
      <c r="D124" s="1565">
        <v>97261</v>
      </c>
      <c r="E124" s="1565">
        <v>409520</v>
      </c>
      <c r="F124" s="1565">
        <v>629103</v>
      </c>
      <c r="G124" s="1565">
        <v>57337</v>
      </c>
      <c r="H124" s="1565">
        <v>107</v>
      </c>
      <c r="I124" s="1566"/>
      <c r="J124" s="1566"/>
      <c r="K124" s="1666">
        <f>SUM(C124:J124)</f>
        <v>1928677</v>
      </c>
      <c r="L124" s="1565">
        <v>2203248</v>
      </c>
    </row>
    <row r="125" spans="1:14" ht="14.25" thickTop="1" thickBot="1" x14ac:dyDescent="0.25">
      <c r="A125" s="1266" t="s">
        <v>947</v>
      </c>
      <c r="B125" s="503">
        <v>2550</v>
      </c>
      <c r="C125" s="1565"/>
      <c r="D125" s="1565"/>
      <c r="E125" s="1565"/>
      <c r="F125" s="1565"/>
      <c r="G125" s="1565"/>
      <c r="H125" s="1565"/>
      <c r="I125" s="1566"/>
      <c r="J125" s="1566"/>
      <c r="K125" s="1666">
        <f>SUM(C125:J125)</f>
        <v>0</v>
      </c>
      <c r="L125" s="1565"/>
    </row>
    <row r="126" spans="1:14" ht="14.25" thickTop="1" thickBot="1" x14ac:dyDescent="0.25">
      <c r="A126" s="1266" t="s">
        <v>100</v>
      </c>
      <c r="B126" s="503">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735349</v>
      </c>
      <c r="D127" s="1666">
        <f t="shared" ref="D127:L127" si="14">SUM(D122:D126)</f>
        <v>97261</v>
      </c>
      <c r="E127" s="1666">
        <f t="shared" si="14"/>
        <v>409520</v>
      </c>
      <c r="F127" s="1666">
        <f t="shared" si="14"/>
        <v>629103</v>
      </c>
      <c r="G127" s="1666">
        <f t="shared" si="14"/>
        <v>57337</v>
      </c>
      <c r="H127" s="1666">
        <f t="shared" si="14"/>
        <v>107</v>
      </c>
      <c r="I127" s="1666">
        <f t="shared" si="14"/>
        <v>0</v>
      </c>
      <c r="J127" s="1666">
        <f t="shared" si="14"/>
        <v>0</v>
      </c>
      <c r="K127" s="1666">
        <f t="shared" si="14"/>
        <v>1928677</v>
      </c>
      <c r="L127" s="1666">
        <f t="shared" si="14"/>
        <v>2203248</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735349</v>
      </c>
      <c r="D129" s="1673">
        <f t="shared" ref="D129:L129" si="15">SUM(D120,D127,D128)</f>
        <v>97261</v>
      </c>
      <c r="E129" s="1673">
        <f t="shared" si="15"/>
        <v>409520</v>
      </c>
      <c r="F129" s="1673">
        <f t="shared" si="15"/>
        <v>629103</v>
      </c>
      <c r="G129" s="1673">
        <f t="shared" si="15"/>
        <v>57337</v>
      </c>
      <c r="H129" s="1673">
        <f t="shared" si="15"/>
        <v>107</v>
      </c>
      <c r="I129" s="1673">
        <f t="shared" si="15"/>
        <v>0</v>
      </c>
      <c r="J129" s="1673">
        <f t="shared" si="15"/>
        <v>0</v>
      </c>
      <c r="K129" s="1673">
        <f t="shared" si="15"/>
        <v>1928677</v>
      </c>
      <c r="L129" s="1673">
        <f t="shared" si="15"/>
        <v>2203248</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1816</v>
      </c>
      <c r="C133" s="1567"/>
      <c r="D133" s="1567"/>
      <c r="E133" s="1677"/>
      <c r="F133" s="1567"/>
      <c r="G133" s="1567"/>
      <c r="H133" s="1677"/>
      <c r="I133" s="1567"/>
      <c r="J133" s="1567"/>
      <c r="K133" s="1689">
        <f>SUM(E133,H133)</f>
        <v>0</v>
      </c>
      <c r="L133" s="1677"/>
      <c r="M133" s="201"/>
      <c r="N133" s="201"/>
    </row>
    <row r="134" spans="1:14" x14ac:dyDescent="0.2">
      <c r="A134" s="1266" t="s">
        <v>301</v>
      </c>
      <c r="B134" s="503">
        <v>4120</v>
      </c>
      <c r="C134" s="1665"/>
      <c r="D134" s="1665"/>
      <c r="E134" s="1575"/>
      <c r="F134" s="1665"/>
      <c r="G134" s="1665"/>
      <c r="H134" s="1578"/>
      <c r="I134" s="1574"/>
      <c r="J134" s="1665"/>
      <c r="K134" s="1670">
        <f>SUM(E134,H134)</f>
        <v>0</v>
      </c>
      <c r="L134" s="1578"/>
    </row>
    <row r="135" spans="1:14" x14ac:dyDescent="0.2">
      <c r="A135" s="1266" t="s">
        <v>692</v>
      </c>
      <c r="B135" s="503">
        <v>4140</v>
      </c>
      <c r="C135" s="1665"/>
      <c r="D135" s="1665"/>
      <c r="E135" s="1566"/>
      <c r="F135" s="1665"/>
      <c r="G135" s="1665"/>
      <c r="H135" s="1565"/>
      <c r="I135" s="1574"/>
      <c r="J135" s="1665"/>
      <c r="K135" s="1670">
        <f>SUM(E135,H135)</f>
        <v>0</v>
      </c>
      <c r="L135" s="1565"/>
    </row>
    <row r="136" spans="1:14" x14ac:dyDescent="0.2">
      <c r="A136" s="1270" t="s">
        <v>693</v>
      </c>
      <c r="B136" s="512">
        <v>4190</v>
      </c>
      <c r="C136" s="1665"/>
      <c r="D136" s="1665"/>
      <c r="E136" s="1566"/>
      <c r="F136" s="1665"/>
      <c r="G136" s="1665"/>
      <c r="H136" s="1565"/>
      <c r="I136" s="1574"/>
      <c r="J136" s="1665"/>
      <c r="K136" s="1670">
        <f>SUM(E136,H136)</f>
        <v>0</v>
      </c>
      <c r="L136" s="1565"/>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row>
    <row r="143" spans="1:14" x14ac:dyDescent="0.2">
      <c r="A143" s="1266" t="s">
        <v>88</v>
      </c>
      <c r="B143" s="503">
        <v>5120</v>
      </c>
      <c r="C143" s="1665"/>
      <c r="D143" s="1665"/>
      <c r="E143" s="1665"/>
      <c r="F143" s="1665"/>
      <c r="G143" s="1665"/>
      <c r="H143" s="1565"/>
      <c r="I143" s="1567"/>
      <c r="J143" s="1665"/>
      <c r="K143" s="1670">
        <f>SUM(H143)</f>
        <v>0</v>
      </c>
      <c r="L143" s="1565"/>
    </row>
    <row r="144" spans="1:14" ht="12.75" customHeight="1" x14ac:dyDescent="0.2">
      <c r="A144" s="1266" t="s">
        <v>1162</v>
      </c>
      <c r="B144" s="512" t="s">
        <v>613</v>
      </c>
      <c r="C144" s="1665"/>
      <c r="D144" s="1665"/>
      <c r="E144" s="1665"/>
      <c r="F144" s="1665"/>
      <c r="G144" s="1665"/>
      <c r="H144" s="1565"/>
      <c r="I144" s="1567"/>
      <c r="J144" s="1665"/>
      <c r="K144" s="1670">
        <f>SUM(H144)</f>
        <v>0</v>
      </c>
      <c r="L144" s="1565"/>
    </row>
    <row r="145" spans="1:14" x14ac:dyDescent="0.2">
      <c r="A145" s="1266" t="s">
        <v>89</v>
      </c>
      <c r="B145" s="503" t="s">
        <v>585</v>
      </c>
      <c r="C145" s="1665"/>
      <c r="D145" s="1665"/>
      <c r="E145" s="1665"/>
      <c r="F145" s="1665"/>
      <c r="G145" s="1665"/>
      <c r="H145" s="1565"/>
      <c r="I145" s="1567"/>
      <c r="J145" s="1665"/>
      <c r="K145" s="1670">
        <f>SUM(H145)</f>
        <v>0</v>
      </c>
      <c r="L145" s="1565"/>
    </row>
    <row r="146" spans="1:14" ht="12.75" customHeight="1" x14ac:dyDescent="0.2">
      <c r="A146" s="1266" t="s">
        <v>615</v>
      </c>
      <c r="B146" s="503" t="s">
        <v>614</v>
      </c>
      <c r="C146" s="1665"/>
      <c r="D146" s="1665"/>
      <c r="E146" s="1665"/>
      <c r="F146" s="1665"/>
      <c r="G146" s="1665"/>
      <c r="H146" s="1565"/>
      <c r="I146" s="1567"/>
      <c r="J146" s="1665"/>
      <c r="K146" s="1670">
        <f>SUM(H146)</f>
        <v>0</v>
      </c>
      <c r="L146" s="1565"/>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284" t="s">
        <v>616</v>
      </c>
      <c r="B151" s="2264"/>
      <c r="C151" s="1666">
        <f>SUM(C129,C130,C139,C149,C150)</f>
        <v>735349</v>
      </c>
      <c r="D151" s="1666">
        <f t="shared" ref="D151:K151" si="16">SUM(D129,D130,D139,D149,D150)</f>
        <v>97261</v>
      </c>
      <c r="E151" s="1666">
        <f t="shared" si="16"/>
        <v>409520</v>
      </c>
      <c r="F151" s="1666">
        <f t="shared" si="16"/>
        <v>629103</v>
      </c>
      <c r="G151" s="1666">
        <f t="shared" si="16"/>
        <v>57337</v>
      </c>
      <c r="H151" s="1666">
        <f t="shared" si="16"/>
        <v>107</v>
      </c>
      <c r="I151" s="1666">
        <f t="shared" si="16"/>
        <v>0</v>
      </c>
      <c r="J151" s="1666">
        <f t="shared" si="16"/>
        <v>0</v>
      </c>
      <c r="K151" s="1666">
        <f t="shared" si="16"/>
        <v>1928677</v>
      </c>
      <c r="L151" s="1666">
        <f>SUM(L129,L130,L139,L149,L150)</f>
        <v>2203248</v>
      </c>
    </row>
    <row r="152" spans="1:14" ht="12.75" customHeight="1" thickTop="1" x14ac:dyDescent="0.2">
      <c r="A152" s="2287" t="s">
        <v>1170</v>
      </c>
      <c r="B152" s="2288"/>
      <c r="C152" s="1667"/>
      <c r="D152" s="1667"/>
      <c r="E152" s="1667"/>
      <c r="F152" s="1667"/>
      <c r="G152" s="1667"/>
      <c r="H152" s="1667"/>
      <c r="I152" s="1667"/>
      <c r="J152" s="1665"/>
      <c r="K152" s="1681">
        <f>'Revenues 9-14'!D268-'Expenditures 15-22'!K151</f>
        <v>202070</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72" t="s">
        <v>617</v>
      </c>
      <c r="B154" s="2274"/>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1817</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1816</v>
      </c>
      <c r="C157" s="1665"/>
      <c r="D157" s="1665"/>
      <c r="E157" s="1665"/>
      <c r="F157" s="1665"/>
      <c r="G157" s="1665"/>
      <c r="H157" s="1677"/>
      <c r="I157" s="1665"/>
      <c r="J157" s="1665"/>
      <c r="K157" s="1664">
        <f>H157</f>
        <v>0</v>
      </c>
      <c r="L157" s="1566"/>
      <c r="M157" s="505"/>
      <c r="N157" s="505"/>
    </row>
    <row r="158" spans="1:14" s="506" customFormat="1" ht="12" x14ac:dyDescent="0.2">
      <c r="A158" s="1454" t="s">
        <v>301</v>
      </c>
      <c r="B158" s="1455" t="s">
        <v>1818</v>
      </c>
      <c r="C158" s="1665"/>
      <c r="D158" s="1665"/>
      <c r="E158" s="1665"/>
      <c r="F158" s="1665"/>
      <c r="G158" s="1665"/>
      <c r="H158" s="1566"/>
      <c r="I158" s="1665"/>
      <c r="J158" s="1665"/>
      <c r="K158" s="1664">
        <f>H158</f>
        <v>0</v>
      </c>
      <c r="L158" s="1566"/>
      <c r="M158" s="505"/>
      <c r="N158" s="505"/>
    </row>
    <row r="159" spans="1:14" s="506" customFormat="1" ht="12" x14ac:dyDescent="0.2">
      <c r="A159" s="1454" t="s">
        <v>1819</v>
      </c>
      <c r="B159" s="1455" t="s">
        <v>554</v>
      </c>
      <c r="C159" s="1665"/>
      <c r="D159" s="1665"/>
      <c r="E159" s="1665"/>
      <c r="F159" s="1665"/>
      <c r="G159" s="1665"/>
      <c r="H159" s="1566"/>
      <c r="I159" s="1665"/>
      <c r="J159" s="1665"/>
      <c r="K159" s="1664">
        <f>H159</f>
        <v>0</v>
      </c>
      <c r="L159" s="1566"/>
      <c r="M159" s="505"/>
      <c r="N159" s="505"/>
    </row>
    <row r="160" spans="1:14" s="506" customFormat="1" ht="15.75" customHeight="1" thickBot="1" x14ac:dyDescent="0.25">
      <c r="A160" s="1456" t="s">
        <v>1820</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row>
    <row r="164" spans="1:14" x14ac:dyDescent="0.2">
      <c r="A164" s="1266" t="s">
        <v>88</v>
      </c>
      <c r="B164" s="503">
        <v>5120</v>
      </c>
      <c r="C164" s="1665"/>
      <c r="D164" s="1665"/>
      <c r="E164" s="1665"/>
      <c r="F164" s="1665"/>
      <c r="G164" s="1665"/>
      <c r="H164" s="1565"/>
      <c r="I164" s="1665"/>
      <c r="J164" s="1665"/>
      <c r="K164" s="1664">
        <f>SUM(C164:J164)</f>
        <v>0</v>
      </c>
      <c r="L164" s="1565"/>
    </row>
    <row r="165" spans="1:14" ht="12.75" customHeight="1" x14ac:dyDescent="0.2">
      <c r="A165" s="1266" t="s">
        <v>1162</v>
      </c>
      <c r="B165" s="503" t="s">
        <v>613</v>
      </c>
      <c r="C165" s="1665"/>
      <c r="D165" s="1665"/>
      <c r="E165" s="1665"/>
      <c r="F165" s="1665"/>
      <c r="G165" s="1665"/>
      <c r="H165" s="1565"/>
      <c r="I165" s="1665"/>
      <c r="J165" s="1665"/>
      <c r="K165" s="1664">
        <f>SUM(C165:J165)</f>
        <v>0</v>
      </c>
      <c r="L165" s="1565"/>
    </row>
    <row r="166" spans="1:14" x14ac:dyDescent="0.2">
      <c r="A166" s="1266" t="s">
        <v>89</v>
      </c>
      <c r="B166" s="512" t="s">
        <v>585</v>
      </c>
      <c r="C166" s="1665"/>
      <c r="D166" s="1665"/>
      <c r="E166" s="1665"/>
      <c r="F166" s="1665"/>
      <c r="G166" s="1665"/>
      <c r="H166" s="1565"/>
      <c r="I166" s="1665"/>
      <c r="J166" s="1665"/>
      <c r="K166" s="1664">
        <f>SUM(C166:J166)</f>
        <v>0</v>
      </c>
      <c r="L166" s="1565"/>
    </row>
    <row r="167" spans="1:14" ht="12.75" customHeight="1" x14ac:dyDescent="0.2">
      <c r="A167" s="1266" t="s">
        <v>615</v>
      </c>
      <c r="B167" s="503"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80084</v>
      </c>
      <c r="I169" s="1665"/>
      <c r="J169" s="1665"/>
      <c r="K169" s="1664">
        <f>SUM(C169:H169)</f>
        <v>80084</v>
      </c>
      <c r="L169" s="1687">
        <v>69437</v>
      </c>
    </row>
    <row r="170" spans="1:14" ht="33.75" customHeight="1" x14ac:dyDescent="0.2">
      <c r="A170" s="543" t="s">
        <v>1654</v>
      </c>
      <c r="B170" s="545" t="s">
        <v>31</v>
      </c>
      <c r="C170" s="1665"/>
      <c r="D170" s="1665"/>
      <c r="E170" s="1665"/>
      <c r="F170" s="1665"/>
      <c r="G170" s="1665"/>
      <c r="H170" s="1638">
        <v>654600</v>
      </c>
      <c r="I170" s="1665"/>
      <c r="J170" s="1665"/>
      <c r="K170" s="1664">
        <f>SUM(C170:J170)</f>
        <v>654600</v>
      </c>
      <c r="L170" s="1638">
        <v>713600</v>
      </c>
    </row>
    <row r="171" spans="1:14" ht="15.75" customHeight="1" x14ac:dyDescent="0.2">
      <c r="A171" s="507" t="s">
        <v>761</v>
      </c>
      <c r="B171" s="546" t="s">
        <v>84</v>
      </c>
      <c r="C171" s="1665"/>
      <c r="D171" s="1665"/>
      <c r="E171" s="1565"/>
      <c r="F171" s="1665"/>
      <c r="G171" s="1665"/>
      <c r="H171" s="1638">
        <v>15000</v>
      </c>
      <c r="I171" s="1574"/>
      <c r="J171" s="1665"/>
      <c r="K171" s="1664">
        <f>SUM(C171:J171)</f>
        <v>15000</v>
      </c>
      <c r="L171" s="1638"/>
    </row>
    <row r="172" spans="1:14" ht="12.75" customHeight="1" thickBot="1" x14ac:dyDescent="0.25">
      <c r="A172" s="1372" t="s">
        <v>633</v>
      </c>
      <c r="B172" s="1373" t="s">
        <v>489</v>
      </c>
      <c r="C172" s="1665"/>
      <c r="D172" s="1665"/>
      <c r="E172" s="1673">
        <f>SUM(E168,E169,E170,E171)</f>
        <v>0</v>
      </c>
      <c r="F172" s="1665"/>
      <c r="G172" s="1665"/>
      <c r="H172" s="1673">
        <f>SUM(H168,H169,H170,H171)</f>
        <v>749684</v>
      </c>
      <c r="I172" s="1676"/>
      <c r="J172" s="1665"/>
      <c r="K172" s="1673">
        <f>SUM(K168,K169,K170,K171)</f>
        <v>749684</v>
      </c>
      <c r="L172" s="1673">
        <f>SUM(L168,L169,L170,L171)</f>
        <v>783037</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749684</v>
      </c>
      <c r="I174" s="1676"/>
      <c r="J174" s="1665"/>
      <c r="K174" s="1673">
        <f>SUM(K160,K172,K173)</f>
        <v>749684</v>
      </c>
      <c r="L174" s="1673">
        <f>SUM(L160,L172,L173)</f>
        <v>783037</v>
      </c>
    </row>
    <row r="175" spans="1:14" ht="13.5" thickTop="1" x14ac:dyDescent="0.2">
      <c r="A175" s="2267" t="s">
        <v>989</v>
      </c>
      <c r="B175" s="2268"/>
      <c r="C175" s="1665"/>
      <c r="D175" s="1665"/>
      <c r="E175" s="1665"/>
      <c r="F175" s="1665"/>
      <c r="G175" s="1665"/>
      <c r="H175" s="1667"/>
      <c r="I175" s="1665"/>
      <c r="J175" s="1665"/>
      <c r="K175" s="1681">
        <f>'Revenues 9-14'!E268-'Expenditures 15-22'!K174</f>
        <v>-31190</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1963</v>
      </c>
      <c r="B180" s="503" t="s">
        <v>711</v>
      </c>
      <c r="C180" s="1565"/>
      <c r="D180" s="1565"/>
      <c r="E180" s="1565"/>
      <c r="F180" s="1565"/>
      <c r="G180" s="1565"/>
      <c r="H180" s="1565"/>
      <c r="I180" s="1566"/>
      <c r="J180" s="1566"/>
      <c r="K180" s="1664">
        <f>SUM(C180:J180)</f>
        <v>0</v>
      </c>
      <c r="L180" s="1565"/>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c r="D182" s="1565"/>
      <c r="E182" s="1565">
        <v>1709110</v>
      </c>
      <c r="F182" s="1565"/>
      <c r="G182" s="1565"/>
      <c r="H182" s="1565"/>
      <c r="I182" s="1566"/>
      <c r="J182" s="1566"/>
      <c r="K182" s="1664">
        <f>SUM(C182:J182)</f>
        <v>1709110</v>
      </c>
      <c r="L182" s="1565">
        <v>1727094</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row>
    <row r="184" spans="1:14" ht="12.75" customHeight="1" thickTop="1" thickBot="1" x14ac:dyDescent="0.25">
      <c r="A184" s="1385" t="s">
        <v>806</v>
      </c>
      <c r="B184" s="1373" t="s">
        <v>565</v>
      </c>
      <c r="C184" s="1673">
        <f>SUM(C180,C182,C183)</f>
        <v>0</v>
      </c>
      <c r="D184" s="1673">
        <f t="shared" ref="D184:J184" si="17">SUM(D180,D182,D183)</f>
        <v>0</v>
      </c>
      <c r="E184" s="1673">
        <f t="shared" si="17"/>
        <v>1709110</v>
      </c>
      <c r="F184" s="1673">
        <f t="shared" si="17"/>
        <v>0</v>
      </c>
      <c r="G184" s="1673">
        <f t="shared" si="17"/>
        <v>0</v>
      </c>
      <c r="H184" s="1673">
        <f t="shared" si="17"/>
        <v>0</v>
      </c>
      <c r="I184" s="1673">
        <f t="shared" si="17"/>
        <v>0</v>
      </c>
      <c r="J184" s="1673">
        <f t="shared" si="17"/>
        <v>0</v>
      </c>
      <c r="K184" s="1673">
        <f>SUM(K180,K182,K183)</f>
        <v>1709110</v>
      </c>
      <c r="L184" s="1673">
        <f>SUM(L180, L182:L183)</f>
        <v>1727094</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row>
    <row r="189" spans="1:14" x14ac:dyDescent="0.2">
      <c r="A189" s="1266" t="s">
        <v>301</v>
      </c>
      <c r="B189" s="503">
        <v>4120</v>
      </c>
      <c r="C189" s="1665"/>
      <c r="D189" s="1665"/>
      <c r="E189" s="1565"/>
      <c r="F189" s="1665"/>
      <c r="G189" s="1665"/>
      <c r="H189" s="1565"/>
      <c r="I189" s="1574"/>
      <c r="J189" s="1665"/>
      <c r="K189" s="1664">
        <f t="shared" si="18"/>
        <v>0</v>
      </c>
      <c r="L189" s="1565"/>
    </row>
    <row r="190" spans="1:14" x14ac:dyDescent="0.2">
      <c r="A190" s="1266" t="s">
        <v>302</v>
      </c>
      <c r="B190" s="512">
        <v>4130</v>
      </c>
      <c r="C190" s="1665"/>
      <c r="D190" s="1665"/>
      <c r="E190" s="1565"/>
      <c r="F190" s="1665"/>
      <c r="G190" s="1665"/>
      <c r="H190" s="1565"/>
      <c r="I190" s="1574"/>
      <c r="J190" s="1665"/>
      <c r="K190" s="1664">
        <f t="shared" si="18"/>
        <v>0</v>
      </c>
      <c r="L190" s="1565"/>
    </row>
    <row r="191" spans="1:14" x14ac:dyDescent="0.2">
      <c r="A191" s="1266" t="s">
        <v>692</v>
      </c>
      <c r="B191" s="503">
        <v>4140</v>
      </c>
      <c r="C191" s="1665"/>
      <c r="D191" s="1665"/>
      <c r="E191" s="1565"/>
      <c r="F191" s="1665"/>
      <c r="G191" s="1665"/>
      <c r="H191" s="1565"/>
      <c r="I191" s="1574"/>
      <c r="J191" s="1665"/>
      <c r="K191" s="1664">
        <f t="shared" si="18"/>
        <v>0</v>
      </c>
      <c r="L191" s="1565"/>
    </row>
    <row r="192" spans="1:14" x14ac:dyDescent="0.2">
      <c r="A192" s="1266" t="s">
        <v>86</v>
      </c>
      <c r="B192" s="503">
        <v>4170</v>
      </c>
      <c r="C192" s="1665"/>
      <c r="D192" s="1665"/>
      <c r="E192" s="1565"/>
      <c r="F192" s="1665"/>
      <c r="G192" s="1665"/>
      <c r="H192" s="1565"/>
      <c r="I192" s="1574"/>
      <c r="J192" s="1665"/>
      <c r="K192" s="1664">
        <f t="shared" si="18"/>
        <v>0</v>
      </c>
      <c r="L192" s="1565"/>
    </row>
    <row r="193" spans="1:14" x14ac:dyDescent="0.2">
      <c r="A193" s="1270" t="s">
        <v>693</v>
      </c>
      <c r="B193" s="512">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row>
    <row r="200" spans="1:14" x14ac:dyDescent="0.2">
      <c r="A200" s="1266" t="s">
        <v>88</v>
      </c>
      <c r="B200" s="503">
        <v>5120</v>
      </c>
      <c r="C200" s="1665"/>
      <c r="D200" s="1665"/>
      <c r="E200" s="1665"/>
      <c r="F200" s="1665"/>
      <c r="G200" s="1665"/>
      <c r="H200" s="1565"/>
      <c r="I200" s="1665"/>
      <c r="J200" s="1665"/>
      <c r="K200" s="1664">
        <f>SUM(H200)</f>
        <v>0</v>
      </c>
      <c r="L200" s="1565"/>
    </row>
    <row r="201" spans="1:14" ht="12.75" customHeight="1" x14ac:dyDescent="0.2">
      <c r="A201" s="1266" t="s">
        <v>1162</v>
      </c>
      <c r="B201" s="512" t="s">
        <v>613</v>
      </c>
      <c r="C201" s="1665"/>
      <c r="D201" s="1665"/>
      <c r="E201" s="1665"/>
      <c r="F201" s="1665"/>
      <c r="G201" s="1665"/>
      <c r="H201" s="1565"/>
      <c r="I201" s="1665"/>
      <c r="J201" s="1665"/>
      <c r="K201" s="1664">
        <f>SUM(H201)</f>
        <v>0</v>
      </c>
      <c r="L201" s="1565"/>
    </row>
    <row r="202" spans="1:14" x14ac:dyDescent="0.2">
      <c r="A202" s="1266" t="s">
        <v>89</v>
      </c>
      <c r="B202" s="503" t="s">
        <v>585</v>
      </c>
      <c r="C202" s="1665"/>
      <c r="D202" s="1665"/>
      <c r="E202" s="1665"/>
      <c r="F202" s="1665"/>
      <c r="G202" s="1665"/>
      <c r="H202" s="1565"/>
      <c r="I202" s="1665"/>
      <c r="J202" s="1665"/>
      <c r="K202" s="1664">
        <f>SUM(H202)</f>
        <v>0</v>
      </c>
      <c r="L202" s="1565"/>
    </row>
    <row r="203" spans="1:14" x14ac:dyDescent="0.2">
      <c r="A203" s="1278" t="s">
        <v>615</v>
      </c>
      <c r="B203" s="503"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row>
    <row r="206" spans="1:14" ht="30" customHeight="1" x14ac:dyDescent="0.2">
      <c r="A206" s="555" t="s">
        <v>1655</v>
      </c>
      <c r="B206" s="546" t="s">
        <v>31</v>
      </c>
      <c r="C206" s="1665"/>
      <c r="D206" s="1665"/>
      <c r="E206" s="1665"/>
      <c r="F206" s="1665"/>
      <c r="G206" s="1665"/>
      <c r="H206" s="1565"/>
      <c r="I206" s="1665"/>
      <c r="J206" s="1665"/>
      <c r="K206" s="1664">
        <f>SUM(H206)</f>
        <v>0</v>
      </c>
      <c r="L206" s="1565"/>
    </row>
    <row r="207" spans="1:14" ht="15.75" customHeight="1" x14ac:dyDescent="0.2">
      <c r="A207" s="507" t="s">
        <v>761</v>
      </c>
      <c r="B207" s="546"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0</v>
      </c>
      <c r="D210" s="1666">
        <f>SUM(D184,D185)</f>
        <v>0</v>
      </c>
      <c r="E210" s="1666">
        <f>SUM(E184,E185,E196)</f>
        <v>1709110</v>
      </c>
      <c r="F210" s="1666">
        <f>SUM(F184,F185)</f>
        <v>0</v>
      </c>
      <c r="G210" s="1666">
        <f>SUM(G184,G185)</f>
        <v>0</v>
      </c>
      <c r="H210" s="1666">
        <f>SUM(H184,H185,H196,H208,H209)</f>
        <v>0</v>
      </c>
      <c r="I210" s="1666">
        <f>SUM(I184,I185)</f>
        <v>0</v>
      </c>
      <c r="J210" s="1666">
        <f>SUM(J184,J185)</f>
        <v>0</v>
      </c>
      <c r="K210" s="1664">
        <f>SUM(K184,K185,K196,K208,K209)</f>
        <v>1709110</v>
      </c>
      <c r="L210" s="1666">
        <f>SUM(L184,L185,L196,L208,L209)</f>
        <v>1727094</v>
      </c>
    </row>
    <row r="211" spans="1:14" ht="13.5" thickTop="1" x14ac:dyDescent="0.2">
      <c r="A211" s="2267" t="s">
        <v>989</v>
      </c>
      <c r="B211" s="2268"/>
      <c r="C211" s="1667"/>
      <c r="D211" s="1667"/>
      <c r="E211" s="1667"/>
      <c r="F211" s="1667"/>
      <c r="G211" s="1667"/>
      <c r="H211" s="1667"/>
      <c r="I211" s="1665"/>
      <c r="J211" s="1665"/>
      <c r="K211" s="1681">
        <f>'Revenues 9-14'!F268-'Expenditures 15-22'!K210</f>
        <v>70138</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289" t="s">
        <v>959</v>
      </c>
      <c r="B213" s="2290"/>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97195</v>
      </c>
      <c r="E215" s="1665"/>
      <c r="F215" s="1665"/>
      <c r="G215" s="1665"/>
      <c r="H215" s="1665"/>
      <c r="I215" s="1665"/>
      <c r="J215" s="1665"/>
      <c r="K215" s="1664">
        <f>D215</f>
        <v>97195</v>
      </c>
      <c r="L215" s="1565">
        <v>90886</v>
      </c>
    </row>
    <row r="216" spans="1:14" x14ac:dyDescent="0.2">
      <c r="A216" s="1266" t="s">
        <v>162</v>
      </c>
      <c r="B216" s="503" t="s">
        <v>961</v>
      </c>
      <c r="C216" s="1665"/>
      <c r="D216" s="1566">
        <v>10654</v>
      </c>
      <c r="E216" s="1665"/>
      <c r="F216" s="1665"/>
      <c r="G216" s="1665"/>
      <c r="H216" s="1665"/>
      <c r="I216" s="1665"/>
      <c r="J216" s="1665"/>
      <c r="K216" s="1664">
        <f t="shared" ref="K216:K228" si="19">D216</f>
        <v>10654</v>
      </c>
      <c r="L216" s="1565">
        <v>10468</v>
      </c>
    </row>
    <row r="217" spans="1:14" x14ac:dyDescent="0.2">
      <c r="A217" s="1266" t="s">
        <v>163</v>
      </c>
      <c r="B217" s="503">
        <v>1200</v>
      </c>
      <c r="C217" s="1665"/>
      <c r="D217" s="1565">
        <v>113429</v>
      </c>
      <c r="E217" s="1665"/>
      <c r="F217" s="1665"/>
      <c r="G217" s="1665"/>
      <c r="H217" s="1665"/>
      <c r="I217" s="1665"/>
      <c r="J217" s="1665"/>
      <c r="K217" s="1664">
        <f t="shared" si="19"/>
        <v>113429</v>
      </c>
      <c r="L217" s="1565">
        <v>127208</v>
      </c>
    </row>
    <row r="218" spans="1:14" x14ac:dyDescent="0.2">
      <c r="A218" s="1266" t="s">
        <v>276</v>
      </c>
      <c r="B218" s="503" t="s">
        <v>962</v>
      </c>
      <c r="C218" s="1665"/>
      <c r="D218" s="1566"/>
      <c r="E218" s="1665"/>
      <c r="F218" s="1665"/>
      <c r="G218" s="1665"/>
      <c r="H218" s="1665"/>
      <c r="I218" s="1665"/>
      <c r="J218" s="1665"/>
      <c r="K218" s="1664">
        <f t="shared" si="19"/>
        <v>0</v>
      </c>
      <c r="L218" s="1565"/>
    </row>
    <row r="219" spans="1:14" x14ac:dyDescent="0.2">
      <c r="A219" s="1266" t="s">
        <v>277</v>
      </c>
      <c r="B219" s="503">
        <v>1250</v>
      </c>
      <c r="C219" s="1665"/>
      <c r="D219" s="1565">
        <v>46592</v>
      </c>
      <c r="E219" s="1665"/>
      <c r="F219" s="1665"/>
      <c r="G219" s="1665"/>
      <c r="H219" s="1665"/>
      <c r="I219" s="1665"/>
      <c r="J219" s="1665"/>
      <c r="K219" s="1664">
        <f t="shared" si="19"/>
        <v>46592</v>
      </c>
      <c r="L219" s="1565">
        <v>51686</v>
      </c>
    </row>
    <row r="220" spans="1:14" x14ac:dyDescent="0.2">
      <c r="A220" s="1266" t="s">
        <v>278</v>
      </c>
      <c r="B220" s="503" t="s">
        <v>160</v>
      </c>
      <c r="C220" s="1665"/>
      <c r="D220" s="1566"/>
      <c r="E220" s="1665"/>
      <c r="F220" s="1665"/>
      <c r="G220" s="1665"/>
      <c r="H220" s="1665"/>
      <c r="I220" s="1665"/>
      <c r="J220" s="1665"/>
      <c r="K220" s="1664">
        <f t="shared" si="19"/>
        <v>0</v>
      </c>
      <c r="L220" s="1565"/>
    </row>
    <row r="221" spans="1:14" x14ac:dyDescent="0.2">
      <c r="A221" s="1266" t="s">
        <v>956</v>
      </c>
      <c r="B221" s="503">
        <v>1300</v>
      </c>
      <c r="C221" s="1665"/>
      <c r="D221" s="1565"/>
      <c r="E221" s="1665"/>
      <c r="F221" s="1665"/>
      <c r="G221" s="1665"/>
      <c r="H221" s="1665"/>
      <c r="I221" s="1665"/>
      <c r="J221" s="1665"/>
      <c r="K221" s="1664">
        <f t="shared" si="19"/>
        <v>0</v>
      </c>
      <c r="L221" s="1565"/>
    </row>
    <row r="222" spans="1:14" x14ac:dyDescent="0.2">
      <c r="A222" s="1266" t="s">
        <v>718</v>
      </c>
      <c r="B222" s="503">
        <v>1400</v>
      </c>
      <c r="C222" s="1665"/>
      <c r="D222" s="1565">
        <v>6815</v>
      </c>
      <c r="E222" s="1665"/>
      <c r="F222" s="1665"/>
      <c r="G222" s="1665"/>
      <c r="H222" s="1665"/>
      <c r="I222" s="1665"/>
      <c r="J222" s="1665"/>
      <c r="K222" s="1664">
        <f t="shared" si="19"/>
        <v>6815</v>
      </c>
      <c r="L222" s="1565">
        <v>6052</v>
      </c>
    </row>
    <row r="223" spans="1:14" x14ac:dyDescent="0.2">
      <c r="A223" s="1266" t="s">
        <v>957</v>
      </c>
      <c r="B223" s="503">
        <v>1500</v>
      </c>
      <c r="C223" s="1665"/>
      <c r="D223" s="1565">
        <v>4238</v>
      </c>
      <c r="E223" s="1665"/>
      <c r="F223" s="1665"/>
      <c r="G223" s="1665"/>
      <c r="H223" s="1665"/>
      <c r="I223" s="1665"/>
      <c r="J223" s="1665"/>
      <c r="K223" s="1664">
        <f t="shared" si="19"/>
        <v>4238</v>
      </c>
      <c r="L223" s="1565">
        <v>10031</v>
      </c>
    </row>
    <row r="224" spans="1:14" x14ac:dyDescent="0.2">
      <c r="A224" s="1266" t="s">
        <v>958</v>
      </c>
      <c r="B224" s="503">
        <v>1600</v>
      </c>
      <c r="C224" s="1665"/>
      <c r="D224" s="1565"/>
      <c r="E224" s="1665"/>
      <c r="F224" s="1665"/>
      <c r="G224" s="1665"/>
      <c r="H224" s="1665"/>
      <c r="I224" s="1665"/>
      <c r="J224" s="1665"/>
      <c r="K224" s="1664">
        <f t="shared" si="19"/>
        <v>0</v>
      </c>
      <c r="L224" s="1565"/>
    </row>
    <row r="225" spans="1:12" x14ac:dyDescent="0.2">
      <c r="A225" s="1266" t="s">
        <v>980</v>
      </c>
      <c r="B225" s="503">
        <v>1650</v>
      </c>
      <c r="C225" s="1665"/>
      <c r="D225" s="1565"/>
      <c r="E225" s="1665"/>
      <c r="F225" s="1665"/>
      <c r="G225" s="1665"/>
      <c r="H225" s="1665"/>
      <c r="I225" s="1665"/>
      <c r="J225" s="1665"/>
      <c r="K225" s="1664">
        <f t="shared" si="19"/>
        <v>0</v>
      </c>
      <c r="L225" s="1565"/>
    </row>
    <row r="226" spans="1:12" x14ac:dyDescent="0.2">
      <c r="A226" s="1266" t="s">
        <v>719</v>
      </c>
      <c r="B226" s="503" t="s">
        <v>161</v>
      </c>
      <c r="C226" s="1665"/>
      <c r="D226" s="1566"/>
      <c r="E226" s="1665"/>
      <c r="F226" s="1665"/>
      <c r="G226" s="1665"/>
      <c r="H226" s="1665"/>
      <c r="I226" s="1665"/>
      <c r="J226" s="1665"/>
      <c r="K226" s="1664">
        <f t="shared" si="19"/>
        <v>0</v>
      </c>
      <c r="L226" s="1565"/>
    </row>
    <row r="227" spans="1:12" x14ac:dyDescent="0.2">
      <c r="A227" s="1266" t="s">
        <v>1080</v>
      </c>
      <c r="B227" s="503">
        <v>1800</v>
      </c>
      <c r="C227" s="1665"/>
      <c r="D227" s="1565"/>
      <c r="E227" s="1665"/>
      <c r="F227" s="1665"/>
      <c r="G227" s="1665"/>
      <c r="H227" s="1665"/>
      <c r="I227" s="1665"/>
      <c r="J227" s="1665"/>
      <c r="K227" s="1664">
        <f t="shared" si="19"/>
        <v>0</v>
      </c>
      <c r="L227" s="1565"/>
    </row>
    <row r="228" spans="1:12" x14ac:dyDescent="0.2">
      <c r="A228" s="1266" t="s">
        <v>1081</v>
      </c>
      <c r="B228" s="503">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278923</v>
      </c>
      <c r="E229" s="1665"/>
      <c r="F229" s="1665"/>
      <c r="G229" s="1665"/>
      <c r="H229" s="1665"/>
      <c r="I229" s="1665"/>
      <c r="J229" s="1665"/>
      <c r="K229" s="1666">
        <f>SUM(K215:K228)</f>
        <v>278923</v>
      </c>
      <c r="L229" s="1666">
        <f>SUM(L215:L228)</f>
        <v>296331</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v>1762</v>
      </c>
      <c r="E232" s="1665"/>
      <c r="F232" s="1665"/>
      <c r="G232" s="1665"/>
      <c r="H232" s="1665"/>
      <c r="I232" s="1665"/>
      <c r="J232" s="1665"/>
      <c r="K232" s="1664">
        <f t="shared" ref="K232:K237" si="20">D232</f>
        <v>1762</v>
      </c>
      <c r="L232" s="1565">
        <v>1857</v>
      </c>
    </row>
    <row r="233" spans="1:12" x14ac:dyDescent="0.2">
      <c r="A233" s="1266" t="s">
        <v>1083</v>
      </c>
      <c r="B233" s="503">
        <v>2120</v>
      </c>
      <c r="C233" s="1665"/>
      <c r="D233" s="1565">
        <v>1926</v>
      </c>
      <c r="E233" s="1665"/>
      <c r="F233" s="1665"/>
      <c r="G233" s="1665"/>
      <c r="H233" s="1665"/>
      <c r="I233" s="1665"/>
      <c r="J233" s="1665"/>
      <c r="K233" s="1664">
        <f t="shared" si="20"/>
        <v>1926</v>
      </c>
      <c r="L233" s="1565">
        <v>1974</v>
      </c>
    </row>
    <row r="234" spans="1:12" x14ac:dyDescent="0.2">
      <c r="A234" s="1266" t="s">
        <v>196</v>
      </c>
      <c r="B234" s="503">
        <v>2130</v>
      </c>
      <c r="C234" s="1665"/>
      <c r="D234" s="1565">
        <v>14699</v>
      </c>
      <c r="E234" s="1665"/>
      <c r="F234" s="1665"/>
      <c r="G234" s="1665"/>
      <c r="H234" s="1665"/>
      <c r="I234" s="1665"/>
      <c r="J234" s="1665"/>
      <c r="K234" s="1664">
        <f t="shared" si="20"/>
        <v>14699</v>
      </c>
      <c r="L234" s="1565">
        <v>15764</v>
      </c>
    </row>
    <row r="235" spans="1:12" x14ac:dyDescent="0.2">
      <c r="A235" s="1266" t="s">
        <v>197</v>
      </c>
      <c r="B235" s="503">
        <v>2140</v>
      </c>
      <c r="C235" s="1665"/>
      <c r="D235" s="1565">
        <v>983</v>
      </c>
      <c r="E235" s="1665"/>
      <c r="F235" s="1665"/>
      <c r="G235" s="1665"/>
      <c r="H235" s="1665"/>
      <c r="I235" s="1665"/>
      <c r="J235" s="1665"/>
      <c r="K235" s="1664">
        <f t="shared" si="20"/>
        <v>983</v>
      </c>
      <c r="L235" s="1565"/>
    </row>
    <row r="236" spans="1:12" x14ac:dyDescent="0.2">
      <c r="A236" s="1266" t="s">
        <v>198</v>
      </c>
      <c r="B236" s="503">
        <v>2150</v>
      </c>
      <c r="C236" s="1665"/>
      <c r="D236" s="1565">
        <v>2453</v>
      </c>
      <c r="E236" s="1665"/>
      <c r="F236" s="1665"/>
      <c r="G236" s="1665"/>
      <c r="H236" s="1665"/>
      <c r="I236" s="1665"/>
      <c r="J236" s="1665"/>
      <c r="K236" s="1664">
        <f t="shared" si="20"/>
        <v>2453</v>
      </c>
      <c r="L236" s="1565">
        <v>2661</v>
      </c>
    </row>
    <row r="237" spans="1:12" x14ac:dyDescent="0.2">
      <c r="A237" s="1266" t="s">
        <v>164</v>
      </c>
      <c r="B237" s="503">
        <v>2190</v>
      </c>
      <c r="C237" s="1665"/>
      <c r="D237" s="1565">
        <v>1089</v>
      </c>
      <c r="E237" s="1665"/>
      <c r="F237" s="1665"/>
      <c r="G237" s="1665"/>
      <c r="H237" s="1665"/>
      <c r="I237" s="1665"/>
      <c r="J237" s="1665"/>
      <c r="K237" s="1664">
        <f t="shared" si="20"/>
        <v>1089</v>
      </c>
      <c r="L237" s="1565">
        <v>2907</v>
      </c>
    </row>
    <row r="238" spans="1:12" ht="12.75" customHeight="1" thickBot="1" x14ac:dyDescent="0.25">
      <c r="A238" s="1372" t="s">
        <v>556</v>
      </c>
      <c r="B238" s="1375" t="s">
        <v>711</v>
      </c>
      <c r="C238" s="1665"/>
      <c r="D238" s="1666">
        <f>SUM(D232:D237)</f>
        <v>22912</v>
      </c>
      <c r="E238" s="1665"/>
      <c r="F238" s="1665"/>
      <c r="G238" s="1665"/>
      <c r="H238" s="1665"/>
      <c r="I238" s="1665"/>
      <c r="J238" s="1665"/>
      <c r="K238" s="1666">
        <f>SUM(K232:K237)</f>
        <v>22912</v>
      </c>
      <c r="L238" s="1666">
        <f>SUM(L232:L237)</f>
        <v>25163</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v>938</v>
      </c>
      <c r="E240" s="1665"/>
      <c r="F240" s="1665"/>
      <c r="G240" s="1665"/>
      <c r="H240" s="1665"/>
      <c r="I240" s="1665"/>
      <c r="J240" s="1665"/>
      <c r="K240" s="1670">
        <f>D240</f>
        <v>938</v>
      </c>
      <c r="L240" s="1578">
        <v>1214</v>
      </c>
    </row>
    <row r="241" spans="1:12" x14ac:dyDescent="0.2">
      <c r="A241" s="1266" t="s">
        <v>810</v>
      </c>
      <c r="B241" s="503">
        <v>2220</v>
      </c>
      <c r="C241" s="1665"/>
      <c r="D241" s="1565">
        <v>1932</v>
      </c>
      <c r="E241" s="1665"/>
      <c r="F241" s="1665"/>
      <c r="G241" s="1665"/>
      <c r="H241" s="1665"/>
      <c r="I241" s="1665"/>
      <c r="J241" s="1665"/>
      <c r="K241" s="1670">
        <f>D241</f>
        <v>1932</v>
      </c>
      <c r="L241" s="1565">
        <v>2061</v>
      </c>
    </row>
    <row r="242" spans="1:12" x14ac:dyDescent="0.2">
      <c r="A242" s="1266" t="s">
        <v>811</v>
      </c>
      <c r="B242" s="503">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2870</v>
      </c>
      <c r="E243" s="1665"/>
      <c r="F243" s="1665"/>
      <c r="G243" s="1665"/>
      <c r="H243" s="1665"/>
      <c r="I243" s="1665"/>
      <c r="J243" s="1665"/>
      <c r="K243" s="1666">
        <f>SUM(K240:K242)</f>
        <v>2870</v>
      </c>
      <c r="L243" s="1666">
        <f>SUM(L240:L242)</f>
        <v>3275</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v>383</v>
      </c>
      <c r="E245" s="1665"/>
      <c r="F245" s="1665"/>
      <c r="G245" s="1665"/>
      <c r="H245" s="1665"/>
      <c r="I245" s="1665"/>
      <c r="J245" s="1665"/>
      <c r="K245" s="1670">
        <f>D245</f>
        <v>383</v>
      </c>
      <c r="L245" s="1578"/>
    </row>
    <row r="246" spans="1:12" x14ac:dyDescent="0.2">
      <c r="A246" s="1266" t="s">
        <v>813</v>
      </c>
      <c r="B246" s="503">
        <v>2320</v>
      </c>
      <c r="C246" s="1665"/>
      <c r="D246" s="1565">
        <v>1644</v>
      </c>
      <c r="E246" s="1665"/>
      <c r="F246" s="1665"/>
      <c r="G246" s="1665"/>
      <c r="H246" s="1665"/>
      <c r="I246" s="1665"/>
      <c r="J246" s="1665"/>
      <c r="K246" s="1670">
        <f t="shared" ref="K246:K256" si="21">D246</f>
        <v>1644</v>
      </c>
      <c r="L246" s="1565">
        <v>1668</v>
      </c>
    </row>
    <row r="247" spans="1:12" x14ac:dyDescent="0.2">
      <c r="A247" s="1266" t="s">
        <v>814</v>
      </c>
      <c r="B247" s="503">
        <v>2330</v>
      </c>
      <c r="C247" s="1665"/>
      <c r="D247" s="1565">
        <v>49</v>
      </c>
      <c r="E247" s="1665"/>
      <c r="F247" s="1665"/>
      <c r="G247" s="1665"/>
      <c r="H247" s="1665"/>
      <c r="I247" s="1665"/>
      <c r="J247" s="1665"/>
      <c r="K247" s="1670">
        <f t="shared" si="21"/>
        <v>49</v>
      </c>
      <c r="L247" s="1565">
        <v>76</v>
      </c>
    </row>
    <row r="248" spans="1:12" x14ac:dyDescent="0.2">
      <c r="A248" s="1267" t="s">
        <v>296</v>
      </c>
      <c r="B248" s="494" t="s">
        <v>279</v>
      </c>
      <c r="C248" s="1665"/>
      <c r="D248" s="1571"/>
      <c r="E248" s="1665"/>
      <c r="F248" s="1665"/>
      <c r="G248" s="1665"/>
      <c r="H248" s="1665"/>
      <c r="I248" s="1665"/>
      <c r="J248" s="1665"/>
      <c r="K248" s="1670">
        <f t="shared" si="21"/>
        <v>0</v>
      </c>
      <c r="L248" s="1565"/>
    </row>
    <row r="249" spans="1:12" x14ac:dyDescent="0.2">
      <c r="A249" s="1268" t="s">
        <v>1782</v>
      </c>
      <c r="B249" s="557" t="s">
        <v>280</v>
      </c>
      <c r="C249" s="1665"/>
      <c r="D249" s="1571"/>
      <c r="E249" s="1665"/>
      <c r="F249" s="1665"/>
      <c r="G249" s="1665"/>
      <c r="H249" s="1665"/>
      <c r="I249" s="1665"/>
      <c r="J249" s="1665"/>
      <c r="K249" s="1670">
        <f t="shared" si="21"/>
        <v>0</v>
      </c>
      <c r="L249" s="1565"/>
    </row>
    <row r="250" spans="1:12" x14ac:dyDescent="0.2">
      <c r="A250" s="1267" t="s">
        <v>1783</v>
      </c>
      <c r="B250" s="494" t="s">
        <v>281</v>
      </c>
      <c r="C250" s="1665"/>
      <c r="D250" s="1571"/>
      <c r="E250" s="1665"/>
      <c r="F250" s="1665"/>
      <c r="G250" s="1665"/>
      <c r="H250" s="1665"/>
      <c r="I250" s="1665"/>
      <c r="J250" s="1665"/>
      <c r="K250" s="1670">
        <f t="shared" si="21"/>
        <v>0</v>
      </c>
      <c r="L250" s="1565"/>
    </row>
    <row r="251" spans="1:12" x14ac:dyDescent="0.2">
      <c r="A251" s="1267" t="s">
        <v>236</v>
      </c>
      <c r="B251" s="494" t="s">
        <v>282</v>
      </c>
      <c r="C251" s="1665"/>
      <c r="D251" s="1571"/>
      <c r="E251" s="1665"/>
      <c r="F251" s="1665"/>
      <c r="G251" s="1665"/>
      <c r="H251" s="1665"/>
      <c r="I251" s="1665"/>
      <c r="J251" s="1665"/>
      <c r="K251" s="1670">
        <f t="shared" si="21"/>
        <v>0</v>
      </c>
      <c r="L251" s="1565"/>
    </row>
    <row r="252" spans="1:12" x14ac:dyDescent="0.2">
      <c r="A252" s="1267" t="s">
        <v>697</v>
      </c>
      <c r="B252" s="494" t="s">
        <v>283</v>
      </c>
      <c r="C252" s="1665"/>
      <c r="D252" s="1571"/>
      <c r="E252" s="1665"/>
      <c r="F252" s="1665"/>
      <c r="G252" s="1665"/>
      <c r="H252" s="1665"/>
      <c r="I252" s="1665"/>
      <c r="J252" s="1665"/>
      <c r="K252" s="1670">
        <f t="shared" si="21"/>
        <v>0</v>
      </c>
      <c r="L252" s="1565"/>
    </row>
    <row r="253" spans="1:12" x14ac:dyDescent="0.2">
      <c r="A253" s="1267" t="s">
        <v>237</v>
      </c>
      <c r="B253" s="494" t="s">
        <v>284</v>
      </c>
      <c r="C253" s="1665"/>
      <c r="D253" s="1571"/>
      <c r="E253" s="1665"/>
      <c r="F253" s="1665"/>
      <c r="G253" s="1665"/>
      <c r="H253" s="1665"/>
      <c r="I253" s="1665"/>
      <c r="J253" s="1665"/>
      <c r="K253" s="1670">
        <f t="shared" si="21"/>
        <v>0</v>
      </c>
      <c r="L253" s="1565"/>
    </row>
    <row r="254" spans="1:12" ht="22.5" x14ac:dyDescent="0.2">
      <c r="A254" s="1267" t="s">
        <v>1022</v>
      </c>
      <c r="B254" s="557" t="s">
        <v>285</v>
      </c>
      <c r="C254" s="1665"/>
      <c r="D254" s="1571"/>
      <c r="E254" s="1665"/>
      <c r="F254" s="1665"/>
      <c r="G254" s="1665"/>
      <c r="H254" s="1665"/>
      <c r="I254" s="1665"/>
      <c r="J254" s="1665"/>
      <c r="K254" s="1670">
        <f t="shared" si="21"/>
        <v>0</v>
      </c>
      <c r="L254" s="1565"/>
    </row>
    <row r="255" spans="1:12" x14ac:dyDescent="0.2">
      <c r="A255" s="1267" t="s">
        <v>1023</v>
      </c>
      <c r="B255" s="494" t="s">
        <v>286</v>
      </c>
      <c r="C255" s="1665"/>
      <c r="D255" s="1571"/>
      <c r="E255" s="1665"/>
      <c r="F255" s="1665"/>
      <c r="G255" s="1665"/>
      <c r="H255" s="1665"/>
      <c r="I255" s="1665"/>
      <c r="J255" s="1665"/>
      <c r="K255" s="1670">
        <f t="shared" si="21"/>
        <v>0</v>
      </c>
      <c r="L255" s="1565"/>
    </row>
    <row r="256" spans="1:12" x14ac:dyDescent="0.2">
      <c r="A256" s="1267" t="s">
        <v>965</v>
      </c>
      <c r="B256" s="503"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2076</v>
      </c>
      <c r="E257" s="1665"/>
      <c r="F257" s="1665"/>
      <c r="G257" s="1665"/>
      <c r="H257" s="1665"/>
      <c r="I257" s="1665"/>
      <c r="J257" s="1665"/>
      <c r="K257" s="1666">
        <f>SUM(K245:K256)</f>
        <v>2076</v>
      </c>
      <c r="L257" s="1666">
        <f>SUM(L245:L256)</f>
        <v>1744</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61355</v>
      </c>
      <c r="E259" s="1665"/>
      <c r="F259" s="1665"/>
      <c r="G259" s="1665"/>
      <c r="H259" s="1665"/>
      <c r="I259" s="1665"/>
      <c r="J259" s="1665"/>
      <c r="K259" s="1670">
        <f>D259</f>
        <v>61355</v>
      </c>
      <c r="L259" s="1578">
        <v>67423</v>
      </c>
    </row>
    <row r="260" spans="1:14" s="493" customFormat="1" x14ac:dyDescent="0.2">
      <c r="A260" s="1284" t="s">
        <v>1781</v>
      </c>
      <c r="B260" s="512">
        <v>2490</v>
      </c>
      <c r="C260" s="1665"/>
      <c r="D260" s="1565">
        <v>51</v>
      </c>
      <c r="E260" s="1665"/>
      <c r="F260" s="1665"/>
      <c r="G260" s="1665"/>
      <c r="H260" s="1665"/>
      <c r="I260" s="1665"/>
      <c r="J260" s="1665"/>
      <c r="K260" s="1670">
        <f>D260</f>
        <v>51</v>
      </c>
      <c r="L260" s="1565"/>
      <c r="M260" s="205"/>
      <c r="N260" s="205"/>
    </row>
    <row r="261" spans="1:14" ht="12.75" customHeight="1" thickBot="1" x14ac:dyDescent="0.25">
      <c r="A261" s="1386" t="s">
        <v>261</v>
      </c>
      <c r="B261" s="1391" t="s">
        <v>34</v>
      </c>
      <c r="C261" s="1665"/>
      <c r="D261" s="1666">
        <f>SUM(D259:D260)</f>
        <v>61406</v>
      </c>
      <c r="E261" s="1665"/>
      <c r="F261" s="1665"/>
      <c r="G261" s="1665"/>
      <c r="H261" s="1665"/>
      <c r="I261" s="1665"/>
      <c r="J261" s="1665"/>
      <c r="K261" s="1666">
        <f>SUM(K259:K260)</f>
        <v>61406</v>
      </c>
      <c r="L261" s="1666">
        <f>SUM(L259:L260)</f>
        <v>67423</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c r="E263" s="1665"/>
      <c r="F263" s="1665"/>
      <c r="G263" s="1665"/>
      <c r="H263" s="1665"/>
      <c r="I263" s="1665"/>
      <c r="J263" s="1665"/>
      <c r="K263" s="1670">
        <f>D263</f>
        <v>0</v>
      </c>
      <c r="L263" s="1578"/>
    </row>
    <row r="264" spans="1:14" x14ac:dyDescent="0.2">
      <c r="A264" s="1266" t="s">
        <v>460</v>
      </c>
      <c r="B264" s="559">
        <v>2520</v>
      </c>
      <c r="C264" s="1665"/>
      <c r="D264" s="1565">
        <v>39249</v>
      </c>
      <c r="E264" s="1665"/>
      <c r="F264" s="1665"/>
      <c r="G264" s="1665"/>
      <c r="H264" s="1665"/>
      <c r="I264" s="1665"/>
      <c r="J264" s="1665"/>
      <c r="K264" s="1670">
        <f t="shared" ref="K264:K269" si="22">D264</f>
        <v>39249</v>
      </c>
      <c r="L264" s="1565">
        <v>39461</v>
      </c>
    </row>
    <row r="265" spans="1:14" x14ac:dyDescent="0.2">
      <c r="A265" s="1266" t="s">
        <v>4</v>
      </c>
      <c r="B265" s="503">
        <v>2530</v>
      </c>
      <c r="C265" s="1665"/>
      <c r="D265" s="1565"/>
      <c r="E265" s="1665"/>
      <c r="F265" s="1665"/>
      <c r="G265" s="1665"/>
      <c r="H265" s="1665"/>
      <c r="I265" s="1665"/>
      <c r="J265" s="1665"/>
      <c r="K265" s="1670">
        <f t="shared" si="22"/>
        <v>0</v>
      </c>
      <c r="L265" s="1565"/>
    </row>
    <row r="266" spans="1:14" x14ac:dyDescent="0.2">
      <c r="A266" s="1266" t="s">
        <v>195</v>
      </c>
      <c r="B266" s="503">
        <v>2540</v>
      </c>
      <c r="C266" s="1665"/>
      <c r="D266" s="1565">
        <v>115616</v>
      </c>
      <c r="E266" s="1665"/>
      <c r="F266" s="1665"/>
      <c r="G266" s="1665"/>
      <c r="H266" s="1665"/>
      <c r="I266" s="1665"/>
      <c r="J266" s="1665"/>
      <c r="K266" s="1670">
        <f t="shared" si="22"/>
        <v>115616</v>
      </c>
      <c r="L266" s="1565">
        <v>130192</v>
      </c>
    </row>
    <row r="267" spans="1:14" x14ac:dyDescent="0.2">
      <c r="A267" s="1266" t="s">
        <v>947</v>
      </c>
      <c r="B267" s="503">
        <v>2550</v>
      </c>
      <c r="C267" s="1665"/>
      <c r="D267" s="1565"/>
      <c r="E267" s="1665"/>
      <c r="F267" s="1665"/>
      <c r="G267" s="1665"/>
      <c r="H267" s="1665"/>
      <c r="I267" s="1665"/>
      <c r="J267" s="1665"/>
      <c r="K267" s="1670">
        <f t="shared" si="22"/>
        <v>0</v>
      </c>
      <c r="L267" s="1565"/>
    </row>
    <row r="268" spans="1:14" x14ac:dyDescent="0.2">
      <c r="A268" s="1266" t="s">
        <v>100</v>
      </c>
      <c r="B268" s="503">
        <v>2560</v>
      </c>
      <c r="C268" s="1665"/>
      <c r="D268" s="1565">
        <v>65241</v>
      </c>
      <c r="E268" s="1665"/>
      <c r="F268" s="1665"/>
      <c r="G268" s="1665"/>
      <c r="H268" s="1665"/>
      <c r="I268" s="1665"/>
      <c r="J268" s="1665"/>
      <c r="K268" s="1670">
        <f t="shared" si="22"/>
        <v>65241</v>
      </c>
      <c r="L268" s="1565">
        <v>62281</v>
      </c>
    </row>
    <row r="269" spans="1:14" x14ac:dyDescent="0.2">
      <c r="A269" s="1266" t="s">
        <v>101</v>
      </c>
      <c r="B269" s="503">
        <v>2570</v>
      </c>
      <c r="C269" s="1665"/>
      <c r="D269" s="1565"/>
      <c r="E269" s="1665"/>
      <c r="F269" s="1665"/>
      <c r="G269" s="1665"/>
      <c r="H269" s="1665"/>
      <c r="I269" s="1665"/>
      <c r="J269" s="1665"/>
      <c r="K269" s="1670">
        <f t="shared" si="22"/>
        <v>0</v>
      </c>
      <c r="L269" s="1565"/>
    </row>
    <row r="270" spans="1:14" ht="12.75" customHeight="1" thickBot="1" x14ac:dyDescent="0.25">
      <c r="A270" s="1372" t="s">
        <v>714</v>
      </c>
      <c r="B270" s="1375" t="s">
        <v>35</v>
      </c>
      <c r="C270" s="1665"/>
      <c r="D270" s="1666">
        <f>SUM(D263:D269)</f>
        <v>220106</v>
      </c>
      <c r="E270" s="1665"/>
      <c r="F270" s="1665"/>
      <c r="G270" s="1665"/>
      <c r="H270" s="1665"/>
      <c r="I270" s="1665"/>
      <c r="J270" s="1665"/>
      <c r="K270" s="1666">
        <f>SUM(K263:K269)</f>
        <v>220106</v>
      </c>
      <c r="L270" s="1666">
        <f>SUM(L263:L269)</f>
        <v>231934</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row>
    <row r="273" spans="1:12" x14ac:dyDescent="0.2">
      <c r="A273" s="1266" t="s">
        <v>603</v>
      </c>
      <c r="B273" s="512">
        <v>2620</v>
      </c>
      <c r="C273" s="1665"/>
      <c r="D273" s="1565"/>
      <c r="E273" s="1665"/>
      <c r="F273" s="1665"/>
      <c r="G273" s="1665"/>
      <c r="H273" s="1665"/>
      <c r="I273" s="1665"/>
      <c r="J273" s="1665"/>
      <c r="K273" s="1670">
        <f>D273</f>
        <v>0</v>
      </c>
      <c r="L273" s="1565"/>
    </row>
    <row r="274" spans="1:12" ht="12" customHeight="1" x14ac:dyDescent="0.2">
      <c r="A274" s="1266" t="s">
        <v>1054</v>
      </c>
      <c r="B274" s="503">
        <v>2630</v>
      </c>
      <c r="C274" s="1665"/>
      <c r="D274" s="1565"/>
      <c r="E274" s="1665"/>
      <c r="F274" s="1665"/>
      <c r="G274" s="1665"/>
      <c r="H274" s="1665"/>
      <c r="I274" s="1665"/>
      <c r="J274" s="1665"/>
      <c r="K274" s="1670">
        <f>D274</f>
        <v>0</v>
      </c>
      <c r="L274" s="1565"/>
    </row>
    <row r="275" spans="1:12" x14ac:dyDescent="0.2">
      <c r="A275" s="1266" t="s">
        <v>400</v>
      </c>
      <c r="B275" s="503">
        <v>2640</v>
      </c>
      <c r="C275" s="1665"/>
      <c r="D275" s="1565"/>
      <c r="E275" s="1665"/>
      <c r="F275" s="1665"/>
      <c r="G275" s="1665"/>
      <c r="H275" s="1665"/>
      <c r="I275" s="1665"/>
      <c r="J275" s="1665"/>
      <c r="K275" s="1670">
        <f>D275</f>
        <v>0</v>
      </c>
      <c r="L275" s="1565"/>
    </row>
    <row r="276" spans="1:12" x14ac:dyDescent="0.2">
      <c r="A276" s="1266" t="s">
        <v>401</v>
      </c>
      <c r="B276" s="503">
        <v>2660</v>
      </c>
      <c r="C276" s="1665"/>
      <c r="D276" s="1565"/>
      <c r="E276" s="1665"/>
      <c r="F276" s="1665"/>
      <c r="G276" s="1665"/>
      <c r="H276" s="1665"/>
      <c r="I276" s="1665"/>
      <c r="J276" s="1665"/>
      <c r="K276" s="1670">
        <f>D276</f>
        <v>0</v>
      </c>
      <c r="L276" s="1565"/>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1" t="s">
        <v>570</v>
      </c>
      <c r="C278" s="1665"/>
      <c r="D278" s="1687"/>
      <c r="E278" s="1665"/>
      <c r="F278" s="1665"/>
      <c r="G278" s="1665"/>
      <c r="H278" s="1665"/>
      <c r="I278" s="1665"/>
      <c r="J278" s="1665"/>
      <c r="K278" s="1688">
        <f>D278</f>
        <v>0</v>
      </c>
      <c r="L278" s="1687"/>
    </row>
    <row r="279" spans="1:12" ht="12.75" customHeight="1" thickBot="1" x14ac:dyDescent="0.25">
      <c r="A279" s="1392" t="s">
        <v>806</v>
      </c>
      <c r="B279" s="1379">
        <v>2000</v>
      </c>
      <c r="C279" s="1665"/>
      <c r="D279" s="1673">
        <f>SUM(D238,D243,D257,D261,D270,D277,D278)</f>
        <v>309370</v>
      </c>
      <c r="E279" s="1665"/>
      <c r="F279" s="1665"/>
      <c r="G279" s="1665"/>
      <c r="H279" s="1665"/>
      <c r="I279" s="1665"/>
      <c r="J279" s="1665"/>
      <c r="K279" s="1673">
        <f>SUM(K238,K243,K257,K261,K270,K277,K278)</f>
        <v>309370</v>
      </c>
      <c r="L279" s="1673">
        <f>SUM(L238,L243,L257,L261,L270,L277,L278)</f>
        <v>329539</v>
      </c>
    </row>
    <row r="280" spans="1:12" ht="15.75" customHeight="1" thickTop="1" thickBot="1" x14ac:dyDescent="0.25">
      <c r="A280" s="1354" t="s">
        <v>870</v>
      </c>
      <c r="B280" s="1343">
        <v>3000</v>
      </c>
      <c r="C280" s="1665"/>
      <c r="D280" s="1643"/>
      <c r="E280" s="1665"/>
      <c r="F280" s="1665"/>
      <c r="G280" s="1665"/>
      <c r="H280" s="1665"/>
      <c r="I280" s="1665"/>
      <c r="J280" s="1665"/>
      <c r="K280" s="1679">
        <f>D280</f>
        <v>0</v>
      </c>
      <c r="L280" s="1643"/>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1816</v>
      </c>
      <c r="C282" s="1665"/>
      <c r="D282" s="1566"/>
      <c r="E282" s="1665"/>
      <c r="F282" s="1665"/>
      <c r="G282" s="1665"/>
      <c r="H282" s="1665"/>
      <c r="I282" s="1665"/>
      <c r="J282" s="1665"/>
      <c r="K282" s="1664">
        <f>D282</f>
        <v>0</v>
      </c>
      <c r="L282" s="1566"/>
    </row>
    <row r="283" spans="1:12" x14ac:dyDescent="0.2">
      <c r="A283" s="1266" t="s">
        <v>301</v>
      </c>
      <c r="B283" s="503">
        <v>4120</v>
      </c>
      <c r="C283" s="1665"/>
      <c r="D283" s="1565"/>
      <c r="E283" s="1665"/>
      <c r="F283" s="1665"/>
      <c r="G283" s="1665"/>
      <c r="H283" s="1665"/>
      <c r="I283" s="1665"/>
      <c r="J283" s="1665"/>
      <c r="K283" s="1664">
        <f>D283</f>
        <v>0</v>
      </c>
      <c r="L283" s="1565"/>
    </row>
    <row r="284" spans="1:12" x14ac:dyDescent="0.2">
      <c r="A284" s="1266" t="s">
        <v>692</v>
      </c>
      <c r="B284" s="503">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row>
    <row r="289" spans="1:14" x14ac:dyDescent="0.2">
      <c r="A289" s="1266" t="s">
        <v>88</v>
      </c>
      <c r="B289" s="503">
        <v>5120</v>
      </c>
      <c r="C289" s="1665"/>
      <c r="D289" s="1665"/>
      <c r="E289" s="1665"/>
      <c r="F289" s="1665"/>
      <c r="G289" s="1665"/>
      <c r="H289" s="1565"/>
      <c r="I289" s="1665"/>
      <c r="J289" s="1665"/>
      <c r="K289" s="1664">
        <f>H289</f>
        <v>0</v>
      </c>
      <c r="L289" s="1565"/>
    </row>
    <row r="290" spans="1:14" ht="12.75" customHeight="1" x14ac:dyDescent="0.2">
      <c r="A290" s="1266" t="s">
        <v>1162</v>
      </c>
      <c r="B290" s="512" t="s">
        <v>613</v>
      </c>
      <c r="C290" s="1665"/>
      <c r="D290" s="1665"/>
      <c r="E290" s="1665"/>
      <c r="F290" s="1665"/>
      <c r="G290" s="1665"/>
      <c r="H290" s="1565"/>
      <c r="I290" s="1665"/>
      <c r="J290" s="1665"/>
      <c r="K290" s="1664">
        <f>H290</f>
        <v>0</v>
      </c>
      <c r="L290" s="1565"/>
    </row>
    <row r="291" spans="1:14" x14ac:dyDescent="0.2">
      <c r="A291" s="1266" t="s">
        <v>89</v>
      </c>
      <c r="B291" s="503" t="s">
        <v>585</v>
      </c>
      <c r="C291" s="1665"/>
      <c r="D291" s="1665"/>
      <c r="E291" s="1665"/>
      <c r="F291" s="1665"/>
      <c r="G291" s="1665"/>
      <c r="H291" s="1565"/>
      <c r="I291" s="1665"/>
      <c r="J291" s="1665"/>
      <c r="K291" s="1664">
        <f>H291</f>
        <v>0</v>
      </c>
      <c r="L291" s="1565"/>
    </row>
    <row r="292" spans="1:14" x14ac:dyDescent="0.2">
      <c r="A292" s="1266" t="s">
        <v>757</v>
      </c>
      <c r="B292" s="503"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285" t="s">
        <v>502</v>
      </c>
      <c r="B295" s="2286"/>
      <c r="C295" s="1665"/>
      <c r="D295" s="1666">
        <f>SUM(D229,D279,D280,D285)</f>
        <v>588293</v>
      </c>
      <c r="E295" s="1665"/>
      <c r="F295" s="1665"/>
      <c r="G295" s="1665"/>
      <c r="H295" s="1666">
        <f>H293</f>
        <v>0</v>
      </c>
      <c r="I295" s="1665"/>
      <c r="J295" s="1665"/>
      <c r="K295" s="1666">
        <f>SUM(K229,K279,K280,K285,K293,K294)</f>
        <v>588293</v>
      </c>
      <c r="L295" s="1666">
        <f>SUM(L229,L279,L280,L285,L293,L294)</f>
        <v>625870</v>
      </c>
    </row>
    <row r="296" spans="1:14" ht="13.5" thickTop="1" x14ac:dyDescent="0.2">
      <c r="A296" s="2267" t="s">
        <v>989</v>
      </c>
      <c r="B296" s="2268"/>
      <c r="C296" s="1665"/>
      <c r="D296" s="1667"/>
      <c r="E296" s="1665"/>
      <c r="F296" s="1665"/>
      <c r="G296" s="1665"/>
      <c r="H296" s="1699"/>
      <c r="I296" s="1665"/>
      <c r="J296" s="1665"/>
      <c r="K296" s="1681">
        <f>'Revenues 9-14'!G268-'Expenditures 15-22'!K295</f>
        <v>-4300</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77" t="s">
        <v>142</v>
      </c>
      <c r="B298" s="2271"/>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c r="H301" s="1565"/>
      <c r="I301" s="1566"/>
      <c r="J301" s="1566"/>
      <c r="K301" s="1664">
        <f>SUM(C301:J301)</f>
        <v>0</v>
      </c>
      <c r="L301" s="1566"/>
    </row>
    <row r="302" spans="1:14" ht="13.5" customHeight="1" x14ac:dyDescent="0.2">
      <c r="A302" s="1279" t="s">
        <v>973</v>
      </c>
      <c r="B302" s="503"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1821</v>
      </c>
      <c r="B306" s="562" t="s">
        <v>1816</v>
      </c>
      <c r="C306" s="1665"/>
      <c r="D306" s="1665"/>
      <c r="E306" s="1566"/>
      <c r="F306" s="1665"/>
      <c r="G306" s="1665"/>
      <c r="H306" s="1566"/>
      <c r="I306" s="1665"/>
      <c r="J306" s="1665"/>
      <c r="K306" s="1664">
        <f>SUM(E306,H306)</f>
        <v>0</v>
      </c>
      <c r="L306" s="1566"/>
    </row>
    <row r="307" spans="1:14" x14ac:dyDescent="0.2">
      <c r="A307" s="1266" t="s">
        <v>301</v>
      </c>
      <c r="B307" s="503">
        <v>4120</v>
      </c>
      <c r="C307" s="1665"/>
      <c r="D307" s="1665"/>
      <c r="E307" s="1566"/>
      <c r="F307" s="1665"/>
      <c r="G307" s="1665"/>
      <c r="H307" s="1566"/>
      <c r="I307" s="1574"/>
      <c r="J307" s="1665"/>
      <c r="K307" s="1664">
        <f>SUM(E307,H307)</f>
        <v>0</v>
      </c>
      <c r="L307" s="1565"/>
    </row>
    <row r="308" spans="1:14" x14ac:dyDescent="0.2">
      <c r="A308" s="1266" t="s">
        <v>692</v>
      </c>
      <c r="B308" s="503">
        <v>4140</v>
      </c>
      <c r="C308" s="1665"/>
      <c r="D308" s="1665"/>
      <c r="E308" s="1566"/>
      <c r="F308" s="1665"/>
      <c r="G308" s="1665"/>
      <c r="H308" s="1566"/>
      <c r="I308" s="1574"/>
      <c r="J308" s="1665"/>
      <c r="K308" s="1664">
        <f>SUM(E308,H308)</f>
        <v>0</v>
      </c>
      <c r="L308" s="1565"/>
    </row>
    <row r="309" spans="1:14" ht="12.75" customHeight="1" x14ac:dyDescent="0.2">
      <c r="A309" s="1270" t="s">
        <v>693</v>
      </c>
      <c r="B309" s="512">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8" customFormat="1" ht="12.75" customHeight="1" thickTop="1" thickBot="1" x14ac:dyDescent="0.25">
      <c r="A312" s="2282" t="s">
        <v>275</v>
      </c>
      <c r="B312" s="2283"/>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539"/>
      <c r="N312" s="539"/>
    </row>
    <row r="313" spans="1:14" ht="13.5" thickTop="1" x14ac:dyDescent="0.2">
      <c r="A313" s="2278" t="s">
        <v>989</v>
      </c>
      <c r="B313" s="2279"/>
      <c r="C313" s="1669"/>
      <c r="D313" s="1669"/>
      <c r="E313" s="1669"/>
      <c r="F313" s="1669"/>
      <c r="G313" s="1669"/>
      <c r="H313" s="1669"/>
      <c r="I313" s="1669"/>
      <c r="J313" s="1669"/>
      <c r="K313" s="1688">
        <f>'Revenues 9-14'!H268-'Expenditures 15-22'!K312</f>
        <v>15521</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291" t="s">
        <v>148</v>
      </c>
      <c r="B315" s="2292"/>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293" t="s">
        <v>892</v>
      </c>
      <c r="B317" s="2292"/>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c r="M319" s="539"/>
      <c r="N319" s="539"/>
    </row>
    <row r="320" spans="1:14" s="548" customFormat="1" x14ac:dyDescent="0.2">
      <c r="A320" s="1285" t="s">
        <v>1782</v>
      </c>
      <c r="B320" s="568" t="s">
        <v>280</v>
      </c>
      <c r="C320" s="1566"/>
      <c r="D320" s="1566"/>
      <c r="E320" s="1566">
        <v>143247</v>
      </c>
      <c r="F320" s="1566"/>
      <c r="G320" s="1566"/>
      <c r="H320" s="1566"/>
      <c r="I320" s="1566"/>
      <c r="J320" s="1566"/>
      <c r="K320" s="1664">
        <f t="shared" ref="K320:K327" si="24">SUM(C320:J320)</f>
        <v>143247</v>
      </c>
      <c r="L320" s="1566">
        <v>203419</v>
      </c>
      <c r="M320" s="539"/>
      <c r="N320" s="539"/>
    </row>
    <row r="321" spans="1:14" s="548" customFormat="1" x14ac:dyDescent="0.2">
      <c r="A321" s="1281" t="s">
        <v>297</v>
      </c>
      <c r="B321" s="567" t="s">
        <v>281</v>
      </c>
      <c r="C321" s="1566"/>
      <c r="D321" s="1566"/>
      <c r="E321" s="1566"/>
      <c r="F321" s="1566"/>
      <c r="G321" s="1566"/>
      <c r="H321" s="1566"/>
      <c r="I321" s="1566"/>
      <c r="J321" s="1566"/>
      <c r="K321" s="1664">
        <f t="shared" si="24"/>
        <v>0</v>
      </c>
      <c r="L321" s="1566"/>
      <c r="M321" s="539"/>
      <c r="N321" s="539"/>
    </row>
    <row r="322" spans="1:14" s="548" customFormat="1" x14ac:dyDescent="0.2">
      <c r="A322" s="1281" t="s">
        <v>236</v>
      </c>
      <c r="B322" s="567" t="s">
        <v>282</v>
      </c>
      <c r="C322" s="1566"/>
      <c r="D322" s="1566"/>
      <c r="E322" s="1566">
        <v>157444</v>
      </c>
      <c r="F322" s="1566"/>
      <c r="G322" s="1566"/>
      <c r="H322" s="1566"/>
      <c r="I322" s="1566"/>
      <c r="J322" s="1566"/>
      <c r="K322" s="1664">
        <f t="shared" si="24"/>
        <v>157444</v>
      </c>
      <c r="L322" s="1566">
        <v>148418</v>
      </c>
      <c r="M322" s="539"/>
      <c r="N322" s="539"/>
    </row>
    <row r="323" spans="1:14" s="548" customFormat="1" x14ac:dyDescent="0.2">
      <c r="A323" s="1281" t="s">
        <v>697</v>
      </c>
      <c r="B323" s="567" t="s">
        <v>283</v>
      </c>
      <c r="C323" s="1566"/>
      <c r="D323" s="1566"/>
      <c r="E323" s="1566"/>
      <c r="F323" s="1566"/>
      <c r="G323" s="1566"/>
      <c r="H323" s="1566"/>
      <c r="I323" s="1566"/>
      <c r="J323" s="1566"/>
      <c r="K323" s="1664">
        <f t="shared" si="24"/>
        <v>0</v>
      </c>
      <c r="L323" s="1566"/>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c r="M326" s="539"/>
      <c r="N326" s="539"/>
    </row>
    <row r="327" spans="1:14" s="548" customFormat="1" x14ac:dyDescent="0.2">
      <c r="A327" s="1281" t="s">
        <v>965</v>
      </c>
      <c r="B327" s="567" t="s">
        <v>287</v>
      </c>
      <c r="C327" s="1566"/>
      <c r="D327" s="1566"/>
      <c r="E327" s="1566">
        <v>21107</v>
      </c>
      <c r="F327" s="1566"/>
      <c r="G327" s="1566"/>
      <c r="H327" s="1566"/>
      <c r="I327" s="1566"/>
      <c r="J327" s="1566"/>
      <c r="K327" s="1664">
        <f t="shared" si="24"/>
        <v>21107</v>
      </c>
      <c r="L327" s="1566">
        <v>37000</v>
      </c>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c r="M329" s="539"/>
      <c r="N329" s="539"/>
    </row>
    <row r="330" spans="1:14" s="548" customFormat="1" ht="12.75" customHeight="1" thickBot="1" x14ac:dyDescent="0.25">
      <c r="A330" s="1393" t="s">
        <v>712</v>
      </c>
      <c r="B330" s="1373" t="s">
        <v>565</v>
      </c>
      <c r="C330" s="1666">
        <f>SUM(C319:C329)</f>
        <v>0</v>
      </c>
      <c r="D330" s="1666">
        <f t="shared" ref="D330:J330" si="25">SUM(D319:D329)</f>
        <v>0</v>
      </c>
      <c r="E330" s="1666">
        <f t="shared" si="25"/>
        <v>321798</v>
      </c>
      <c r="F330" s="1666">
        <f t="shared" si="25"/>
        <v>0</v>
      </c>
      <c r="G330" s="1666">
        <f t="shared" si="25"/>
        <v>0</v>
      </c>
      <c r="H330" s="1666">
        <f t="shared" si="25"/>
        <v>0</v>
      </c>
      <c r="I330" s="1666">
        <f t="shared" si="25"/>
        <v>0</v>
      </c>
      <c r="J330" s="1666">
        <f t="shared" si="25"/>
        <v>0</v>
      </c>
      <c r="K330" s="1666">
        <f>SUM(K319:K329)</f>
        <v>321798</v>
      </c>
      <c r="L330" s="1666">
        <f>SUM(L319:L329)</f>
        <v>388837</v>
      </c>
      <c r="M330" s="539"/>
      <c r="N330" s="539"/>
    </row>
    <row r="331" spans="1:14" s="548" customFormat="1" ht="12.75" customHeight="1" thickTop="1" x14ac:dyDescent="0.2">
      <c r="A331" s="1459" t="s">
        <v>1822</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1816</v>
      </c>
      <c r="C332" s="1706"/>
      <c r="D332" s="1706"/>
      <c r="E332" s="1706"/>
      <c r="F332" s="1706"/>
      <c r="G332" s="1706"/>
      <c r="H332" s="1566"/>
      <c r="I332" s="1706"/>
      <c r="J332" s="1706"/>
      <c r="K332" s="1664">
        <f>H332</f>
        <v>0</v>
      </c>
      <c r="L332" s="1566"/>
      <c r="M332" s="539"/>
      <c r="N332" s="539"/>
    </row>
    <row r="333" spans="1:14" s="548" customFormat="1" ht="12.75" customHeight="1" x14ac:dyDescent="0.2">
      <c r="A333" s="1460" t="s">
        <v>301</v>
      </c>
      <c r="B333" s="1455" t="s">
        <v>1818</v>
      </c>
      <c r="C333" s="1706"/>
      <c r="D333" s="1706"/>
      <c r="E333" s="1706"/>
      <c r="F333" s="1706"/>
      <c r="G333" s="1706"/>
      <c r="H333" s="1566"/>
      <c r="I333" s="1706"/>
      <c r="J333" s="1706"/>
      <c r="K333" s="1664">
        <f>H333</f>
        <v>0</v>
      </c>
      <c r="L333" s="1566"/>
      <c r="M333" s="539"/>
      <c r="N333" s="539"/>
    </row>
    <row r="334" spans="1:14" s="548" customFormat="1" ht="12.75" customHeight="1" thickBot="1" x14ac:dyDescent="0.25">
      <c r="A334" s="1460" t="s">
        <v>1823</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row>
    <row r="338" spans="1:14" ht="12.75" customHeight="1" x14ac:dyDescent="0.2">
      <c r="A338" s="1280" t="s">
        <v>1162</v>
      </c>
      <c r="B338" s="562" t="s">
        <v>613</v>
      </c>
      <c r="C338" s="1676"/>
      <c r="D338" s="1676"/>
      <c r="E338" s="1676"/>
      <c r="F338" s="1676"/>
      <c r="G338" s="1676"/>
      <c r="H338" s="1575"/>
      <c r="I338" s="1676"/>
      <c r="J338" s="1676"/>
      <c r="K338" s="1664">
        <f>H338</f>
        <v>0</v>
      </c>
      <c r="L338" s="1575"/>
    </row>
    <row r="339" spans="1:14" x14ac:dyDescent="0.2">
      <c r="A339" s="1266" t="s">
        <v>895</v>
      </c>
      <c r="B339" s="512">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0</v>
      </c>
      <c r="D342" s="1666">
        <f>SUM(D330)</f>
        <v>0</v>
      </c>
      <c r="E342" s="1666">
        <f>SUM(E330)</f>
        <v>321798</v>
      </c>
      <c r="F342" s="1666">
        <f>SUM(F330)</f>
        <v>0</v>
      </c>
      <c r="G342" s="1666">
        <f>SUM(G330)</f>
        <v>0</v>
      </c>
      <c r="H342" s="1666">
        <f>SUM(H330,H334,H340)</f>
        <v>0</v>
      </c>
      <c r="I342" s="1666">
        <f>SUM(I330)</f>
        <v>0</v>
      </c>
      <c r="J342" s="1666">
        <f>SUM(J330)</f>
        <v>0</v>
      </c>
      <c r="K342" s="1666">
        <f>SUM(K330,K334,K340)</f>
        <v>321798</v>
      </c>
      <c r="L342" s="1673">
        <f>SUM(L330,L334,L340,L341)</f>
        <v>388837</v>
      </c>
    </row>
    <row r="343" spans="1:14" ht="12.75" customHeight="1" thickTop="1" x14ac:dyDescent="0.2">
      <c r="A343" s="2280" t="s">
        <v>989</v>
      </c>
      <c r="B343" s="2281"/>
      <c r="C343" s="1665"/>
      <c r="D343" s="1665"/>
      <c r="E343" s="1665"/>
      <c r="F343" s="1665"/>
      <c r="G343" s="1665"/>
      <c r="H343" s="1665"/>
      <c r="I343" s="1665"/>
      <c r="J343" s="1665"/>
      <c r="K343" s="1681">
        <f>'Revenues 9-14'!J268-'Expenditures 15-22'!K342</f>
        <v>169191</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70" t="s">
        <v>960</v>
      </c>
      <c r="B345" s="2271"/>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v>33000</v>
      </c>
      <c r="F348" s="1565"/>
      <c r="G348" s="1565">
        <v>198000</v>
      </c>
      <c r="H348" s="1565"/>
      <c r="I348" s="1566"/>
      <c r="J348" s="1566"/>
      <c r="K348" s="1664">
        <f>SUM(C348:J348)</f>
        <v>231000</v>
      </c>
      <c r="L348" s="1565">
        <v>50000</v>
      </c>
    </row>
    <row r="349" spans="1:14" x14ac:dyDescent="0.2">
      <c r="A349" s="1266" t="s">
        <v>195</v>
      </c>
      <c r="B349" s="503">
        <v>2540</v>
      </c>
      <c r="C349" s="1565"/>
      <c r="D349" s="1565"/>
      <c r="E349" s="1565">
        <v>12452</v>
      </c>
      <c r="F349" s="1565"/>
      <c r="G349" s="1565">
        <v>296104</v>
      </c>
      <c r="H349" s="1565"/>
      <c r="I349" s="1566"/>
      <c r="J349" s="1566"/>
      <c r="K349" s="1664">
        <f>SUM(C349:J349)</f>
        <v>308556</v>
      </c>
      <c r="L349" s="1565">
        <v>500000</v>
      </c>
    </row>
    <row r="350" spans="1:14" ht="12.75" customHeight="1" thickBot="1" x14ac:dyDescent="0.25">
      <c r="A350" s="1372" t="s">
        <v>714</v>
      </c>
      <c r="B350" s="1373" t="s">
        <v>35</v>
      </c>
      <c r="C350" s="1666">
        <f>SUM(C348:C349)</f>
        <v>0</v>
      </c>
      <c r="D350" s="1666">
        <f t="shared" ref="D350:L350" si="26">SUM(D348:D349)</f>
        <v>0</v>
      </c>
      <c r="E350" s="1666">
        <f t="shared" si="26"/>
        <v>45452</v>
      </c>
      <c r="F350" s="1666">
        <f t="shared" si="26"/>
        <v>0</v>
      </c>
      <c r="G350" s="1666">
        <f t="shared" si="26"/>
        <v>494104</v>
      </c>
      <c r="H350" s="1666">
        <f t="shared" si="26"/>
        <v>0</v>
      </c>
      <c r="I350" s="1666">
        <f t="shared" si="26"/>
        <v>0</v>
      </c>
      <c r="J350" s="1666">
        <f t="shared" si="26"/>
        <v>0</v>
      </c>
      <c r="K350" s="1666">
        <f t="shared" si="26"/>
        <v>539556</v>
      </c>
      <c r="L350" s="1666">
        <f t="shared" si="26"/>
        <v>550000</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45452</v>
      </c>
      <c r="F352" s="1666">
        <f t="shared" si="27"/>
        <v>0</v>
      </c>
      <c r="G352" s="1666">
        <f t="shared" si="27"/>
        <v>494104</v>
      </c>
      <c r="H352" s="1666">
        <f t="shared" si="27"/>
        <v>0</v>
      </c>
      <c r="I352" s="1666">
        <f t="shared" si="27"/>
        <v>0</v>
      </c>
      <c r="J352" s="1666">
        <f t="shared" si="27"/>
        <v>0</v>
      </c>
      <c r="K352" s="1666">
        <f t="shared" si="27"/>
        <v>539556</v>
      </c>
      <c r="L352" s="1666">
        <f t="shared" si="27"/>
        <v>550000</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1824</v>
      </c>
      <c r="B354" s="557" t="s">
        <v>1816</v>
      </c>
      <c r="C354" s="1665"/>
      <c r="D354" s="1665"/>
      <c r="E354" s="1665"/>
      <c r="F354" s="1665"/>
      <c r="G354" s="1665"/>
      <c r="H354" s="1571"/>
      <c r="I354" s="1708"/>
      <c r="J354" s="1665"/>
      <c r="K354" s="1705">
        <f>H354</f>
        <v>0</v>
      </c>
      <c r="L354" s="1569"/>
    </row>
    <row r="355" spans="1:14" ht="12.75" customHeight="1" x14ac:dyDescent="0.2">
      <c r="A355" s="1275" t="s">
        <v>1825</v>
      </c>
      <c r="B355" s="562" t="s">
        <v>1818</v>
      </c>
      <c r="C355" s="1665"/>
      <c r="D355" s="1665"/>
      <c r="E355" s="1665"/>
      <c r="F355" s="1665"/>
      <c r="G355" s="1665"/>
      <c r="H355" s="1566"/>
      <c r="I355" s="1708"/>
      <c r="J355" s="1665"/>
      <c r="K355" s="1599">
        <f>H355</f>
        <v>0</v>
      </c>
      <c r="L355" s="1566"/>
    </row>
    <row r="356" spans="1:14" ht="12.75" customHeight="1" x14ac:dyDescent="0.2">
      <c r="A356" s="1461" t="s">
        <v>693</v>
      </c>
      <c r="B356" s="557"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row>
    <row r="361" spans="1:14" ht="12.75" customHeight="1" x14ac:dyDescent="0.2">
      <c r="A361" s="1267" t="s">
        <v>615</v>
      </c>
      <c r="B361" s="494"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c r="M366" s="501"/>
      <c r="N366" s="501"/>
    </row>
    <row r="367" spans="1:14" ht="12.75" customHeight="1" thickTop="1" thickBot="1" x14ac:dyDescent="0.25">
      <c r="A367" s="1386" t="s">
        <v>502</v>
      </c>
      <c r="B367" s="1395"/>
      <c r="C367" s="1666">
        <f t="shared" ref="C367:L367" si="28">SUM(C352,C357,C365,C366)</f>
        <v>0</v>
      </c>
      <c r="D367" s="1666">
        <f t="shared" si="28"/>
        <v>0</v>
      </c>
      <c r="E367" s="1666">
        <f t="shared" si="28"/>
        <v>45452</v>
      </c>
      <c r="F367" s="1666">
        <f t="shared" si="28"/>
        <v>0</v>
      </c>
      <c r="G367" s="1666">
        <f t="shared" si="28"/>
        <v>494104</v>
      </c>
      <c r="H367" s="1666">
        <f t="shared" si="28"/>
        <v>0</v>
      </c>
      <c r="I367" s="1666">
        <f t="shared" si="28"/>
        <v>0</v>
      </c>
      <c r="J367" s="1666">
        <f t="shared" si="28"/>
        <v>0</v>
      </c>
      <c r="K367" s="1666">
        <f t="shared" si="28"/>
        <v>539556</v>
      </c>
      <c r="L367" s="1666">
        <f t="shared" si="28"/>
        <v>550000</v>
      </c>
    </row>
    <row r="368" spans="1:14" ht="13.5" thickTop="1" x14ac:dyDescent="0.2">
      <c r="A368" s="2267" t="s">
        <v>989</v>
      </c>
      <c r="B368" s="2268"/>
      <c r="C368" s="1686"/>
      <c r="D368" s="1686"/>
      <c r="E368" s="1669"/>
      <c r="F368" s="1669"/>
      <c r="G368" s="1669"/>
      <c r="H368" s="1669"/>
      <c r="I368" s="1669"/>
      <c r="J368" s="1668"/>
      <c r="K368" s="1664">
        <f>'Revenues 9-14'!K268-'Expenditures 15-22'!K367</f>
        <v>-489556</v>
      </c>
      <c r="L368" s="168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www.w3.org/XML/1998/namespace"/>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elements/1.1/"/>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2020-10-21T17:44:33Z</cp:lastPrinted>
  <dcterms:created xsi:type="dcterms:W3CDTF">2003-10-29T19:06:34Z</dcterms:created>
  <dcterms:modified xsi:type="dcterms:W3CDTF">2020-10-30T14:40:54Z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