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DEC3317-03D5-4F97-B2ED-8E705E24924B}" xr6:coauthVersionLast="36" xr6:coauthVersionMax="36" xr10:uidLastSave="{00000000-0000-0000-0000-000000000000}"/>
  <bookViews>
    <workbookView xWindow="-120" yWindow="-120" windowWidth="29040" windowHeight="176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D14" i="5"/>
  <c r="K14" i="5"/>
  <c r="G14" i="5"/>
  <c r="F14" i="5"/>
  <c r="E14" i="5"/>
  <c r="C14" i="5"/>
  <c r="D7" i="5"/>
  <c r="D267" i="29" l="1"/>
  <c r="D223" i="29"/>
  <c r="D182" i="29"/>
  <c r="C182" i="29"/>
  <c r="F182" i="29"/>
  <c r="E182" i="29"/>
  <c r="F124" i="29"/>
  <c r="E124" i="29"/>
  <c r="D64" i="29"/>
  <c r="F63" i="29"/>
  <c r="D63" i="29"/>
  <c r="F61" i="29"/>
  <c r="E61" i="29"/>
  <c r="D61" i="29"/>
  <c r="C61" i="29"/>
  <c r="E60" i="29"/>
  <c r="D60" i="29"/>
  <c r="D55" i="29"/>
  <c r="E50" i="29"/>
  <c r="D50" i="29"/>
  <c r="E49" i="29"/>
  <c r="E44" i="29"/>
  <c r="D40" i="29"/>
  <c r="C40" i="29"/>
  <c r="E38" i="29"/>
  <c r="D38" i="29"/>
  <c r="D36" i="29"/>
  <c r="E14" i="29"/>
  <c r="D14" i="29"/>
  <c r="C14" i="29"/>
  <c r="F14" i="29"/>
  <c r="F10" i="29"/>
  <c r="D10" i="29"/>
  <c r="D9" i="29"/>
  <c r="C9" i="29"/>
  <c r="D8" i="29"/>
  <c r="C8" i="29"/>
  <c r="F5" i="29"/>
  <c r="E5" i="29"/>
  <c r="D5" i="29"/>
  <c r="C5" i="29"/>
  <c r="K5" i="5"/>
  <c r="J5" i="5"/>
  <c r="I5" i="5"/>
  <c r="G5" i="5"/>
  <c r="F152" i="5"/>
  <c r="F5" i="5"/>
  <c r="E5" i="5"/>
  <c r="D5" i="5"/>
  <c r="C213" i="5"/>
  <c r="C6" i="5"/>
  <c r="C5" i="5"/>
  <c r="C4"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7189" i="106" l="1"/>
  <c r="D7189" i="106" s="1"/>
  <c r="E64" i="184"/>
  <c r="N64" i="184" s="1"/>
  <c r="B7171" i="106"/>
  <c r="D7171" i="106" s="1"/>
  <c r="E62" i="184"/>
  <c r="N62" i="184" s="1"/>
  <c r="F50" i="34"/>
  <c r="B7705" i="106"/>
  <c r="D7705" i="106" s="1"/>
  <c r="E67" i="184"/>
  <c r="N67" i="184" s="1"/>
  <c r="B7180" i="106"/>
  <c r="D7180" i="106" s="1"/>
  <c r="E63" i="184"/>
  <c r="N63" i="184" s="1"/>
  <c r="B7126" i="106"/>
  <c r="D7126" i="106" s="1"/>
  <c r="E57" i="184"/>
  <c r="N57" i="184" s="1"/>
  <c r="G33" i="108"/>
  <c r="E17" i="184"/>
  <c r="H17" i="184" s="1"/>
  <c r="B7696" i="106"/>
  <c r="D7696" i="106" s="1"/>
  <c r="E66" i="184"/>
  <c r="N66" i="184" s="1"/>
  <c r="B7198" i="106"/>
  <c r="D7198" i="106" s="1"/>
  <c r="E65" i="184"/>
  <c r="N65" i="184" s="1"/>
  <c r="B7153" i="106"/>
  <c r="D7153" i="106" s="1"/>
  <c r="E60" i="184"/>
  <c r="N60" i="184" s="1"/>
  <c r="B7135" i="106"/>
  <c r="D7135" i="106" s="1"/>
  <c r="E58" i="184"/>
  <c r="N58" i="184" s="1"/>
  <c r="B7162" i="106"/>
  <c r="D7162" i="106" s="1"/>
  <c r="E61" i="184"/>
  <c r="C342" i="29"/>
  <c r="B7216" i="106" s="1"/>
  <c r="D7216" i="106" s="1"/>
  <c r="D31" i="108"/>
  <c r="E16" i="184"/>
  <c r="H16" i="184" s="1"/>
  <c r="G30" i="108"/>
  <c r="H12"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B6216" i="106"/>
  <c r="D6216" i="106" s="1"/>
  <c r="E19" i="184"/>
  <c r="L16" i="11"/>
  <c r="B2061" i="106" s="1"/>
  <c r="D2061" i="106" s="1"/>
  <c r="B2031" i="106"/>
  <c r="D2031" i="106" s="1"/>
  <c r="N23" i="3"/>
  <c r="B284" i="106" s="1"/>
  <c r="D284" i="106" s="1"/>
  <c r="E367" i="29"/>
  <c r="B3636" i="106" s="1"/>
  <c r="D3636" i="106" s="1"/>
  <c r="B3635" i="106"/>
  <c r="K342" i="29"/>
  <c r="F13" i="34" s="1"/>
  <c r="N61" i="184"/>
  <c r="N68" i="184" s="1"/>
  <c r="E68" i="184"/>
  <c r="F41" i="108"/>
  <c r="G43" i="108" s="1"/>
  <c r="B1381" i="106"/>
  <c r="D1381" i="106" s="1"/>
  <c r="H19" i="184"/>
  <c r="L20" i="184" s="1"/>
  <c r="B7827" i="106"/>
  <c r="D7827" i="106"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F77" i="34"/>
  <c r="J19" i="4"/>
  <c r="B6229" i="106" s="1"/>
  <c r="D6229" i="106" s="1"/>
  <c r="K17" i="4"/>
  <c r="K19" i="4" s="1"/>
  <c r="B4144" i="106" s="1"/>
  <c r="D4144"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<sst xmlns="http://schemas.openxmlformats.org/spreadsheetml/2006/main" count="5179" uniqueCount="2088">
  <si>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</si>
  <si>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</si>
  <si>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</si>
  <si>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</si>
  <si>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</si>
  <si>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</si>
  <si>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</si>
  <si>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</si>
  <si>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</si>
  <si>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</si>
  <si>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</si>
  <si>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</si>
  <si>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</si>
  <si>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</si>
  <si>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</si>
  <si>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</si>
  <si>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</si>
  <si>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</si>
  <si>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</si>
  <si>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</si>
  <si>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</si>
  <si>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</si>
  <si>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</si>
  <si>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</si>
  <si>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</si>
  <si>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</si>
  <si>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</si>
  <si>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</si>
  <si>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</si>
  <si>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</si>
  <si>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</si>
  <si>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</si>
  <si>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</si>
  <si>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</si>
  <si>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</si>
  <si>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</si>
  <si>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</si>
  <si>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</si>
  <si>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</si>
  <si>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</si>
  <si>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</si>
  <si>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</si>
  <si>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</si>
  <si>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</si>
  <si>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</si>
  <si>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</si>
  <si>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</si>
  <si>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</si>
  <si>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</si>
  <si>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</si>
  <si>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</si>
  <si>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</si>
  <si>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</si>
  <si>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</si>
  <si>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</si>
  <si>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</si>
  <si>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</si>
  <si>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</si>
  <si>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</si>
  <si>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</si>
  <si>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</si>
  <si>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</si>
  <si>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</si>
  <si>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</si>
  <si>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</si>
  <si>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</si>
  <si>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</si>
  <si>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</si>
  <si>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</si>
  <si>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</si>
  <si>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</si>
  <si>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</si>
  <si>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</si>
  <si>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</si>
  <si>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</si>
  <si>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</si>
  <si>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</si>
  <si>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</si>
  <si>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</si>
  <si>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</si>
  <si>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</si>
  <si>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</si>
  <si>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</si>
  <si>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</si>
  <si>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</si>
  <si>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</si>
  <si>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</si>
  <si>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</si>
  <si>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</si>
  <si>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</si>
  <si>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</si>
  <si>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</si>
  <si>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</si>
  <si>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</si>
  <si>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</si>
  <si>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</si>
  <si>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</si>
  <si>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</si>
  <si>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</si>
  <si>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</si>
  <si>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</si>
  <si>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</si>
  <si>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</si>
  <si>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</si>
  <si>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</si>
  <si>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</si>
  <si>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</si>
  <si>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</si>
  <si>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</si>
  <si>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</si>
  <si>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</si>
  <si>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</si>
  <si>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</si>
  <si>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</si>
  <si>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</si>
  <si>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</si>
  <si>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</si>
  <si>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</si>
  <si>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</si>
  <si>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</si>
  <si>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</si>
  <si>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</si>
  <si>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</si>
  <si>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</si>
  <si>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</si>
  <si>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</si>
  <si>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</si>
  <si>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</si>
  <si>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</si>
  <si>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</si>
  <si>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</si>
  <si>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</si>
  <si>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</si>
  <si>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</si>
  <si>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</si>
  <si>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</si>
  <si>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</si>
  <si>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</si>
  <si>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</si>
  <si>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</si>
  <si>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</si>
  <si>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</si>
  <si>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</si>
  <si>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</si>
  <si>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</si>
  <si>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</si>
  <si>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</si>
  <si>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</si>
  <si>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</si>
  <si>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</si>
  <si>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</si>
  <si>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</si>
  <si>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</si>
  <si>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</si>
  <si>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</si>
  <si>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</si>
  <si>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</si>
  <si>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</si>
  <si>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</si>
  <si>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</si>
  <si>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</si>
  <si>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</si>
  <si>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</si>
  <si>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</si>
  <si>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</si>
  <si>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</si>
  <si>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</si>
  <si>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</si>
  <si>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</si>
  <si>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</si>
  <si>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</si>
  <si>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</si>
  <si>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</si>
  <si>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</si>
  <si>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</si>
  <si>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</si>
  <si>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</si>
  <si>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</si>
  <si>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</si>
  <si>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</si>
  <si>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</si>
  <si>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</si>
  <si>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</si>
  <si>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</si>
  <si>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</si>
  <si>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</si>
  <si>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</si>
  <si>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</si>
  <si>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</si>
  <si>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</si>
  <si>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</si>
  <si>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</si>
  <si>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</si>
  <si>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</si>
  <si>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</si>
  <si>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</si>
  <si>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</si>
  <si>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</si>
  <si>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</si>
  <si>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</si>
  <si>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</si>
  <si>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</si>
  <si>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</si>
  <si>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</si>
  <si>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</si>
  <si>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</si>
  <si>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</si>
  <si>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</si>
  <si>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</si>
  <si>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</si>
  <si>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</si>
  <si>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</si>
  <si>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</si>
  <si>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</si>
  <si>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</si>
  <si>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</si>
  <si>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</si>
  <si>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</si>
  <si>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</si>
  <si>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</si>
  <si>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</si>
  <si>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</si>
  <si>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</si>
  <si>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</si>
  <si>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</si>
  <si>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</si>
  <si>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</si>
  <si>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</si>
  <si>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</si>
  <si>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</si>
  <si>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</si>
  <si>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</si>
  <si>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</si>
  <si>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</si>
  <si>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</si>
  <si>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</si>
  <si>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</si>
  <si>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</si>
  <si>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</si>
  <si>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</si>
  <si>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</si>
  <si>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</si>
  <si>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</si>
  <si>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</si>
  <si>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</si>
  <si>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</si>
  <si>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</si>
  <si>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</si>
  <si>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</si>
  <si>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</si>
  <si>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</si>
  <si>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</si>
  <si>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</si>
  <si>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</si>
  <si>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</si>
  <si>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</si>
  <si>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</si>
  <si>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</si>
  <si>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</si>
  <si>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</si>
  <si>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</si>
  <si>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</si>
  <si>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</si>
  <si>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</si>
  <si>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</si>
  <si>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</si>
  <si>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</si>
  <si>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</si>
  <si>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</si>
  <si>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</si>
  <si>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</si>
  <si>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</si>
  <si>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</si>
  <si>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</si>
  <si>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</si>
  <si>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</si>
  <si>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</si>
  <si>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</si>
  <si>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</si>
  <si>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</si>
  <si>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</si>
  <si>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</si>
  <si>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</si>
  <si>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</si>
  <si>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</si>
  <si>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</si>
  <si>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</si>
  <si>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</si>
  <si>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</si>
  <si>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</si>
  <si>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</si>
  <si>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</si>
  <si>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</si>
  <si>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</si>
  <si>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</si>
  <si>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</si>
  <si>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</si>
  <si>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</si>
  <si>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</si>
  <si>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</si>
  <si>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</si>
  <si>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</si>
  <si>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</si>
  <si>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</si>
  <si>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</si>
  <si>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</si>
  <si>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</si>
  <si>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</si>
  <si>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</si>
  <si>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</si>
  <si>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</si>
  <si>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</si>
  <si>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</si>
  <si>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</si>
  <si>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</si>
  <si>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</si>
  <si>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</si>
  <si>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</si>
  <si>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</si>
  <si>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</si>
  <si>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</si>
  <si>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</si>
  <si>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</si>
  <si>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</si>
  <si>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</si>
  <si>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</si>
  <si>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</si>
  <si>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</si>
  <si>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</si>
  <si>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</si>
  <si>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</si>
  <si>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</si>
  <si>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</si>
  <si>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</si>
  <si>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</si>
  <si>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</si>
  <si>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</si>
  <si>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</si>
  <si>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</si>
  <si>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</si>
  <si>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</si>
  <si>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</si>
  <si>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</si>
  <si>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</si>
  <si>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</si>
  <si>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</si>
  <si>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</si>
  <si>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</si>
  <si>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</si>
  <si>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</si>
  <si>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</si>
  <si>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</si>
  <si>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</si>
  <si>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</si>
  <si>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</si>
  <si>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</si>
  <si>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</si>
  <si>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</si>
  <si>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</si>
  <si>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</si>
  <si>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</si>
  <si>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</si>
  <si>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</si>
  <si>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</si>
  <si>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</si>
  <si>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</si>
  <si>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</si>
  <si>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</si>
  <si>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</si>
  <si>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</si>
  <si>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</si>
  <si>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</si>
  <si>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</si>
  <si>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</si>
  <si>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</si>
  <si>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</si>
  <si>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</si>
  <si>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</si>
  <si>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</si>
  <si>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</si>
  <si>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</si>
  <si>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</si>
  <si>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</si>
  <si>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</si>
  <si>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</si>
  <si>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</si>
  <si>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</si>
  <si>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</si>
  <si>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</si>
  <si>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</si>
  <si>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</si>
  <si>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</si>
  <si>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</si>
  <si>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</si>
  <si>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</si>
  <si>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</si>
  <si>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</si>
  <si>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</si>
  <si>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</si>
  <si>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</si>
  <si>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</si>
  <si>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</si>
  <si>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</si>
  <si>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</si>
  <si>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</si>
  <si>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</si>
  <si>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</si>
  <si>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</si>
  <si>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</si>
  <si>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</si>
  <si>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</si>
  <si>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</si>
  <si>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</si>
  <si>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</si>
  <si>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</si>
  <si>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</si>
  <si>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</si>
  <si>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</si>
  <si>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</si>
  <si>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</si>
  <si>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</si>
  <si>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</si>
  <si>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</si>
  <si>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</si>
  <si>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</si>
  <si>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</si>
  <si>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</si>
  <si>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</si>
  <si>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</si>
  <si>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</si>
  <si>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</si>
  <si>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</si>
  <si>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</si>
  <si>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</si>
  <si>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</si>
  <si>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</si>
  <si>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</si>
  <si>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</si>
  <si>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</si>
  <si>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</si>
  <si>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</si>
  <si>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</si>
  <si>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</si>
  <si>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</si>
  <si>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</si>
  <si>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</si>
  <si>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</si>
  <si>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</si>
  <si>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</si>
  <si>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</si>
  <si>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</si>
  <si>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</si>
  <si>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</si>
  <si>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</si>
  <si>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</si>
  <si>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</si>
  <si>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</si>
  <si>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</si>
  <si>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</si>
  <si>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</si>
  <si>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</si>
  <si>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</si>
  <si>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</si>
  <si>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</si>
  <si>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</si>
  <si>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</si>
  <si>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</si>
  <si>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</si>
  <si>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</si>
  <si>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</si>
  <si>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</si>
  <si>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</si>
  <si>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</si>
  <si>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</si>
  <si>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</si>
  <si>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</si>
  <si>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</si>
  <si>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</si>
  <si>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</si>
  <si>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</si>
  <si>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</si>
  <si>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</si>
  <si>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</si>
  <si>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</si>
  <si>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</si>
  <si>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</si>
  <si>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</si>
  <si>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</si>
  <si>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</si>
  <si>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</si>
  <si>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</si>
  <si>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</si>
  <si>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</si>
  <si>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</si>
  <si>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</si>
  <si>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</si>
  <si>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</si>
  <si>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</si>
  <si>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</si>
  <si>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</si>
  <si>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</si>
  <si>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</si>
  <si>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</si>
  <si>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</si>
  <si>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</si>
  <si>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</si>
  <si>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</si>
  <si>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</si>
  <si>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</si>
  <si>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</si>
  <si>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</si>
  <si>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</si>
  <si>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</si>
  <si>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</si>
  <si>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</si>
  <si>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</si>
  <si>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</si>
  <si>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</si>
  <si>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</si>
  <si>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</si>
  <si>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</si>
  <si>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</si>
  <si>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</si>
  <si>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</si>
  <si>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</si>
  <si>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</si>
  <si>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</si>
  <si>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</si>
  <si>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</si>
  <si>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</si>
  <si>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</si>
  <si>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</si>
  <si>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</si>
  <si>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</si>
  <si>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</si>
  <si>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</si>
  <si>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</si>
  <si>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</si>
  <si>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</si>
  <si>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</si>
  <si>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</si>
  <si>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</si>
  <si>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</si>
  <si>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</si>
  <si>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</si>
  <si>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</si>
  <si>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</si>
  <si>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</si>
  <si>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</si>
  <si>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</si>
  <si>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</si>
  <si>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</si>
  <si>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</si>
  <si>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</si>
  <si>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</si>
  <si>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</si>
  <si>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</si>
  <si>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</si>
  <si>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</si>
  <si>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</si>
  <si>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</si>
  <si>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</si>
  <si>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</si>
  <si>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</si>
  <si>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</si>
  <si>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</si>
  <si>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</si>
  <si>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</si>
  <si>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</si>
  <si>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</si>
  <si>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</si>
  <si>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</si>
  <si>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</si>
  <si>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</si>
  <si>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</si>
  <si>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</si>
  <si>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</si>
  <si>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</si>
  <si>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</si>
  <si>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</si>
  <si>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</si>
  <si>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</si>
  <si>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</si>
  <si>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</si>
  <si>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</si>
  <si>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</si>
  <si>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</si>
  <si>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</si>
  <si>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</si>
  <si>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</si>
  <si>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</si>
  <si>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</si>
  <si>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</si>
  <si>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</si>
  <si>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</si>
  <si>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</si>
  <si>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</si>
  <si>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</si>
  <si>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</si>
  <si>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</si>
  <si>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</si>
  <si>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</si>
  <si>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</si>
  <si>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</si>
  <si>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</si>
  <si>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</si>
  <si>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</si>
  <si>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</si>
  <si>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</si>
  <si>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</si>
  <si>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</si>
  <si>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</si>
  <si>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</si>
  <si>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</si>
  <si>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</si>
  <si>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</si>
  <si>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</si>
  <si>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</si>
  <si>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</si>
  <si>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</si>
  <si>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</si>
  <si>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</si>
  <si>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</si>
  <si>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</si>
  <si>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</si>
  <si>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</si>
  <si>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</si>
  <si>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</si>
  <si>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</si>
  <si>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</si>
  <si>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</si>
  <si>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</si>
  <si>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</si>
  <si>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</si>
  <si>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</si>
  <si>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</si>
  <si>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</si>
  <si>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</si>
  <si>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</si>
  <si>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</si>
  <si>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</si>
  <si>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</si>
  <si>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</si>
  <si>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</si>
  <si>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</si>
  <si>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</si>
  <si>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</si>
  <si>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</si>
  <si>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</si>
  <si>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</si>
  <si>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</si>
  <si>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</si>
  <si>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</si>
  <si>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</si>
  <si>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</si>
  <si>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</si>
  <si>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</si>
  <si>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</si>
  <si>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</si>
  <si>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</si>
  <si>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</si>
  <si>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</si>
  <si>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</si>
  <si>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</si>
  <si>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</si>
  <si>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</si>
  <si>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</si>
  <si>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</si>
  <si>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</si>
  <si>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</si>
  <si>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</si>
  <si>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</si>
  <si>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</si>
  <si>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</si>
  <si>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</si>
  <si>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</si>
  <si>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</si>
  <si>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</si>
  <si>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</si>
  <si>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</si>
  <si>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</si>
  <si>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</si>
  <si>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</si>
  <si>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</si>
  <si>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</si>
  <si>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</si>
  <si>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</si>
  <si>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</si>
  <si>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</si>
  <si>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</si>
  <si>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</si>
  <si>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</si>
  <si>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</si>
  <si>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</si>
  <si>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</si>
  <si>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</si>
  <si>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</si>
  <si>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</si>
  <si>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</si>
  <si>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</si>
  <si>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</si>
  <si>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</si>
  <si>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</si>
  <si>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</si>
  <si>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</si>
  <si>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</si>
  <si>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</si>
  <si>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</si>
  <si>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</si>
  <si>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</si>
  <si>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</si>
  <si>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</si>
  <si>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</si>
  <si>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</si>
  <si>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</si>
  <si>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</si>
  <si>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</si>
  <si>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</si>
  <si>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</si>
  <si>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</si>
  <si>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</si>
  <si>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</si>
  <si>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</si>
  <si>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</si>
  <si>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</si>
  <si>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</si>
  <si>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</si>
  <si>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</si>
  <si>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</si>
  <si>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</si>
  <si>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</si>
  <si>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</si>
  <si>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</si>
  <si>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</si>
  <si>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</si>
  <si>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</si>
  <si>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</si>
  <si>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</si>
  <si>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</si>
  <si>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</si>
  <si>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</si>
  <si>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</si>
  <si>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</si>
  <si>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</si>
  <si>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</si>
  <si>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</si>
  <si>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</si>
  <si>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</si>
  <si>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</si>
  <si>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</si>
  <si>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</si>
  <si>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</si>
  <si>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</si>
  <si>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</si>
  <si>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</si>
  <si>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</si>
  <si>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</si>
  <si>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</si>
  <si>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</si>
  <si>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</si>
  <si>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</si>
  <si>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</si>
  <si>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</si>
  <si>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</si>
  <si>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</si>
  <si>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</si>
  <si>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</si>
  <si>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</si>
  <si>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</si>
  <si>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</si>
  <si>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</si>
  <si>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</si>
  <si>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</si>
  <si>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</si>
  <si>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</si>
  <si>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</si>
  <si>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</si>
  <si>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</si>
  <si>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</si>
  <si>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</si>
  <si>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</si>
  <si>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</si>
  <si>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</si>
  <si>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</si>
  <si>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</si>
  <si>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</si>
  <si>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</si>
  <si>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</si>
  <si>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</si>
  <si>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</si>
  <si>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</si>
  <si>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</si>
  <si>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</si>
  <si>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</si>
  <si>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</si>
  <si>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</si>
  <si>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</si>
  <si>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</si>
  <si>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</si>
  <si>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</si>
  <si>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</si>
  <si>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</si>
  <si>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</si>
  <si>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</si>
  <si>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</si>
  <si>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</si>
  <si>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</si>
  <si>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</si>
  <si>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</si>
  <si>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</si>
  <si>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</si>
  <si>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</si>
  <si>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</si>
  <si>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</si>
  <si>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</si>
  <si>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</si>
  <si>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</si>
  <si>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</si>
  <si>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</si>
  <si>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</si>
  <si>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</si>
  <si>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</si>
  <si>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</si>
  <si>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</si>
  <si>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</si>
  <si>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</si>
  <si>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</si>
  <si>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</si>
  <si>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</si>
  <si>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</si>
  <si>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</si>
  <si>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</si>
  <si>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</si>
  <si>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</si>
  <si>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</si>
  <si>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</si>
  <si>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</si>
  <si>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</si>
  <si>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</si>
  <si>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</si>
  <si>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</si>
  <si>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</si>
  <si>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</si>
  <si>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</si>
  <si>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</si>
  <si>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</si>
  <si>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</si>
  <si>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</si>
  <si>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</si>
  <si>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</si>
  <si>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</si>
  <si>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</si>
  <si>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</si>
  <si>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</si>
  <si>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</si>
  <si>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</si>
  <si>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</si>
  <si>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</si>
  <si>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</si>
  <si>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</si>
  <si>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</si>
  <si>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</si>
  <si>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</si>
  <si>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</si>
  <si>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</si>
  <si>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</si>
  <si>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</si>
  <si>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</si>
  <si>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</si>
  <si>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</si>
  <si>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</si>
  <si>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</si>
  <si>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</si>
  <si>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</si>
  <si>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</si>
  <si>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</si>
  <si>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</si>
  <si>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</si>
  <si>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</si>
  <si>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</si>
  <si>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</si>
  <si>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</si>
  <si>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</si>
  <si>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</si>
  <si>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</si>
  <si>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</si>
  <si>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</si>
  <si>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</si>
  <si>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</si>
  <si>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</si>
  <si>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</si>
  <si>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</si>
  <si>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</si>
  <si>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</si>
  <si>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</si>
  <si>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</si>
  <si>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</si>
  <si>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</si>
  <si>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</si>
  <si>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</si>
  <si>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</si>
  <si>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</si>
  <si>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</si>
  <si>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</si>
  <si>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</si>
  <si>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</si>
  <si>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</si>
  <si>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</si>
  <si>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</si>
  <si>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</si>
  <si>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</si>
  <si>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</si>
  <si>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</si>
  <si>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</si>
  <si>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</si>
  <si>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</si>
  <si>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</si>
  <si>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</si>
  <si>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</si>
  <si>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</si>
  <si>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</si>
  <si>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</si>
  <si>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</si>
  <si>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</si>
  <si>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</si>
  <si>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</si>
  <si>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</si>
  <si>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</si>
  <si>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</si>
  <si>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</si>
  <si>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</si>
  <si>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</si>
  <si>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</si>
  <si>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</si>
  <si>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</si>
  <si>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</si>
  <si>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</si>
  <si>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</si>
  <si>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</si>
  <si>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</si>
  <si>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</si>
  <si>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</si>
  <si>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</si>
  <si>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</si>
  <si>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</si>
  <si>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</si>
  <si>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</si>
  <si>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</si>
  <si>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</si>
  <si>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</si>
  <si>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</si>
  <si>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</si>
  <si>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</si>
  <si>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</si>
  <si>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</si>
  <si>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</si>
  <si>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</si>
  <si>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</si>
  <si>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</si>
  <si>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</si>
  <si>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</si>
  <si>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</si>
  <si>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</si>
  <si>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</si>
  <si>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</si>
  <si>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</si>
  <si>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</si>
  <si>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</si>
  <si>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</si>
  <si>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</si>
  <si>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</si>
  <si>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</si>
  <si>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</si>
  <si>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</si>
  <si>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</si>
  <si>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</si>
  <si>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</si>
  <si>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</si>
  <si>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</si>
  <si>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</si>
  <si>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</si>
  <si>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</si>
  <si>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</si>
  <si>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</si>
  <si>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</si>
  <si>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</si>
  <si>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</si>
  <si>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</si>
  <si>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</si>
  <si>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</si>
  <si>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</si>
  <si>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</si>
  <si>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</si>
  <si>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</si>
  <si>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</si>
  <si>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</si>
  <si>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</si>
  <si>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</si>
  <si>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</si>
  <si>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</si>
  <si>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</si>
  <si>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</si>
  <si>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</si>
  <si>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</si>
  <si>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</si>
  <si>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</si>
  <si>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</si>
  <si>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</si>
  <si>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</si>
  <si>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</si>
  <si>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</si>
  <si>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</si>
  <si>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</si>
  <si>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</si>
  <si>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</si>
  <si>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</si>
  <si>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</si>
  <si>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</si>
  <si>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</si>
  <si>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</si>
  <si>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</si>
  <si>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</si>
  <si>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</si>
  <si>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</si>
  <si>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</si>
  <si>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</si>
  <si>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</si>
  <si>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</si>
  <si>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</si>
  <si>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</si>
  <si>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</si>
  <si>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</si>
  <si>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</si>
  <si>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</si>
  <si>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</si>
  <si>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</si>
  <si>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</si>
  <si>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</si>
  <si>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</si>
  <si>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</si>
  <si>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</si>
  <si>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</si>
  <si>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</si>
  <si>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</si>
  <si>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</si>
  <si>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</si>
  <si>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</si>
  <si>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</si>
  <si>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</si>
  <si>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</si>
  <si>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</si>
  <si>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</si>
  <si>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</si>
  <si>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</si>
  <si>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</si>
  <si>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</si>
  <si>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</si>
  <si>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</si>
  <si>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</si>
  <si>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</si>
  <si>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</si>
  <si>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</si>
  <si>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</si>
  <si>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</si>
  <si>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</si>
  <si>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</si>
  <si>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</si>
  <si>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</si>
  <si>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</si>
  <si>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</si>
  <si>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</si>
  <si>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</si>
  <si>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</si>
  <si>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</si>
  <si>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</si>
  <si>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</si>
  <si>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</si>
  <si>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</si>
  <si>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</si>
  <si>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</si>
  <si>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</si>
  <si>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</si>
  <si>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</si>
  <si>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</si>
  <si>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</si>
  <si>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</si>
  <si>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</si>
  <si>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</si>
  <si>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</si>
  <si>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</si>
  <si>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</si>
  <si>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</si>
  <si>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</si>
  <si>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</si>
  <si>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</si>
  <si>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</si>
  <si>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</si>
  <si>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</si>
  <si>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</si>
  <si>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</si>
  <si>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</si>
  <si>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</si>
  <si>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</si>
  <si>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</si>
  <si>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</si>
  <si>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</si>
  <si>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</si>
  <si>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</si>
  <si>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</si>
  <si>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</si>
  <si>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</si>
  <si>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</si>
  <si>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</si>
  <si>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</si>
  <si>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</si>
  <si>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</si>
  <si>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</si>
  <si>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</si>
  <si>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</si>
  <si>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</si>
  <si>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</si>
  <si>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</si>
  <si>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</si>
  <si>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</si>
  <si>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</si>
  <si>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</si>
  <si>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</si>
  <si>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</si>
  <si>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</si>
  <si>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</si>
  <si>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</si>
  <si>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</si>
  <si>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</si>
  <si>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</si>
  <si>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</si>
  <si>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</si>
  <si>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</si>
  <si>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</si>
  <si>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</si>
  <si>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</si>
  <si>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</si>
  <si>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</si>
  <si>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</si>
  <si>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</si>
  <si>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</si>
  <si>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</si>
  <si>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</si>
  <si>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</si>
  <si>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</si>
  <si>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</si>
  <si>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</si>
  <si>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</si>
  <si>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</si>
  <si>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</si>
  <si>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</si>
  <si>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</si>
  <si>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</si>
  <si>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</si>
  <si>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</si>
  <si>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</si>
  <si>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</si>
  <si>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</si>
  <si>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</si>
  <si>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</si>
  <si>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</si>
  <si>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</si>
  <si>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</si>
  <si>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</si>
  <si>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</si>
  <si>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</si>
  <si>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</si>
  <si>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</si>
  <si>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</si>
  <si>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</si>
  <si>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</si>
  <si>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</si>
  <si>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</si>
  <si>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</si>
  <si>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</si>
  <si>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</si>
  <si>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</si>
  <si>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</si>
  <si>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</si>
  <si>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</si>
  <si>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</si>
  <si>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</si>
  <si>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</si>
  <si>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</si>
  <si>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</si>
  <si>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</si>
  <si>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</si>
  <si>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</si>
  <si>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</si>
  <si>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</si>
  <si>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</si>
  <si>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</si>
  <si>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</si>
  <si>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</si>
  <si>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</si>
  <si>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</si>
  <si>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</si>
  <si>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</si>
  <si>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</si>
  <si>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</si>
  <si>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</si>
  <si>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</si>
  <si>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</si>
  <si>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</si>
  <si>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</si>
  <si>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</si>
  <si>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</si>
  <si>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</si>
  <si>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</si>
  <si>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</si>
  <si>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</si>
  <si>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</si>
  <si>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</si>
  <si>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</si>
  <si>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</si>
  <si>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</si>
  <si>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</si>
  <si>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</si>
  <si>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</si>
  <si>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</si>
  <si>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</si>
  <si>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</si>
  <si>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</si>
  <si>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</si>
  <si>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</si>
  <si>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</si>
  <si>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</si>
  <si>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</si>
  <si>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</si>
  <si>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</si>
  <si>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</si>
  <si>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</si>
  <si>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</si>
  <si>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</si>
  <si>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</si>
  <si>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</si>
  <si>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</si>
  <si>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</si>
  <si>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</si>
  <si>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</si>
  <si>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</si>
  <si>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</si>
  <si>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</si>
  <si>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</si>
  <si>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</si>
  <si>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</si>
  <si>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</si>
  <si>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</si>
  <si>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</si>
  <si>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</si>
  <si>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</si>
  <si>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</si>
  <si>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</si>
  <si>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</si>
  <si>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</si>
  <si>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</si>
  <si>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</si>
  <si>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</si>
  <si>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</si>
  <si>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</si>
  <si>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</si>
  <si>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</si>
  <si>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</si>
  <si>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</si>
  <si>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</si>
  <si>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</si>
  <si>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</si>
  <si>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</si>
  <si>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</si>
  <si>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</si>
  <si>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</si>
  <si>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</si>
  <si>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</si>
  <si>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</si>
  <si>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</si>
  <si>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</si>
  <si>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</si>
  <si>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</si>
  <si>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</si>
  <si>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</si>
  <si>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</si>
  <si>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</si>
  <si>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</si>
  <si>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</si>
  <si>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</si>
  <si>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</si>
  <si>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</si>
  <si>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</si>
  <si>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</si>
  <si>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</si>
  <si>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</si>
  <si>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</si>
  <si>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</si>
  <si>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</si>
  <si>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</si>
  <si>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</si>
  <si>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</si>
  <si>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</si>
  <si>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</si>
  <si>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</si>
  <si>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</si>
  <si>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</si>
  <si>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</si>
  <si>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</si>
  <si>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</si>
  <si>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</si>
  <si>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</si>
  <si>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</si>
  <si>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</si>
  <si>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</si>
  <si>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</si>
  <si>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</si>
  <si>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</si>
  <si>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</si>
  <si>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</si>
  <si>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</si>
  <si>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</si>
  <si>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</si>
  <si>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</si>
  <si>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</si>
  <si>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</si>
  <si>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</si>
  <si>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</si>
  <si>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</si>
  <si>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</si>
  <si>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</si>
  <si>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</si>
  <si>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</si>
  <si>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</si>
  <si>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</si>
  <si>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</si>
  <si>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</si>
  <si>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</si>
  <si>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</si>
  <si>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</si>
  <si>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</si>
  <si>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</si>
  <si>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</si>
  <si>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</si>
  <si>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</si>
  <si>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</si>
  <si>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</si>
  <si>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</si>
  <si>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</si>
  <si>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</si>
  <si>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</si>
  <si>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</si>
  <si>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</si>
  <si>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</si>
  <si>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</si>
  <si>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</si>
  <si>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</si>
  <si>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</si>
  <si>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</si>
  <si>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</si>
  <si>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</si>
  <si>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</si>
  <si>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</si>
  <si>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</si>
  <si>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</si>
  <si>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</si>
  <si>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</si>
  <si>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</si>
  <si>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</si>
  <si>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</si>
  <si>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</si>
  <si>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</si>
  <si>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</si>
  <si>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</si>
  <si>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</si>
  <si>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</si>
  <si>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</si>
  <si>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</si>
  <si>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</si>
  <si>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</si>
  <si>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</si>
  <si>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</si>
  <si>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</si>
  <si>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</si>
  <si>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</si>
  <si>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</si>
  <si>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</si>
  <si>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</si>
  <si>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</si>
  <si>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</si>
  <si>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</si>
  <si>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</si>
  <si>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</si>
  <si>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</si>
  <si>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</si>
  <si>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</si>
  <si>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</si>
  <si>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</si>
  <si>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</si>
  <si>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</si>
  <si>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</si>
  <si>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</si>
  <si>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</si>
  <si>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</si>
  <si>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</si>
  <si>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</si>
  <si>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</si>
  <si>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</si>
  <si>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</si>
  <si>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</si>
  <si>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</si>
  <si>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</si>
  <si>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</si>
  <si>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</si>
  <si>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</si>
  <si>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</si>
  <si>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</si>
  <si>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</si>
  <si>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</si>
  <si>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</si>
  <si>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</si>
  <si>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</si>
  <si>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</si>
  <si>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</si>
  <si>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</si>
  <si>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</si>
  <si>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</si>
  <si>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</si>
  <si>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</si>
  <si>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</si>
  <si>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</si>
  <si>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</si>
  <si>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</si>
  <si>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</si>
  <si>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</si>
  <si>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</si>
  <si>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</si>
  <si>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</si>
  <si>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</si>
  <si>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</si>
  <si>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</si>
  <si>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</si>
  <si>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</si>
  <si>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</si>
  <si>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</si>
  <si>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</si>
  <si>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</si>
  <si>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</si>
  <si>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</si>
  <si>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</si>
  <si>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</si>
  <si>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</si>
  <si>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</si>
  <si>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</si>
  <si>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</si>
  <si>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</si>
  <si>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</si>
  <si>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</si>
  <si>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</si>
  <si>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</si>
  <si>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</si>
  <si>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</si>
  <si>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</si>
  <si>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</si>
  <si>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</si>
  <si>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</si>
  <si>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</si>
  <si>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</si>
  <si>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</si>
  <si>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</si>
  <si>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</si>
  <si>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</si>
  <si>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</si>
  <si>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</si>
  <si>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</si>
  <si>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</si>
  <si>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</si>
  <si>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</si>
  <si>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</si>
  <si>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</si>
  <si>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</si>
  <si>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</si>
  <si>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</si>
  <si>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</si>
  <si>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</si>
  <si>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</si>
  <si>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</si>
  <si>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</si>
  <si>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</si>
  <si>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</si>
  <si>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</si>
  <si>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</si>
  <si>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</si>
  <si>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</si>
  <si>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</si>
  <si>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</si>
  <si>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</si>
  <si>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</si>
  <si>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</si>
  <si>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</si>
  <si>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</si>
  <si>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</si>
  <si>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</si>
  <si>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</si>
  <si>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</si>
  <si>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</si>
  <si>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</si>
  <si>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</si>
  <si>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</si>
  <si>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</si>
  <si>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</si>
  <si>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</si>
  <si>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</si>
  <si>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</si>
  <si>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</si>
  <si>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</si>
  <si>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</si>
  <si>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</si>
  <si>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</si>
  <si>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</si>
  <si>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</si>
  <si>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</si>
  <si>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</si>
  <si>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</si>
  <si>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</si>
  <si>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</si>
  <si>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</si>
  <si>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</si>
  <si>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</si>
  <si>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</si>
  <si>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</si>
  <si>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</si>
  <si>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</si>
  <si>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</si>
  <si>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</si>
  <si>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</si>
  <si>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</si>
  <si>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</si>
  <si>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</si>
  <si>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</si>
  <si>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</si>
  <si>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</si>
  <si>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</si>
  <si>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</si>
  <si>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</si>
  <si>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</si>
  <si>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</si>
  <si>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</si>
  <si>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</si>
  <si>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</si>
  <si>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</si>
  <si>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</si>
  <si>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</si>
  <si>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</si>
  <si>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</si>
  <si>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</si>
  <si>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</si>
  <si>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</si>
  <si>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</si>
  <si>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</si>
  <si>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</si>
  <si>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</si>
  <si>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</si>
  <si>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</si>
  <si>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</si>
  <si>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</si>
  <si>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</si>
  <si>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</si>
  <si>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</si>
  <si>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</si>
  <si>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</si>
  <si>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</si>
  <si>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</si>
  <si>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</si>
  <si>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</si>
  <si>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</si>
  <si>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</si>
  <si>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</si>
  <si>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</si>
  <si>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</si>
  <si>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</si>
  <si>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</si>
  <si>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</si>
  <si>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</si>
  <si>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</si>
  <si>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</si>
  <si>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</si>
  <si>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</si>
  <si>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</si>
  <si>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</si>
  <si>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</si>
  <si>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</si>
  <si>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</si>
  <si>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</si>
  <si>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</si>
  <si>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</si>
  <si>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</si>
  <si>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</si>
  <si>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</si>
  <si>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</si>
  <si>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</si>
  <si>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</si>
  <si>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</si>
  <si>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</si>
  <si>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</si>
  <si>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</si>
  <si>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</si>
  <si>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</si>
  <si>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</si>
  <si>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</si>
  <si>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</si>
  <si>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</si>
  <si>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</si>
  <si>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</si>
  <si>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</si>
  <si>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</si>
  <si>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</si>
  <si>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</si>
  <si>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</si>
  <si>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</si>
  <si>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</si>
  <si>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</si>
  <si>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</si>
  <si>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</si>
  <si>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</si>
  <si>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</si>
  <si>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</si>
  <si>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</si>
  <si>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</si>
  <si>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</si>
  <si>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</si>
  <si>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</si>
  <si>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</si>
  <si>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</si>
  <si>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</si>
  <si>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</si>
  <si>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</si>
  <si>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</si>
  <si>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</si>
  <si>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</si>
  <si>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</si>
  <si>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</si>
  <si>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</si>
  <si>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</si>
  <si>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</si>
  <si>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</si>
  <si>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</si>
  <si>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</si>
  <si>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</si>
  <si>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</si>
  <si>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</si>
  <si>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</si>
  <si>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</si>
  <si>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</si>
  <si>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</si>
  <si>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</si>
  <si>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</si>
  <si>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</si>
  <si>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</si>
  <si>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</si>
  <si>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</si>
  <si>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</si>
  <si>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</si>
  <si>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</si>
  <si>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</si>
  <si>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</si>
  <si>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</si>
  <si>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</si>
  <si>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</si>
  <si>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</si>
  <si>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</si>
  <si>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</si>
  <si>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</si>
  <si>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</si>
  <si>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</si>
  <si>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</si>
  <si>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</si>
  <si>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</si>
  <si>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</si>
  <si>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</si>
  <si>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</si>
  <si>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</si>
  <si>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</si>
  <si>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</si>
  <si>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</si>
  <si>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</si>
  <si>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</si>
  <si>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</si>
  <si>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</si>
  <si>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</si>
  <si>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</si>
  <si>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</si>
  <si>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</si>
  <si>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</si>
  <si>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</si>
  <si>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</si>
  <si>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</si>
  <si>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</si>
  <si>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</si>
  <si>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</si>
  <si>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</si>
  <si>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</si>
  <si>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</si>
  <si>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</si>
  <si>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</si>
  <si>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</si>
  <si>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</si>
  <si>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</si>
  <si>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</si>
  <si>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</si>
  <si>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</si>
  <si>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</si>
  <si>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</si>
  <si>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</si>
  <si>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</si>
  <si>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</si>
  <si>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</si>
  <si>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</si>
  <si>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</si>
  <si>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</si>
  <si>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</si>
  <si>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</si>
  <si>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</si>
  <si>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</si>
  <si>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</si>
  <si>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</si>
  <si>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</si>
  <si>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</si>
  <si>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</si>
  <si>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</si>
  <si>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</si>
  <si>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</si>
  <si>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</si>
  <si>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</si>
  <si>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</si>
  <si>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</si>
  <si>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</si>
  <si>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</si>
  <si>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</si>
  <si>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</si>
  <si>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</si>
  <si>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</si>
  <si>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</si>
  <si>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</si>
  <si>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</si>
  <si>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</si>
  <si>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</si>
  <si>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</si>
  <si>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</si>
  <si>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</si>
  <si>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</si>
  <si>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</si>
  <si>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</si>
  <si>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</si>
  <si>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</si>
  <si>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</si>
  <si>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</si>
  <si>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</si>
  <si>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</si>
  <si>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</si>
  <si>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</si>
  <si>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</si>
  <si>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</si>
  <si>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</si>
  <si>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</si>
  <si>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</si>
  <si>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</si>
  <si>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</si>
  <si>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</si>
  <si>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</si>
  <si>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</si>
  <si>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</si>
  <si>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</si>
  <si>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</si>
  <si>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</si>
  <si>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</si>
  <si>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</si>
  <si>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</si>
  <si>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</si>
  <si>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</si>
  <si>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</si>
  <si>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</si>
  <si>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</si>
  <si>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</si>
  <si>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</si>
  <si>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</si>
  <si>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</si>
  <si>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</si>
  <si>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</si>
  <si>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</si>
  <si>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</si>
  <si>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</si>
  <si>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</si>
  <si>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</si>
  <si>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</si>
  <si>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</si>
  <si>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</si>
  <si>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</si>
  <si>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</si>
  <si>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</si>
  <si>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</si>
  <si>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</si>
  <si>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</si>
  <si>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</si>
  <si>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</si>
  <si>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</si>
  <si>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</si>
  <si>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</si>
  <si>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</si>
  <si>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</si>
  <si>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</si>
  <si>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</si>
  <si>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</si>
  <si>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</si>
  <si>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</si>
  <si>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</si>
  <si>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</si>
  <si>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</si>
  <si>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</si>
  <si>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</si>
  <si>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</si>
  <si>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</si>
  <si>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</si>
  <si>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</si>
  <si>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</si>
  <si>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</si>
  <si>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</si>
  <si>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</si>
  <si>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</si>
  <si>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</si>
  <si>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</si>
  <si>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</si>
  <si>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</si>
  <si>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</si>
  <si>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</si>
  <si>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</si>
  <si>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</si>
  <si>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</si>
  <si>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</si>
  <si>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</si>
  <si>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</si>
  <si>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</si>
  <si>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</si>
  <si>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</si>
  <si>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</si>
  <si>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</si>
  <si>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</si>
  <si>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</si>
  <si>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</si>
  <si>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</si>
  <si>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</si>
  <si>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</si>
  <si>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</si>
  <si>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</si>
  <si>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</si>
  <si>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</si>
  <si>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</si>
  <si>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</si>
  <si>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</si>
  <si>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</si>
  <si>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</si>
  <si>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</si>
  <si>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</si>
  <si>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</si>
  <si>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</si>
  <si>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</si>
  <si>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</si>
  <si>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</si>
  <si>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</si>
  <si>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</si>
  <si>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</si>
  <si>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</si>
  <si>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</si>
  <si>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</si>
  <si>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</si>
  <si>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</si>
  <si>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</si>
  <si>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</si>
  <si>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</si>
  <si>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</si>
  <si>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</si>
  <si>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</si>
  <si>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</si>
  <si>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</si>
  <si>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</si>
  <si>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</si>
  <si>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</si>
  <si>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</si>
  <si>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</si>
  <si>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</si>
  <si>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</si>
  <si>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</si>
  <si>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</si>
  <si>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</si>
  <si>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</si>
  <si>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</si>
  <si>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</si>
  <si>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</si>
  <si>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</si>
  <si>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</si>
  <si>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</si>
  <si>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</si>
  <si>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</si>
  <si>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</si>
  <si>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</si>
  <si>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</si>
  <si>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</si>
  <si>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</si>
  <si>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</si>
  <si>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</si>
  <si>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</si>
  <si>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</si>
  <si>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</si>
  <si>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</si>
  <si>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</si>
  <si>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</si>
  <si>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</si>
  <si>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</si>
  <si>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</si>
  <si>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</si>
  <si>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</si>
  <si>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</si>
  <si>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</si>
  <si>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</si>
  <si>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</si>
  <si>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</si>
  <si>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</si>
  <si>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</si>
  <si>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</si>
  <si>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</si>
  <si>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</si>
  <si>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</si>
  <si>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</si>
  <si>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</si>
  <si>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</si>
  <si>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</si>
  <si>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</si>
  <si>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</si>
  <si>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</si>
  <si>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</si>
  <si>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</si>
  <si>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</si>
  <si>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</si>
  <si>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</si>
  <si>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</si>
  <si>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</si>
  <si>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</si>
  <si>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</si>
  <si>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</si>
  <si>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</si>
  <si>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</si>
  <si>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</si>
  <si>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</si>
  <si>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</si>
  <si>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</si>
  <si>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</si>
  <si>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</si>
  <si>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</si>
  <si>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</si>
  <si>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</si>
  <si>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</si>
  <si>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</si>
  <si>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</si>
  <si>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</si>
  <si>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</si>
  <si>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</si>
  <si>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</si>
  <si>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</si>
  <si>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</si>
  <si>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</si>
  <si>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</si>
  <si>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</si>
  <si>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</si>
  <si>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</si>
  <si>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</si>
  <si>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</si>
  <si>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</si>
  <si>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</si>
  <si>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</si>
  <si>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</si>
  <si>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</si>
  <si>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</si>
  <si>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</si>
  <si>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</si>
  <si>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</si>
  <si>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</si>
  <si>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</si>
  <si>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</si>
  <si>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</si>
  <si>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</si>
  <si>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</si>
  <si>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</si>
  <si>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</si>
  <si>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</si>
  <si>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</si>
  <si>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</si>
  <si>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</si>
  <si>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</si>
  <si>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</si>
  <si>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</si>
  <si>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</si>
  <si>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</si>
  <si>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</si>
  <si>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</si>
  <si>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</si>
  <si>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</si>
  <si>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</si>
  <si>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</si>
  <si>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</si>
  <si>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</si>
  <si>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</si>
  <si>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</si>
  <si>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</si>
  <si>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</si>
  <si>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</si>
  <si>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</si>
  <si>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</si>
  <si>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</si>
  <si>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</si>
  <si>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</si>
  <si>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</si>
  <si>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</si>
  <si>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</si>
  <si>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</si>
  <si>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</si>
  <si>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</si>
  <si>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</si>
  <si>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</si>
  <si>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</si>
  <si>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</si>
  <si>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</si>
  <si>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</si>
  <si>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</si>
  <si>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</si>
  <si>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</si>
  <si>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</si>
  <si>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</si>
  <si>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</si>
  <si>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</si>
  <si>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</si>
  <si>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</si>
  <si>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</si>
  <si>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</si>
  <si>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</si>
  <si>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</si>
  <si>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</si>
  <si>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</si>
  <si>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</si>
  <si>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</si>
  <si>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</si>
  <si>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</si>
  <si>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</si>
  <si>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</si>
  <si>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Johnson</t>
  </si>
  <si>
    <t>95 Tunnel Hill Road</t>
  </si>
  <si>
    <t>Tunnel Hill</t>
  </si>
  <si>
    <t>Joe Nighswander</t>
  </si>
  <si>
    <t>618-658-9066</t>
  </si>
  <si>
    <t>618-658-5034</t>
  </si>
  <si>
    <t>Cindy A. Bobell, CPA</t>
  </si>
  <si>
    <t>10653 Khoury League Road</t>
  </si>
  <si>
    <t>Marion</t>
  </si>
  <si>
    <t>Illinois</t>
  </si>
  <si>
    <t>618-997-9711</t>
  </si>
  <si>
    <t>618-997-8014</t>
  </si>
  <si>
    <t>065-022629</t>
  </si>
  <si>
    <t>cabcpa@frontier.com</t>
  </si>
  <si>
    <t>2016 G.O. Refunding Bonds</t>
  </si>
  <si>
    <t>General Obligation School Bonds Series 2020</t>
  </si>
  <si>
    <t>General Obligation School Bonds</t>
  </si>
  <si>
    <t>Goreville Unit !: Cypress Grade School #64</t>
  </si>
  <si>
    <t>JAMP Special Education Cooperative</t>
  </si>
  <si>
    <t>No Contracts Paid</t>
  </si>
  <si>
    <t>Page 9 Line 17 Acct # 1290 Column 10 - In Lieu of Taxes</t>
  </si>
  <si>
    <t>Page 11 Line 106 Acct # 1993 Column 10 - Reimbursement for Shared Personnel</t>
  </si>
  <si>
    <t>Page 11 Line 107 Acct # 1999 Column 10 - Erate; Column 20 School Facilities Occupational Tax</t>
  </si>
  <si>
    <t>Page 12 Line 168 Acct # 3999 Column 10 - State Library Grant</t>
  </si>
  <si>
    <t>Page 13 Line 203 Acct # 4399 Column 10 - School Improvement and Accountability</t>
  </si>
  <si>
    <t>Page 14 Line 265 Acct # 4998 Column 10 - REAP</t>
  </si>
  <si>
    <t>Page 18 Line 171 Acct # 5400 Column 10 - Bond Admin Fee and Debt Issuance Cost</t>
  </si>
  <si>
    <t>Page 25 Line 22 - Facility Expense</t>
  </si>
  <si>
    <t>The District Debt Service expenditures exceeded the budgeted expenditures.</t>
  </si>
  <si>
    <t>The District issued Bonds and the bond issue fees had not been budgeted.</t>
  </si>
  <si>
    <t>Amendments should be made to the budget when additional expenditures are necessary.</t>
  </si>
  <si>
    <t>The District will make amendments when needed.</t>
  </si>
  <si>
    <t>Due to the size of the organization, there is a lack of segregation of duties.</t>
  </si>
  <si>
    <t>The requirement to have two signatures on the checks would be a good internal control and would help to create a segregation of duties.</t>
  </si>
  <si>
    <t>The District will make every effort within its means to segregate duties and strengthen internal controls.</t>
  </si>
  <si>
    <t xml:space="preserve"> New Simpson Hill SD 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</si>
</sst>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38" fontId="2" fillId="0" borderId="155" xfId="19" applyNumberFormat="1" applyFont="1" applyBorder="1" applyAlignment="1" applyProtection="1">
      <alignment horizontal="righ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3"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2051</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2051</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21044032003</v>
      </c>
      <c r="B13" s="2088"/>
      <c r="C13" s="2088"/>
      <c r="D13" s="2088"/>
      <c r="E13" s="2088"/>
      <c r="F13" s="2088"/>
      <c r="G13" s="2088"/>
      <c r="H13" s="2089"/>
      <c r="I13" s="31"/>
      <c r="J13" s="30"/>
      <c r="K13" s="28"/>
      <c r="L13" s="30"/>
      <c r="M13" s="30"/>
      <c r="N13" s="30"/>
      <c r="O13" s="30"/>
      <c r="P13" s="30"/>
      <c r="Q13" s="30"/>
      <c r="R13" s="30"/>
      <c r="S13" s="30"/>
      <c r="T13" s="2092" t="s">
        <v>2058</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2052</v>
      </c>
      <c r="B15" s="2090"/>
      <c r="C15" s="2090"/>
      <c r="D15" s="2090"/>
      <c r="E15" s="2090"/>
      <c r="F15" s="2090"/>
      <c r="G15" s="2090"/>
      <c r="H15" s="2091"/>
      <c r="T15" s="2053" t="s">
        <v>2058</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2087</v>
      </c>
      <c r="B17" s="2115"/>
      <c r="C17" s="2115"/>
      <c r="D17" s="2115"/>
      <c r="E17" s="2115"/>
      <c r="F17" s="2115"/>
      <c r="G17" s="2115"/>
      <c r="H17" s="2116"/>
      <c r="T17" s="2102" t="s">
        <v>2059</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2053</v>
      </c>
      <c r="B19" s="2086"/>
      <c r="C19" s="2086"/>
      <c r="D19" s="2086"/>
      <c r="E19" s="2086"/>
      <c r="F19" s="2086"/>
      <c r="G19" s="2086"/>
      <c r="H19" s="2084"/>
      <c r="I19" s="30"/>
      <c r="J19" s="96"/>
      <c r="K19" s="40"/>
      <c r="L19" s="38"/>
      <c r="M19" s="109" t="s">
        <v>312</v>
      </c>
      <c r="P19" s="27"/>
      <c r="Q19" s="27"/>
      <c r="R19" s="27"/>
      <c r="S19" s="31"/>
      <c r="T19" s="2085" t="s">
        <v>2060</v>
      </c>
      <c r="U19" s="2083"/>
      <c r="V19" s="2083"/>
      <c r="W19" s="2084"/>
      <c r="X19" s="2100" t="s">
        <v>2061</v>
      </c>
      <c r="Y19" s="2101"/>
      <c r="Z19" s="2098">
        <v>62959</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2054</v>
      </c>
      <c r="B21" s="2083"/>
      <c r="C21" s="2083"/>
      <c r="D21" s="2083"/>
      <c r="E21" s="2083"/>
      <c r="F21" s="2083"/>
      <c r="G21" s="2083"/>
      <c r="H21" s="2084"/>
      <c r="I21" s="2108" t="s">
        <v>673</v>
      </c>
      <c r="J21" s="2071"/>
      <c r="K21" s="2071"/>
      <c r="L21" s="2071"/>
      <c r="M21" s="2071"/>
      <c r="N21" s="2071"/>
      <c r="O21" s="2071"/>
      <c r="P21" s="2071"/>
      <c r="Q21" s="2071"/>
      <c r="R21" s="2071"/>
      <c r="S21" s="2072"/>
      <c r="T21" s="2050" t="s">
        <v>2062</v>
      </c>
      <c r="U21" s="2051"/>
      <c r="V21" s="2051"/>
      <c r="W21" s="2051"/>
      <c r="X21" s="2064" t="s">
        <v>2063</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c r="B23" s="2106"/>
      <c r="C23" s="2106"/>
      <c r="D23" s="2106"/>
      <c r="E23" s="2106"/>
      <c r="F23" s="2106"/>
      <c r="G23" s="2106"/>
      <c r="H23" s="2107"/>
      <c r="T23" s="2045" t="s">
        <v>2064</v>
      </c>
      <c r="U23" s="2046"/>
      <c r="V23" s="2046"/>
      <c r="W23" s="2046"/>
      <c r="X23" s="2061">
        <v>44469</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62972</v>
      </c>
      <c r="B25" s="2083"/>
      <c r="C25" s="2083"/>
      <c r="D25" s="2083"/>
      <c r="E25" s="2083"/>
      <c r="F25" s="2083"/>
      <c r="G25" s="2083"/>
      <c r="H25" s="2084"/>
      <c r="I25" s="110"/>
      <c r="J25" s="2149"/>
      <c r="K25" s="2149"/>
      <c r="L25" s="2149"/>
      <c r="M25" s="2149"/>
      <c r="N25" s="2149"/>
      <c r="O25" s="2149"/>
      <c r="P25" s="2149"/>
      <c r="Q25" s="2149"/>
      <c r="R25" s="2149"/>
      <c r="S25" s="2150"/>
      <c r="T25" s="2042" t="s">
        <v>2065</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2055</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2056</v>
      </c>
      <c r="B42" s="2132"/>
      <c r="C42" s="2133"/>
      <c r="D42" s="2146" t="s">
        <v>2057</v>
      </c>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&amp;F&amp;R
B - i</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3" sqref="B3:K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196437</v>
      </c>
      <c r="C4" s="1722"/>
      <c r="D4" s="1723">
        <f>B4-C4</f>
        <v>196437</v>
      </c>
      <c r="E4" s="1722"/>
      <c r="F4" s="1723">
        <f>E4-C4</f>
        <v>0</v>
      </c>
    </row>
    <row r="5" spans="1:8" ht="13.7" customHeight="1" x14ac:dyDescent="0.2">
      <c r="A5" s="579" t="s">
        <v>865</v>
      </c>
      <c r="B5" s="1724">
        <f>'Revenues 9-14'!D5</f>
        <v>53281</v>
      </c>
      <c r="C5" s="1664"/>
      <c r="D5" s="1725">
        <f t="shared" ref="D5:D18" si="0">B5-C5</f>
        <v>53281</v>
      </c>
      <c r="E5" s="1664"/>
      <c r="F5" s="1725">
        <f>E5-C5</f>
        <v>0</v>
      </c>
    </row>
    <row r="6" spans="1:8" ht="13.7" customHeight="1" x14ac:dyDescent="0.2">
      <c r="A6" s="579" t="s">
        <v>408</v>
      </c>
      <c r="B6" s="1724">
        <f>'Revenues 9-14'!E5</f>
        <v>98122</v>
      </c>
      <c r="C6" s="1664"/>
      <c r="D6" s="1725">
        <f t="shared" si="0"/>
        <v>98122</v>
      </c>
      <c r="E6" s="1664"/>
      <c r="F6" s="1725">
        <f t="shared" ref="F6:F18" si="1">E6-C6</f>
        <v>0</v>
      </c>
    </row>
    <row r="7" spans="1:8" ht="13.7" customHeight="1" x14ac:dyDescent="0.2">
      <c r="A7" s="579" t="s">
        <v>154</v>
      </c>
      <c r="B7" s="1724">
        <f>'Revenues 9-14'!F5</f>
        <v>25575</v>
      </c>
      <c r="C7" s="1664"/>
      <c r="D7" s="1725">
        <f t="shared" si="0"/>
        <v>25575</v>
      </c>
      <c r="E7" s="1664"/>
      <c r="F7" s="1725">
        <f t="shared" si="1"/>
        <v>0</v>
      </c>
    </row>
    <row r="8" spans="1:8" ht="13.7" customHeight="1" x14ac:dyDescent="0.2">
      <c r="A8" s="579" t="s">
        <v>1169</v>
      </c>
      <c r="B8" s="1724">
        <f>'Revenues 9-14'!G5</f>
        <v>95112</v>
      </c>
      <c r="C8" s="1664"/>
      <c r="D8" s="1725">
        <f t="shared" si="0"/>
        <v>95112</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10656</v>
      </c>
      <c r="C10" s="1664"/>
      <c r="D10" s="1725">
        <f t="shared" si="0"/>
        <v>10656</v>
      </c>
      <c r="E10" s="1664"/>
      <c r="F10" s="1725">
        <f t="shared" si="1"/>
        <v>0</v>
      </c>
    </row>
    <row r="11" spans="1:8" x14ac:dyDescent="0.2">
      <c r="A11" s="579" t="s">
        <v>406</v>
      </c>
      <c r="B11" s="1724">
        <f>'Revenues 9-14'!J5</f>
        <v>82630</v>
      </c>
      <c r="C11" s="1664"/>
      <c r="D11" s="1725">
        <f t="shared" si="0"/>
        <v>82630</v>
      </c>
      <c r="E11" s="1664"/>
      <c r="F11" s="1725">
        <f t="shared" si="1"/>
        <v>0</v>
      </c>
    </row>
    <row r="12" spans="1:8" ht="13.7" customHeight="1" x14ac:dyDescent="0.2">
      <c r="A12" s="579" t="s">
        <v>156</v>
      </c>
      <c r="B12" s="1724">
        <f>'Revenues 9-14'!K5</f>
        <v>10656</v>
      </c>
      <c r="C12" s="1664"/>
      <c r="D12" s="1725">
        <f t="shared" si="0"/>
        <v>10656</v>
      </c>
      <c r="E12" s="1664"/>
      <c r="F12" s="1725">
        <f t="shared" si="1"/>
        <v>0</v>
      </c>
    </row>
    <row r="13" spans="1:8" ht="13.7" customHeight="1" x14ac:dyDescent="0.2">
      <c r="A13" s="579" t="s">
        <v>930</v>
      </c>
      <c r="B13" s="1724">
        <f>SUM('Revenues 9-14'!C6:D6)</f>
        <v>10656</v>
      </c>
      <c r="C13" s="1664"/>
      <c r="D13" s="1725">
        <f t="shared" si="0"/>
        <v>10656</v>
      </c>
      <c r="E13" s="1664"/>
      <c r="F13" s="1725">
        <f t="shared" si="1"/>
        <v>0</v>
      </c>
    </row>
    <row r="14" spans="1:8" ht="13.7" customHeight="1" x14ac:dyDescent="0.2">
      <c r="A14" s="579" t="s">
        <v>407</v>
      </c>
      <c r="B14" s="1724">
        <f>SUM('Revenues 9-14'!C7:D7,'Revenues 9-14'!F7:H7)</f>
        <v>4272</v>
      </c>
      <c r="C14" s="1664"/>
      <c r="D14" s="1725">
        <f t="shared" si="0"/>
        <v>4272</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587397</v>
      </c>
      <c r="C19" s="1726">
        <f>SUM(C4:C18)</f>
        <v>0</v>
      </c>
      <c r="D19" s="1726">
        <f>SUM(D4:D18)</f>
        <v>587397</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1" colorId="8" zoomScale="110" zoomScaleNormal="110" workbookViewId="0">
      <selection activeCell="B3" sqref="B3:K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2066</v>
      </c>
      <c r="B31" s="595">
        <v>42615</v>
      </c>
      <c r="C31" s="1734">
        <v>345000</v>
      </c>
      <c r="D31" s="1735">
        <v>3</v>
      </c>
      <c r="E31" s="1734">
        <v>160000</v>
      </c>
      <c r="F31" s="1734"/>
      <c r="G31" s="1734"/>
      <c r="H31" s="1734">
        <v>95000</v>
      </c>
      <c r="I31" s="1736">
        <f>((E31+F31)-H31)+G31</f>
        <v>65000</v>
      </c>
      <c r="J31" s="1734">
        <v>36950</v>
      </c>
      <c r="K31" s="596"/>
    </row>
    <row r="32" spans="1:11" ht="12" customHeight="1" x14ac:dyDescent="0.2">
      <c r="A32" s="594" t="s">
        <v>2067</v>
      </c>
      <c r="B32" s="595">
        <v>43908</v>
      </c>
      <c r="C32" s="1734">
        <v>300000</v>
      </c>
      <c r="D32" s="1735">
        <v>7</v>
      </c>
      <c r="E32" s="1734"/>
      <c r="F32" s="1734">
        <v>300000</v>
      </c>
      <c r="G32" s="1734"/>
      <c r="H32" s="1734"/>
      <c r="I32" s="1736">
        <f>((E32+F32)-H32)+G32</f>
        <v>300000</v>
      </c>
      <c r="J32" s="1734">
        <v>300000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645000</v>
      </c>
      <c r="D49" s="1742"/>
      <c r="E49" s="1736">
        <f t="shared" ref="E49:J49" si="2">SUM(E31:E48)</f>
        <v>160000</v>
      </c>
      <c r="F49" s="1736">
        <f t="shared" si="2"/>
        <v>300000</v>
      </c>
      <c r="G49" s="1736">
        <f t="shared" si="2"/>
        <v>0</v>
      </c>
      <c r="H49" s="1736">
        <f t="shared" si="2"/>
        <v>95000</v>
      </c>
      <c r="I49" s="1736">
        <f t="shared" si="2"/>
        <v>365000</v>
      </c>
      <c r="J49" s="1736">
        <f t="shared" si="2"/>
        <v>336950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t="s">
        <v>2068</v>
      </c>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B3" sqref="B3:K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1789</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c r="K3" s="1745"/>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c r="I5" s="1750"/>
      <c r="J5" s="1751"/>
      <c r="K5" s="1751"/>
    </row>
    <row r="6" spans="1:11" x14ac:dyDescent="0.2">
      <c r="A6" s="625" t="s">
        <v>715</v>
      </c>
      <c r="B6" s="626"/>
      <c r="C6" s="626"/>
      <c r="D6" s="626"/>
      <c r="E6" s="627"/>
      <c r="F6" s="628" t="s">
        <v>844</v>
      </c>
      <c r="G6" s="1744"/>
      <c r="H6" s="1744">
        <v>4272</v>
      </c>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1355</v>
      </c>
      <c r="K8" s="1748"/>
    </row>
    <row r="9" spans="1:11" x14ac:dyDescent="0.2">
      <c r="A9" s="629" t="s">
        <v>137</v>
      </c>
      <c r="B9" s="630"/>
      <c r="C9" s="630"/>
      <c r="D9" s="630"/>
      <c r="E9" s="631"/>
      <c r="F9" s="628" t="s">
        <v>848</v>
      </c>
      <c r="G9" s="1753"/>
      <c r="H9" s="1749"/>
      <c r="I9" s="1749"/>
      <c r="J9" s="1752"/>
      <c r="K9" s="1745"/>
    </row>
    <row r="10" spans="1:11" x14ac:dyDescent="0.2">
      <c r="A10" s="2349" t="s">
        <v>1790</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4272</v>
      </c>
      <c r="I12" s="1755">
        <f>SUM(I5:I11)</f>
        <v>0</v>
      </c>
      <c r="J12" s="1755">
        <f>SUM(J5:J11)</f>
        <v>1355</v>
      </c>
      <c r="K12" s="1755">
        <f>SUM(K5:K11)</f>
        <v>0</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v>4272</v>
      </c>
      <c r="I14" s="1749"/>
      <c r="J14" s="1751"/>
      <c r="K14" s="1745"/>
    </row>
    <row r="15" spans="1:11" x14ac:dyDescent="0.2">
      <c r="A15" s="2320" t="s">
        <v>4</v>
      </c>
      <c r="B15" s="2320"/>
      <c r="C15" s="2320"/>
      <c r="D15" s="2320"/>
      <c r="E15" s="2350"/>
      <c r="F15" s="635" t="s">
        <v>850</v>
      </c>
      <c r="G15" s="1749"/>
      <c r="H15" s="1744"/>
      <c r="I15" s="1744"/>
      <c r="J15" s="1745"/>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57" t="s">
        <v>1786</v>
      </c>
      <c r="B19" s="2357"/>
      <c r="C19" s="2357"/>
      <c r="D19" s="2357"/>
      <c r="E19" s="2358"/>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0</v>
      </c>
      <c r="K21" s="1761"/>
    </row>
    <row r="22" spans="1:15" ht="13.5" thickTop="1" x14ac:dyDescent="0.2">
      <c r="A22" s="2320" t="s">
        <v>1792</v>
      </c>
      <c r="B22" s="2320"/>
      <c r="C22" s="2320"/>
      <c r="D22" s="2320"/>
      <c r="E22" s="2350"/>
      <c r="F22" s="635" t="s">
        <v>857</v>
      </c>
      <c r="G22" s="1753"/>
      <c r="H22" s="1744"/>
      <c r="I22" s="1744"/>
      <c r="J22" s="1766">
        <v>1355</v>
      </c>
      <c r="K22" s="1745"/>
    </row>
    <row r="23" spans="1:15" ht="13.5" thickBot="1" x14ac:dyDescent="0.25">
      <c r="A23" s="2341" t="s">
        <v>900</v>
      </c>
      <c r="B23" s="2340"/>
      <c r="C23" s="2340"/>
      <c r="D23" s="2340"/>
      <c r="E23" s="2340"/>
      <c r="F23" s="1436"/>
      <c r="G23" s="1755">
        <f>SUM(G14:G16,G21,G22)</f>
        <v>0</v>
      </c>
      <c r="H23" s="1755">
        <f>SUM(H14:H16,H21,H22)</f>
        <v>4272</v>
      </c>
      <c r="I23" s="1755">
        <f>SUM(I14:I16,I21,I22)</f>
        <v>0</v>
      </c>
      <c r="J23" s="1755">
        <f>SUM(J14:J16,J21,J22)</f>
        <v>1355</v>
      </c>
      <c r="K23" s="1755">
        <f>SUM(K14:K16,K21,K22)</f>
        <v>0</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B3" sqref="B3:K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7000</v>
      </c>
      <c r="D5" s="1770"/>
      <c r="E5" s="1770"/>
      <c r="F5" s="1765">
        <f>(C5+D5)-E5</f>
        <v>7000</v>
      </c>
      <c r="G5" s="676"/>
      <c r="H5" s="680"/>
      <c r="I5" s="680"/>
      <c r="J5" s="680"/>
      <c r="K5" s="637"/>
      <c r="L5" s="1442">
        <f>F5-K5</f>
        <v>7000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3948516</v>
      </c>
      <c r="D8" s="1771"/>
      <c r="E8" s="1771"/>
      <c r="F8" s="1765">
        <f>(C8+D8)-E8</f>
        <v>3948516</v>
      </c>
      <c r="G8" s="681">
        <v>50</v>
      </c>
      <c r="H8" s="619">
        <v>1562186</v>
      </c>
      <c r="I8" s="619">
        <v>79586</v>
      </c>
      <c r="J8" s="619"/>
      <c r="K8" s="1442">
        <f>(H8+I8)-J8</f>
        <v>1641772</v>
      </c>
      <c r="L8" s="1442">
        <f>F8-K8</f>
        <v>2306744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248248</v>
      </c>
      <c r="D10" s="1772"/>
      <c r="E10" s="1772"/>
      <c r="F10" s="1773">
        <f>(C10+D10)-E10</f>
        <v>248248</v>
      </c>
      <c r="G10" s="681">
        <v>20</v>
      </c>
      <c r="H10" s="683">
        <v>229348</v>
      </c>
      <c r="I10" s="683">
        <v>9802</v>
      </c>
      <c r="J10" s="683"/>
      <c r="K10" s="1442">
        <f>(H10+I10)-J10</f>
        <v>239150</v>
      </c>
      <c r="L10" s="1442">
        <f>F10-K10</f>
        <v>9098</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611765</v>
      </c>
      <c r="D12" s="1771">
        <v>22386</v>
      </c>
      <c r="E12" s="1771"/>
      <c r="F12" s="1765">
        <f>(C12+D12)-E12</f>
        <v>634151</v>
      </c>
      <c r="G12" s="681">
        <v>10</v>
      </c>
      <c r="H12" s="619">
        <v>560053</v>
      </c>
      <c r="I12" s="619">
        <v>19145</v>
      </c>
      <c r="J12" s="619"/>
      <c r="K12" s="1442">
        <f>(H12+I12)-J12</f>
        <v>579198</v>
      </c>
      <c r="L12" s="1442">
        <f>F12-K12</f>
        <v>54953</v>
      </c>
    </row>
    <row r="13" spans="1:14" ht="14.25" thickTop="1" thickBot="1" x14ac:dyDescent="0.25">
      <c r="A13" s="684" t="s">
        <v>1112</v>
      </c>
      <c r="B13" s="679">
        <v>252</v>
      </c>
      <c r="C13" s="1771">
        <v>522797</v>
      </c>
      <c r="D13" s="1771">
        <v>82784</v>
      </c>
      <c r="E13" s="1771">
        <v>73213</v>
      </c>
      <c r="F13" s="1765">
        <f>(C13+D13)-E13</f>
        <v>532368</v>
      </c>
      <c r="G13" s="681">
        <v>5</v>
      </c>
      <c r="H13" s="619">
        <v>461496</v>
      </c>
      <c r="I13" s="619">
        <v>47411</v>
      </c>
      <c r="J13" s="619">
        <v>73213</v>
      </c>
      <c r="K13" s="1442">
        <f>(H13+I13)-J13</f>
        <v>435694</v>
      </c>
      <c r="L13" s="1442">
        <f>F13-K13</f>
        <v>96674</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5338326</v>
      </c>
      <c r="D16" s="1765">
        <f>SUM(D3,D5:D6,D8:D10,D12:D15)</f>
        <v>105170</v>
      </c>
      <c r="E16" s="1765">
        <f>SUM(E3,E5:E6,E8:E10,E12:E15)</f>
        <v>73213</v>
      </c>
      <c r="F16" s="1765">
        <f>SUM(F3,F5:F6,F8:F10,F12:F15)</f>
        <v>5370283</v>
      </c>
      <c r="G16" s="681"/>
      <c r="H16" s="1435">
        <f>SUM(H3,H6,H8:H10,H12:H14,)</f>
        <v>2813083</v>
      </c>
      <c r="I16" s="1435">
        <f>SUM(I3,I6,I8:I10,I12:I14,)</f>
        <v>155944</v>
      </c>
      <c r="J16" s="1435">
        <f>SUM(J3,J6,J8:J10,J12:J14,)</f>
        <v>73213</v>
      </c>
      <c r="K16" s="1435">
        <f>(H16+I16)-J16</f>
        <v>2895814</v>
      </c>
      <c r="L16" s="1435">
        <f>F16-K16</f>
        <v>2474469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155944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0" colorId="8" zoomScale="110" zoomScaleNormal="110" workbookViewId="0">
      <selection activeCell="B3" sqref="B3:K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1971200</v>
      </c>
      <c r="G8" s="701"/>
    </row>
    <row r="9" spans="1:9" x14ac:dyDescent="0.2">
      <c r="A9" s="705" t="s">
        <v>457</v>
      </c>
      <c r="B9" s="706" t="s">
        <v>1848</v>
      </c>
      <c r="C9" s="707"/>
      <c r="D9" s="705" t="s">
        <v>498</v>
      </c>
      <c r="E9" s="704"/>
      <c r="F9" s="1775">
        <f>'Expenditures 15-22'!K151</f>
        <v>54633</v>
      </c>
      <c r="G9" s="708"/>
    </row>
    <row r="10" spans="1:9" x14ac:dyDescent="0.2">
      <c r="A10" s="705" t="s">
        <v>496</v>
      </c>
      <c r="B10" s="706" t="s">
        <v>1849</v>
      </c>
      <c r="C10" s="707"/>
      <c r="D10" s="705" t="s">
        <v>498</v>
      </c>
      <c r="E10" s="704"/>
      <c r="F10" s="1775">
        <f>'Expenditures 15-22'!K174</f>
        <v>108377</v>
      </c>
      <c r="G10" s="708"/>
    </row>
    <row r="11" spans="1:9" x14ac:dyDescent="0.2">
      <c r="A11" s="705" t="s">
        <v>458</v>
      </c>
      <c r="B11" s="706" t="s">
        <v>1850</v>
      </c>
      <c r="C11" s="707"/>
      <c r="D11" s="705" t="s">
        <v>498</v>
      </c>
      <c r="E11" s="704"/>
      <c r="F11" s="1775">
        <f>'Expenditures 15-22'!K210</f>
        <v>224039</v>
      </c>
      <c r="G11" s="708"/>
    </row>
    <row r="12" spans="1:9" x14ac:dyDescent="0.2">
      <c r="A12" s="705" t="s">
        <v>459</v>
      </c>
      <c r="B12" s="706" t="s">
        <v>1851</v>
      </c>
      <c r="C12" s="707"/>
      <c r="D12" s="705" t="s">
        <v>498</v>
      </c>
      <c r="E12" s="704"/>
      <c r="F12" s="1775">
        <f>'Expenditures 15-22'!K295</f>
        <v>95458</v>
      </c>
      <c r="G12" s="708"/>
    </row>
    <row r="13" spans="1:9" x14ac:dyDescent="0.2">
      <c r="A13" s="705" t="s">
        <v>106</v>
      </c>
      <c r="B13" s="706" t="s">
        <v>1852</v>
      </c>
      <c r="C13" s="707"/>
      <c r="D13" s="705" t="s">
        <v>498</v>
      </c>
      <c r="E13" s="704"/>
      <c r="F13" s="1775">
        <f>'Expenditures 15-22'!K342</f>
        <v>80156</v>
      </c>
      <c r="G13" s="709"/>
    </row>
    <row r="14" spans="1:9" ht="12" customHeight="1" thickBot="1" x14ac:dyDescent="0.25">
      <c r="A14" s="1443"/>
      <c r="B14" s="1444"/>
      <c r="C14" s="1445"/>
      <c r="D14" s="1446" t="s">
        <v>498</v>
      </c>
      <c r="E14" s="1447" t="s">
        <v>952</v>
      </c>
      <c r="F14" s="1776">
        <f>SUM(F8:F13)</f>
        <v>2533863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78029</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30496</v>
      </c>
      <c r="G53" s="701"/>
    </row>
    <row r="54" spans="1:7" x14ac:dyDescent="0.2">
      <c r="A54" s="705" t="s">
        <v>456</v>
      </c>
      <c r="B54" s="705" t="s">
        <v>1459</v>
      </c>
      <c r="C54" s="724" t="s">
        <v>975</v>
      </c>
      <c r="D54" s="720" t="s">
        <v>1086</v>
      </c>
      <c r="E54" s="704"/>
      <c r="F54" s="1782">
        <f>'Expenditures 15-22'!G114</f>
        <v>12742</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9644</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95000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82784</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4855</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313550</v>
      </c>
      <c r="G77" s="701"/>
    </row>
    <row r="78" spans="1:9" s="728" customFormat="1" ht="12" customHeight="1" thickTop="1" thickBot="1" x14ac:dyDescent="0.25">
      <c r="A78" s="1450"/>
      <c r="B78" s="1448"/>
      <c r="C78" s="1445"/>
      <c r="D78" s="1449" t="s">
        <v>2012</v>
      </c>
      <c r="E78" s="1447"/>
      <c r="F78" s="1788">
        <f>(F14-F77)</f>
        <v>2220313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201.2</v>
      </c>
      <c r="G79" s="733"/>
      <c r="H79" s="705"/>
      <c r="I79" s="705"/>
    </row>
    <row r="80" spans="1:9" s="728" customFormat="1" ht="12" customHeight="1" thickBot="1" x14ac:dyDescent="0.25">
      <c r="A80" s="1452"/>
      <c r="B80" s="1448"/>
      <c r="C80" s="1445"/>
      <c r="D80" s="1449" t="s">
        <v>2013</v>
      </c>
      <c r="E80" s="1447" t="s">
        <v>952</v>
      </c>
      <c r="F80" s="1790">
        <f>IF(F79&gt;0,F78/F79," Complete Line 79")</f>
        <v>11035.352882703777</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13392</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2783</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59052</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864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148121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97411</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132749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-5823</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7220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4368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9731</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13466</v>
      </c>
      <c r="G171" s="760"/>
    </row>
    <row r="172" spans="1:7" x14ac:dyDescent="0.2">
      <c r="A172" s="1529" t="s">
        <v>5</v>
      </c>
      <c r="B172" s="1530" t="s">
        <v>1885</v>
      </c>
      <c r="C172" s="1531">
        <v>3100</v>
      </c>
      <c r="D172" s="1532" t="s">
        <v>1887</v>
      </c>
      <c r="E172" s="739"/>
      <c r="F172" s="1794">
        <v>77557</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561641</v>
      </c>
    </row>
    <row r="176" spans="1:7" ht="12" customHeight="1" x14ac:dyDescent="0.2">
      <c r="A176" s="1443"/>
      <c r="B176" s="1453"/>
      <c r="C176" s="1454"/>
      <c r="D176" s="1455" t="s">
        <v>2014</v>
      </c>
      <c r="E176" s="1456"/>
      <c r="F176" s="1793">
        <f>'PCTC-OEPP 27-28'!F78-F175</f>
        <v>1658672</v>
      </c>
    </row>
    <row r="177" spans="1:9" ht="12" customHeight="1" x14ac:dyDescent="0.2">
      <c r="A177" s="1443"/>
      <c r="B177" s="1453"/>
      <c r="C177" s="1454"/>
      <c r="D177" s="1455" t="s">
        <v>1794</v>
      </c>
      <c r="E177" s="1456"/>
      <c r="F177" s="1793">
        <f>'Cap Outlay Deprec 26'!I18</f>
        <v>155944</v>
      </c>
    </row>
    <row r="178" spans="1:9" ht="12" customHeight="1" x14ac:dyDescent="0.2">
      <c r="A178" s="1443"/>
      <c r="B178" s="1453"/>
      <c r="C178" s="1454"/>
      <c r="D178" s="1455" t="s">
        <v>2015</v>
      </c>
      <c r="E178" s="1456"/>
      <c r="F178" s="1793">
        <f>F176+F177</f>
        <v>1814616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201.2</v>
      </c>
      <c r="G179" s="763"/>
      <c r="I179" s="701"/>
    </row>
    <row r="180" spans="1:9" ht="12" customHeight="1" thickBot="1" x14ac:dyDescent="0.25">
      <c r="A180" s="1443"/>
      <c r="B180" s="1457"/>
      <c r="C180" s="1454"/>
      <c r="D180" s="1455" t="s">
        <v>2017</v>
      </c>
      <c r="E180" s="1456" t="s">
        <v>1528</v>
      </c>
      <c r="F180" s="1798">
        <f>F178/F179</f>
        <v>9018.9662027833001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election activeCell="A23" sqref="A23:XFD30"/>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2071</v>
      </c>
      <c r="B18" s="1908"/>
      <c r="C18" s="2036" t="s">
        <v>2071</v>
      </c>
      <c r="D18" s="2037"/>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B3" sqref="B3:K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1266462</v>
      </c>
      <c r="F19" s="1802"/>
      <c r="G19" s="1804">
        <f>'Expenditures 15-22'!K33-SUM('Expenditures 15-22'!G33,'Expenditures 15-22'!I33)+'Expenditures 15-22'!D229</f>
        <v>1266462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165756</v>
      </c>
      <c r="F21" s="1805"/>
      <c r="G21" s="1808">
        <f>'Expenditures 15-22'!K42-SUM('Expenditures 15-22'!G42,'Expenditures 15-22'!I42)+'Expenditures 15-22'!K120-SUM('Expenditures 15-22'!G120,'Expenditures 15-22'!I120)+'Expenditures 15-22'!K180-SUM('Expenditures 15-22'!G180,'Expenditures 15-22'!I180)+'Expenditures 15-22'!D238</f>
        <v>165756</v>
      </c>
      <c r="H21" s="817"/>
      <c r="I21" s="157"/>
    </row>
    <row r="22" spans="1:9" s="542" customFormat="1" ht="12" customHeight="1" x14ac:dyDescent="0.2">
      <c r="A22" s="824" t="s">
        <v>560</v>
      </c>
      <c r="B22" s="825"/>
      <c r="C22" s="823">
        <v>2200</v>
      </c>
      <c r="D22" s="1805"/>
      <c r="E22" s="1807">
        <f>'Expenditures 15-22'!K47-SUM('Expenditures 15-22'!G47,'Expenditures 15-22'!I47)+'Expenditures 15-22'!D243</f>
        <v>10665</v>
      </c>
      <c r="F22" s="1805"/>
      <c r="G22" s="1808">
        <f>'Expenditures 15-22'!K47-SUM('Expenditures 15-22'!G47,'Expenditures 15-22'!I47)+'Expenditures 15-22'!D243</f>
        <v>10665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195764</v>
      </c>
      <c r="F23" s="1805"/>
      <c r="G23" s="1807">
        <f>'Expenditures 15-22'!K53-SUM('Expenditures 15-22'!G53,'Expenditures 15-22'!I53)+'Expenditures 15-22'!D257+'Expenditures 15-22'!K330-SUM('Expenditures 15-22'!G330,'Expenditures 15-22'!I330)</f>
        <v>195764</v>
      </c>
      <c r="H23" s="817"/>
      <c r="I23" s="157"/>
    </row>
    <row r="24" spans="1:9" s="542" customFormat="1" ht="12" customHeight="1" x14ac:dyDescent="0.2">
      <c r="A24" s="824" t="s">
        <v>562</v>
      </c>
      <c r="B24" s="825"/>
      <c r="C24" s="823">
        <v>2400</v>
      </c>
      <c r="D24" s="1805"/>
      <c r="E24" s="1807">
        <f>'Expenditures 15-22'!K57-SUM('Expenditures 15-22'!G57,'Expenditures 15-22'!I57)+'Expenditures 15-22'!D261</f>
        <v>77631</v>
      </c>
      <c r="F24" s="1805"/>
      <c r="G24" s="1808">
        <f>'Expenditures 15-22'!K57-SUM('Expenditures 15-22'!G57,'Expenditures 15-22'!I57)+'Expenditures 15-22'!D261</f>
        <v>77631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64423</v>
      </c>
      <c r="E27" s="1807">
        <f>E8</f>
        <v>0</v>
      </c>
      <c r="F27" s="1807">
        <f>'Expenditures 15-22'!K60-SUM('Expenditures 15-22'!G60,'Expenditures 15-22'!I60)+'Expenditures 15-22'!D264-E8</f>
        <v>64423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199907</v>
      </c>
      <c r="F28" s="1809">
        <f>'Expenditures 15-22'!K61-SUM('Expenditures 15-22'!G61,'Expenditures 15-22'!I61)+'Expenditures 15-22'!K124-SUM('Expenditures 15-22'!G124,'Expenditures 15-22'!I124)+'Expenditures 15-22'!D266-E9</f>
        <v>199907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153567</v>
      </c>
      <c r="F29" s="1805"/>
      <c r="G29" s="1808">
        <f>'Expenditures 15-22'!K62-SUM('Expenditures 15-22'!G62,'Expenditures 15-22'!I62)+'Expenditures 15-22'!K125-SUM('Expenditures 15-22'!G125,'Expenditures 15-22'!I125)+'Expenditures 15-22'!K182-SUM('Expenditures 15-22'!G182,'Expenditures 15-22'!I182)+'Expenditures 15-22'!D267</f>
        <v>153567</v>
      </c>
      <c r="H29" s="815"/>
    </row>
    <row r="30" spans="1:9" ht="12" customHeight="1" x14ac:dyDescent="0.2">
      <c r="A30" s="824" t="s">
        <v>100</v>
      </c>
      <c r="B30" s="827"/>
      <c r="C30" s="823">
        <v>2560</v>
      </c>
      <c r="D30" s="1805"/>
      <c r="E30" s="1807">
        <f>'Expenditures 15-22'!K63-SUM('Expenditures 15-22'!G63,'Expenditures 15-22'!I63)+'Expenditures 15-22'!D268-E10</f>
        <v>106301</v>
      </c>
      <c r="F30" s="1805"/>
      <c r="G30" s="1807">
        <f>'Expenditures 15-22'!K63-SUM('Expenditures 15-22'!G63,'Expenditures 15-22'!I63)+'Expenditures 15-22'!D268-E10</f>
        <v>106301</v>
      </c>
    </row>
    <row r="31" spans="1:9" ht="12" customHeight="1" x14ac:dyDescent="0.2">
      <c r="A31" s="824" t="s">
        <v>101</v>
      </c>
      <c r="B31" s="827"/>
      <c r="C31" s="823">
        <v>2570</v>
      </c>
      <c r="D31" s="1807">
        <f>'Expenditures 15-22'!K64-SUM('Expenditures 15-22'!G64,'Expenditures 15-22'!I64)+'Expenditures 15-22'!D269-E12</f>
        <v>49344</v>
      </c>
      <c r="E31" s="1807">
        <f>E12</f>
        <v>0</v>
      </c>
      <c r="F31" s="1807">
        <f>'Expenditures 15-22'!K64-SUM('Expenditures 15-22'!G64,'Expenditures 15-22'!I64)+'Expenditures 15-22'!D269-E12</f>
        <v>49344</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113767</v>
      </c>
      <c r="E41" s="1809">
        <f>SUM(E19:E40)</f>
        <v>2176053</v>
      </c>
      <c r="F41" s="1809">
        <f>SUM(F19:F39)</f>
        <v>313674</v>
      </c>
      <c r="G41" s="1809">
        <f>SUM(G19:G40)</f>
        <v>1976146</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113767</v>
      </c>
      <c r="F43" s="1458" t="s">
        <v>470</v>
      </c>
      <c r="G43" s="1810">
        <f>F41</f>
        <v>313674</v>
      </c>
    </row>
    <row r="44" spans="1:7" ht="12" customHeight="1" x14ac:dyDescent="0.2">
      <c r="A44" s="817"/>
      <c r="B44" s="157"/>
      <c r="C44" s="831"/>
      <c r="D44" s="1458" t="s">
        <v>471</v>
      </c>
      <c r="E44" s="1810">
        <f>E41</f>
        <v>2176053</v>
      </c>
      <c r="F44" s="1458" t="s">
        <v>471</v>
      </c>
      <c r="G44" s="1810">
        <f>G41</f>
        <v>1976146</v>
      </c>
    </row>
    <row r="45" spans="1:7" ht="12" customHeight="1" x14ac:dyDescent="0.2">
      <c r="A45" s="817"/>
      <c r="B45" s="157"/>
      <c r="C45" s="157"/>
      <c r="D45" s="1459" t="s">
        <v>999</v>
      </c>
      <c r="E45" s="1811">
        <f>(E43/E44)</f>
        <v>5.2281355279489974E-2</v>
      </c>
      <c r="F45" s="1459" t="s">
        <v>999</v>
      </c>
      <c r="G45" s="1811">
        <f>(G43/G44)</f>
        <v>0.1587301747947773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B3" sqref="B3:K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 xml:space="preserve"> New Simpson Hill SD 32</v>
      </c>
      <c r="D6" s="2405"/>
      <c r="E6" s="2405"/>
      <c r="F6" s="1482"/>
      <c r="G6" s="1507"/>
      <c r="L6" s="1507"/>
      <c r="M6" s="1855"/>
      <c r="N6" s="1855"/>
      <c r="O6" s="1855"/>
    </row>
    <row r="7" spans="1:15" ht="11.25" customHeight="1" thickBot="1" x14ac:dyDescent="0.3">
      <c r="A7" s="1480"/>
      <c r="B7" s="1481"/>
      <c r="C7" s="2406">
        <f>COVER!A13</f>
        <v>21044032003</v>
      </c>
      <c r="D7" s="2406"/>
      <c r="E7" s="240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t="s">
        <v>2051</v>
      </c>
      <c r="F25" s="1497" t="s">
        <v>2069</v>
      </c>
      <c r="G25" s="1507"/>
      <c r="H25" s="1507">
        <f t="shared" si="0"/>
        <v>5</v>
      </c>
      <c r="I25" s="1507">
        <f t="shared" si="1"/>
        <v>5</v>
      </c>
      <c r="J25" s="1507">
        <f t="shared" si="2"/>
        <v>5</v>
      </c>
      <c r="L25" s="1507"/>
      <c r="M25" s="1855"/>
      <c r="N25" s="1855"/>
      <c r="O25" s="1855"/>
    </row>
    <row r="26" spans="1:15" ht="12" customHeight="1" x14ac:dyDescent="0.2">
      <c r="A26" s="1493" t="s">
        <v>1517</v>
      </c>
      <c r="B26" s="1494"/>
      <c r="C26" s="1495" t="s">
        <v>2051</v>
      </c>
      <c r="D26" s="1495" t="s">
        <v>2051</v>
      </c>
      <c r="E26" s="1498" t="s">
        <v>2051</v>
      </c>
      <c r="F26" s="1497" t="s">
        <v>2070</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8" zoomScaleNormal="100" workbookViewId="0">
      <selection activeCell="M73" sqref="M73"/>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1" t="str">
        <f>COVER!A17</f>
        <v xml:space="preserve"> New Simpson Hill SD 32</v>
      </c>
      <c r="K6" s="2421"/>
      <c r="L6" s="2422"/>
      <c r="M6" s="838"/>
      <c r="N6" s="1998"/>
    </row>
    <row r="7" spans="1:14" x14ac:dyDescent="0.2">
      <c r="A7" s="2423" t="s">
        <v>864</v>
      </c>
      <c r="B7" s="2424"/>
      <c r="C7" s="2424"/>
      <c r="D7" s="2424"/>
      <c r="E7" s="2425"/>
      <c r="F7" s="839"/>
      <c r="G7" s="838"/>
      <c r="H7" s="838"/>
      <c r="I7" s="1924" t="s">
        <v>369</v>
      </c>
      <c r="J7" s="2426">
        <f>COVER!A13</f>
        <v>21044032003</v>
      </c>
      <c r="K7" s="2426"/>
      <c r="L7" s="242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7" t="s">
        <v>478</v>
      </c>
      <c r="B11" s="2428"/>
      <c r="C11" s="2429"/>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107561</v>
      </c>
      <c r="F12" s="1942"/>
      <c r="G12" s="1968">
        <f>G68</f>
        <v>0</v>
      </c>
      <c r="H12" s="1944">
        <f t="shared" ref="H12:H18" si="0">SUM(E12:G12)</f>
        <v>107561</v>
      </c>
      <c r="I12" s="1943">
        <v>112939</v>
      </c>
      <c r="J12" s="1942"/>
      <c r="K12" s="1943"/>
      <c r="L12" s="1944">
        <f t="shared" ref="L12:L18" si="1">SUM(I12:K12)</f>
        <v>112939</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43591</v>
      </c>
      <c r="F16" s="1942"/>
      <c r="G16" s="1968">
        <f>K68</f>
        <v>0</v>
      </c>
      <c r="H16" s="1944">
        <f t="shared" si="0"/>
        <v>43591</v>
      </c>
      <c r="I16" s="1943">
        <v>45770</v>
      </c>
      <c r="J16" s="1942"/>
      <c r="K16" s="1943"/>
      <c r="L16" s="1944">
        <f t="shared" si="1"/>
        <v>45770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0" t="s">
        <v>7</v>
      </c>
      <c r="C18" s="2431"/>
      <c r="D18" s="2432"/>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151152</v>
      </c>
      <c r="F19" s="1950">
        <f t="shared" si="2"/>
        <v>0</v>
      </c>
      <c r="G19" s="1950">
        <f t="shared" ref="G19" si="3">SUM(G12:G17)-G18</f>
        <v>0</v>
      </c>
      <c r="H19" s="1950">
        <f t="shared" si="2"/>
        <v>151152</v>
      </c>
      <c r="I19" s="1950">
        <f t="shared" si="2"/>
        <v>158709</v>
      </c>
      <c r="J19" s="1950">
        <f t="shared" si="2"/>
        <v>0</v>
      </c>
      <c r="K19" s="1950">
        <f t="shared" si="2"/>
        <v>0</v>
      </c>
      <c r="L19" s="1950">
        <f t="shared" si="2"/>
        <v>158709</v>
      </c>
      <c r="M19" s="838"/>
      <c r="N19" s="1998"/>
    </row>
    <row r="20" spans="1:14" ht="13.5" thickTop="1" x14ac:dyDescent="0.2">
      <c r="A20" s="2003">
        <v>9</v>
      </c>
      <c r="B20" s="2433" t="s">
        <v>2021</v>
      </c>
      <c r="C20" s="2433"/>
      <c r="D20" s="2434"/>
      <c r="E20" s="1951"/>
      <c r="F20" s="1951"/>
      <c r="G20" s="1951"/>
      <c r="H20" s="1951"/>
      <c r="I20" s="1951"/>
      <c r="J20" s="1951"/>
      <c r="K20" s="1951"/>
      <c r="L20" s="1952">
        <f>IF(AND(H19&gt;0,L19&gt;0),(((L19-H19)/H19)),"Enter Budget Data")</f>
        <v>4.999603048586853E-2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5"/>
      <c r="D27" s="2435"/>
      <c r="E27" s="843"/>
      <c r="F27" s="2436"/>
      <c r="G27" s="2436"/>
      <c r="H27" s="2436"/>
      <c r="I27" s="838"/>
      <c r="J27" s="838"/>
      <c r="K27" s="838"/>
      <c r="L27" s="838"/>
      <c r="M27" s="838"/>
      <c r="N27" s="1998"/>
    </row>
    <row r="28" spans="1:14" x14ac:dyDescent="0.2">
      <c r="A28" s="1997"/>
      <c r="B28" s="2007"/>
      <c r="C28" s="1957" t="s">
        <v>1026</v>
      </c>
      <c r="D28" s="844"/>
      <c r="E28" s="1958"/>
      <c r="F28" s="2437" t="s">
        <v>1492</v>
      </c>
      <c r="G28" s="2437"/>
      <c r="H28" s="2437"/>
      <c r="I28" s="838"/>
      <c r="J28" s="838"/>
      <c r="K28" s="838"/>
      <c r="L28" s="838"/>
      <c r="M28" s="838"/>
      <c r="N28" s="1998"/>
    </row>
    <row r="29" spans="1:14" x14ac:dyDescent="0.2">
      <c r="A29" s="1997"/>
      <c r="B29" s="2007"/>
      <c r="C29" s="2438"/>
      <c r="D29" s="2438"/>
      <c r="E29" s="845"/>
      <c r="F29" s="2438"/>
      <c r="G29" s="2438"/>
      <c r="H29" s="2438"/>
      <c r="I29" s="838"/>
      <c r="J29" s="838"/>
      <c r="K29" s="838"/>
      <c r="L29" s="838"/>
      <c r="M29" s="838"/>
      <c r="N29" s="1998"/>
    </row>
    <row r="30" spans="1:14" x14ac:dyDescent="0.2">
      <c r="A30" s="1997"/>
      <c r="B30" s="2007"/>
      <c r="C30" s="1960" t="s">
        <v>1544</v>
      </c>
      <c r="D30" s="838"/>
      <c r="E30" s="1959"/>
      <c r="F30" s="2420" t="s">
        <v>1493</v>
      </c>
      <c r="G30" s="2420"/>
      <c r="H30" s="242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1" t="s">
        <v>2024</v>
      </c>
      <c r="D34" s="2442"/>
      <c r="E34" s="2442"/>
      <c r="F34" s="2442"/>
      <c r="G34" s="2442"/>
      <c r="H34" s="2442"/>
      <c r="I34" s="2442"/>
      <c r="J34" s="2442"/>
      <c r="K34" s="2016"/>
      <c r="L34" s="838"/>
      <c r="M34" s="838"/>
      <c r="N34" s="1998"/>
    </row>
    <row r="35" spans="1:14" x14ac:dyDescent="0.2">
      <c r="A35" s="1997"/>
      <c r="B35" s="838"/>
      <c r="C35" s="2442"/>
      <c r="D35" s="2442"/>
      <c r="E35" s="2442"/>
      <c r="F35" s="2442"/>
      <c r="G35" s="2442"/>
      <c r="H35" s="2442"/>
      <c r="I35" s="2442"/>
      <c r="J35" s="2442"/>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1" t="s">
        <v>2025</v>
      </c>
      <c r="D37" s="2442"/>
      <c r="E37" s="2442"/>
      <c r="F37" s="2442"/>
      <c r="G37" s="2442"/>
      <c r="H37" s="2442"/>
      <c r="I37" s="2442"/>
      <c r="J37" s="2442"/>
      <c r="K37" s="2016"/>
      <c r="L37" s="2018"/>
      <c r="M37" s="838"/>
      <c r="N37" s="1998"/>
    </row>
    <row r="38" spans="1:14" x14ac:dyDescent="0.2">
      <c r="A38" s="1997"/>
      <c r="B38" s="838"/>
      <c r="C38" s="2442"/>
      <c r="D38" s="2442"/>
      <c r="E38" s="2442"/>
      <c r="F38" s="2442"/>
      <c r="G38" s="2442"/>
      <c r="H38" s="2442"/>
      <c r="I38" s="2442"/>
      <c r="J38" s="2442"/>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3" t="s">
        <v>2026</v>
      </c>
      <c r="D40" s="2444"/>
      <c r="E40" s="2444"/>
      <c r="F40" s="2444"/>
      <c r="G40" s="2444"/>
      <c r="H40" s="2444"/>
      <c r="I40" s="2444"/>
      <c r="J40" s="2444"/>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5" t="s">
        <v>2027</v>
      </c>
      <c r="B43" s="2446"/>
      <c r="C43" s="2446"/>
      <c r="D43" s="2446"/>
      <c r="E43" s="2446"/>
      <c r="F43" s="2446"/>
      <c r="G43" s="2446"/>
      <c r="H43" s="2446"/>
      <c r="I43" s="2446"/>
      <c r="J43" s="2446"/>
      <c r="K43" s="2446"/>
      <c r="L43" s="2446"/>
      <c r="M43" s="2446"/>
      <c r="N43" s="2447"/>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8" t="s">
        <v>2029</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1" t="str">
        <f>J6</f>
        <v xml:space="preserve"> New Simpson Hill SD 32</v>
      </c>
      <c r="M52" s="2421"/>
      <c r="N52" s="2451"/>
    </row>
    <row r="53" spans="1:14" x14ac:dyDescent="0.2">
      <c r="A53" s="1982"/>
      <c r="B53" s="1983"/>
      <c r="C53" s="1983"/>
      <c r="D53" s="1983"/>
      <c r="E53" s="1983"/>
      <c r="F53" s="1983"/>
      <c r="G53" s="1983"/>
      <c r="H53" s="1983"/>
      <c r="I53" s="1983"/>
      <c r="J53" s="1983"/>
      <c r="K53" s="1924" t="s">
        <v>369</v>
      </c>
      <c r="L53" s="2426">
        <f>J7</f>
        <v>21044032003</v>
      </c>
      <c r="M53" s="2426"/>
      <c r="N53" s="245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3"/>
      <c r="B55" s="2454"/>
      <c r="C55" s="2454"/>
      <c r="D55" s="1970"/>
      <c r="E55" s="1970"/>
      <c r="F55" s="1970"/>
      <c r="G55" s="2455" t="s">
        <v>2030</v>
      </c>
      <c r="H55" s="2455"/>
      <c r="I55" s="2455"/>
      <c r="J55" s="2455"/>
      <c r="K55" s="2455"/>
      <c r="L55" s="2455"/>
      <c r="M55" s="2455"/>
      <c r="N55" s="2456"/>
    </row>
    <row r="56" spans="1:14" ht="63.75" x14ac:dyDescent="0.2">
      <c r="A56" s="2457" t="s">
        <v>2031</v>
      </c>
      <c r="B56" s="2458"/>
      <c r="C56" s="2459"/>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0" t="s">
        <v>296</v>
      </c>
      <c r="B57" s="2461"/>
      <c r="C57" s="246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9" t="s">
        <v>2041</v>
      </c>
      <c r="B58" s="2440"/>
      <c r="C58" s="2440"/>
      <c r="D58" s="1967">
        <v>2362</v>
      </c>
      <c r="E58" s="1977">
        <f>'Expenditures 15-22'!K320</f>
        <v>10032</v>
      </c>
      <c r="F58" s="1972"/>
      <c r="G58" s="2031"/>
      <c r="H58" s="2032"/>
      <c r="I58" s="2032"/>
      <c r="J58" s="2032"/>
      <c r="K58" s="2032"/>
      <c r="L58" s="2032"/>
      <c r="M58" s="2032">
        <v>10032</v>
      </c>
      <c r="N58" s="1975">
        <f>IF((SUM(G58:M58))=E58,SUM(G58:M58),"Column N does not agree with Column E")</f>
        <v>10032</v>
      </c>
    </row>
    <row r="59" spans="1:14" ht="24.75" customHeight="1" x14ac:dyDescent="0.2">
      <c r="A59" s="2462" t="s">
        <v>297</v>
      </c>
      <c r="B59" s="2463"/>
      <c r="C59" s="2463"/>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2" t="s">
        <v>236</v>
      </c>
      <c r="B60" s="2463"/>
      <c r="C60" s="2463"/>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2" t="s">
        <v>697</v>
      </c>
      <c r="B61" s="2463"/>
      <c r="C61" s="2463"/>
      <c r="D61" s="1967">
        <v>2365</v>
      </c>
      <c r="E61" s="1977">
        <f>'Expenditures 15-22'!K323</f>
        <v>40000</v>
      </c>
      <c r="F61" s="1972"/>
      <c r="G61" s="2031"/>
      <c r="H61" s="2032"/>
      <c r="I61" s="2032"/>
      <c r="J61" s="2032"/>
      <c r="K61" s="2032"/>
      <c r="L61" s="2032"/>
      <c r="M61" s="2032">
        <v>40000</v>
      </c>
      <c r="N61" s="1975">
        <f t="shared" si="4"/>
        <v>40000</v>
      </c>
    </row>
    <row r="62" spans="1:14" ht="24" customHeight="1" x14ac:dyDescent="0.2">
      <c r="A62" s="2462" t="s">
        <v>237</v>
      </c>
      <c r="B62" s="2463"/>
      <c r="C62" s="2463"/>
      <c r="D62" s="1967">
        <v>2366</v>
      </c>
      <c r="E62" s="1977">
        <f>'Expenditures 15-22'!K324</f>
        <v>0</v>
      </c>
      <c r="F62" s="1972"/>
      <c r="G62" s="2031"/>
      <c r="H62" s="2032"/>
      <c r="I62" s="2032"/>
      <c r="J62" s="2032"/>
      <c r="K62" s="2032"/>
      <c r="L62" s="2032"/>
      <c r="M62" s="2032"/>
      <c r="N62" s="1975">
        <f t="shared" si="4"/>
        <v>0</v>
      </c>
    </row>
    <row r="63" spans="1:14" ht="24" customHeight="1" x14ac:dyDescent="0.2">
      <c r="A63" s="2439" t="s">
        <v>1022</v>
      </c>
      <c r="B63" s="2440"/>
      <c r="C63" s="2440"/>
      <c r="D63" s="1967">
        <v>2367</v>
      </c>
      <c r="E63" s="1977">
        <f>'Expenditures 15-22'!K325</f>
        <v>0</v>
      </c>
      <c r="F63" s="1972"/>
      <c r="G63" s="2031"/>
      <c r="H63" s="2032"/>
      <c r="I63" s="2032"/>
      <c r="J63" s="2032"/>
      <c r="K63" s="2032"/>
      <c r="L63" s="2032"/>
      <c r="M63" s="2032"/>
      <c r="N63" s="1975">
        <f t="shared" si="4"/>
        <v>0</v>
      </c>
    </row>
    <row r="64" spans="1:14" ht="24" customHeight="1" x14ac:dyDescent="0.2">
      <c r="A64" s="2462" t="s">
        <v>1023</v>
      </c>
      <c r="B64" s="2463"/>
      <c r="C64" s="2463"/>
      <c r="D64" s="1967">
        <v>2368</v>
      </c>
      <c r="E64" s="1977">
        <f>'Expenditures 15-22'!K326</f>
        <v>0</v>
      </c>
      <c r="F64" s="1972"/>
      <c r="G64" s="2031"/>
      <c r="H64" s="2032"/>
      <c r="I64" s="2032"/>
      <c r="J64" s="2032"/>
      <c r="K64" s="2032"/>
      <c r="L64" s="2032"/>
      <c r="M64" s="2032"/>
      <c r="N64" s="1975">
        <f t="shared" si="4"/>
        <v>0</v>
      </c>
    </row>
    <row r="65" spans="1:14" ht="24" customHeight="1" x14ac:dyDescent="0.2">
      <c r="A65" s="2462" t="s">
        <v>965</v>
      </c>
      <c r="B65" s="2463"/>
      <c r="C65" s="2463"/>
      <c r="D65" s="1967">
        <v>2369</v>
      </c>
      <c r="E65" s="1977">
        <f>'Expenditures 15-22'!K327</f>
        <v>2066</v>
      </c>
      <c r="F65" s="1972"/>
      <c r="G65" s="2031"/>
      <c r="H65" s="2032"/>
      <c r="I65" s="2032"/>
      <c r="J65" s="2032"/>
      <c r="K65" s="2032"/>
      <c r="L65" s="2032"/>
      <c r="M65" s="2032">
        <v>2066</v>
      </c>
      <c r="N65" s="1975">
        <f t="shared" si="4"/>
        <v>2066</v>
      </c>
    </row>
    <row r="66" spans="1:14" ht="24" customHeight="1" x14ac:dyDescent="0.2">
      <c r="A66" s="2462" t="s">
        <v>469</v>
      </c>
      <c r="B66" s="2463"/>
      <c r="C66" s="2463"/>
      <c r="D66" s="1967">
        <v>2371</v>
      </c>
      <c r="E66" s="1977">
        <f>'Expenditures 15-22'!K328</f>
        <v>28058</v>
      </c>
      <c r="F66" s="1972"/>
      <c r="G66" s="2031"/>
      <c r="H66" s="2032"/>
      <c r="I66" s="2032"/>
      <c r="J66" s="2032"/>
      <c r="K66" s="2032"/>
      <c r="L66" s="2032"/>
      <c r="M66" s="2032">
        <v>28058</v>
      </c>
      <c r="N66" s="1975">
        <f t="shared" si="4"/>
        <v>28058</v>
      </c>
    </row>
    <row r="67" spans="1:14" ht="24.75" customHeight="1" x14ac:dyDescent="0.2">
      <c r="A67" s="2464" t="s">
        <v>2042</v>
      </c>
      <c r="B67" s="2465"/>
      <c r="C67" s="2465"/>
      <c r="D67" s="1969">
        <v>2372</v>
      </c>
      <c r="E67" s="1978">
        <f>'Expenditures 15-22'!K329</f>
        <v>0</v>
      </c>
      <c r="F67" s="1972"/>
      <c r="G67" s="2033"/>
      <c r="H67" s="2034"/>
      <c r="I67" s="2034"/>
      <c r="J67" s="2034"/>
      <c r="K67" s="2034"/>
      <c r="L67" s="2034"/>
      <c r="M67" s="2034"/>
      <c r="N67" s="1975">
        <f t="shared" si="4"/>
        <v>0</v>
      </c>
    </row>
    <row r="68" spans="1:14" x14ac:dyDescent="0.2">
      <c r="A68" s="2466" t="s">
        <v>1151</v>
      </c>
      <c r="B68" s="2467"/>
      <c r="C68" s="2467"/>
      <c r="D68" s="1970"/>
      <c r="E68" s="1974">
        <f>SUM(E57:E67)</f>
        <v>80156</v>
      </c>
      <c r="F68" s="1973"/>
      <c r="G68" s="1974">
        <f t="shared" ref="G68:N68" si="5">SUM(G57:G67)</f>
        <v>0</v>
      </c>
      <c r="H68" s="1974">
        <f t="shared" si="5"/>
        <v>0</v>
      </c>
      <c r="I68" s="1974">
        <f t="shared" si="5"/>
        <v>0</v>
      </c>
      <c r="J68" s="1974">
        <f t="shared" si="5"/>
        <v>0</v>
      </c>
      <c r="K68" s="1974">
        <f t="shared" si="5"/>
        <v>0</v>
      </c>
      <c r="L68" s="1974">
        <f t="shared" si="5"/>
        <v>0</v>
      </c>
      <c r="M68" s="1974">
        <f t="shared" si="5"/>
        <v>80156</v>
      </c>
      <c r="N68" s="1988">
        <f t="shared" si="5"/>
        <v>80156</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3" sqref="B3:K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2072</v>
      </c>
    </row>
    <row r="6" spans="1:2" x14ac:dyDescent="0.2">
      <c r="A6" s="847">
        <v>2</v>
      </c>
      <c r="B6" s="307" t="s">
        <v>2073</v>
      </c>
    </row>
    <row r="7" spans="1:2" x14ac:dyDescent="0.2">
      <c r="A7" s="847">
        <v>3</v>
      </c>
      <c r="B7" s="307" t="s">
        <v>2074</v>
      </c>
    </row>
    <row r="8" spans="1:2" x14ac:dyDescent="0.2">
      <c r="A8" s="847">
        <v>4</v>
      </c>
      <c r="B8" s="307" t="s">
        <v>2075</v>
      </c>
    </row>
    <row r="9" spans="1:2" x14ac:dyDescent="0.2">
      <c r="A9" s="848">
        <v>5</v>
      </c>
      <c r="B9" s="307" t="s">
        <v>2076</v>
      </c>
    </row>
    <row r="10" spans="1:2" x14ac:dyDescent="0.2">
      <c r="A10" s="848">
        <v>6</v>
      </c>
      <c r="B10" s="307" t="s">
        <v>2077</v>
      </c>
    </row>
    <row r="11" spans="1:2" x14ac:dyDescent="0.2">
      <c r="A11" s="848">
        <v>7</v>
      </c>
      <c r="B11" s="307" t="s">
        <v>2078</v>
      </c>
    </row>
    <row r="12" spans="1:2" x14ac:dyDescent="0.2">
      <c r="A12" s="848">
        <v>8</v>
      </c>
      <c r="B12" s="307" t="s">
        <v>2079</v>
      </c>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New Simpson Hill SD 32</v>
      </c>
    </row>
    <row r="65" spans="2:2" x14ac:dyDescent="0.2">
      <c r="B65" s="849">
        <f>COVER!A13</f>
        <v>21044032003</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3" sqref="B3:K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Footer>&amp;R
B - 1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1976078</v>
      </c>
      <c r="C8" s="1813">
        <f>'Acct Summary 7-8'!D8</f>
        <v>110352</v>
      </c>
      <c r="D8" s="1813">
        <f>'Acct Summary 7-8'!F8</f>
        <v>174390</v>
      </c>
      <c r="E8" s="1813">
        <f>'Acct Summary 7-8'!I8</f>
        <v>11647</v>
      </c>
      <c r="F8" s="1813">
        <f>SUM(B8:E8)</f>
        <v>2272467</v>
      </c>
    </row>
    <row r="9" spans="1:8" s="858" customFormat="1" ht="14.25" customHeight="1" thickBot="1" x14ac:dyDescent="0.25">
      <c r="A9" s="857" t="s">
        <v>1353</v>
      </c>
      <c r="B9" s="1814">
        <f>'Acct Summary 7-8'!C17</f>
        <v>1971200</v>
      </c>
      <c r="C9" s="1814">
        <f>'Acct Summary 7-8'!D17</f>
        <v>54633</v>
      </c>
      <c r="D9" s="1814">
        <f>'Acct Summary 7-8'!F17</f>
        <v>224039</v>
      </c>
      <c r="E9" s="1813"/>
      <c r="F9" s="1813">
        <f>SUM(B9:E9)</f>
        <v>2249872</v>
      </c>
    </row>
    <row r="10" spans="1:8" s="858" customFormat="1" ht="14.25" thickTop="1" thickBot="1" x14ac:dyDescent="0.25">
      <c r="A10" s="859" t="s">
        <v>1354</v>
      </c>
      <c r="B10" s="1815">
        <f>(B8-B9)</f>
        <v>4878</v>
      </c>
      <c r="C10" s="1815">
        <f>(C8-C9)</f>
        <v>55719</v>
      </c>
      <c r="D10" s="1815">
        <f>(D8-D9)</f>
        <v>-49649</v>
      </c>
      <c r="E10" s="1814">
        <f>(E8-E9)</f>
        <v>11647</v>
      </c>
      <c r="F10" s="1816">
        <f>SUM(F8-F9)</f>
        <v>22595</v>
      </c>
    </row>
    <row r="11" spans="1:8" s="858" customFormat="1" ht="14.25" thickTop="1" thickBot="1" x14ac:dyDescent="0.25">
      <c r="A11" s="860" t="s">
        <v>1903</v>
      </c>
      <c r="B11" s="1817">
        <f>'Acct Summary 7-8'!C81</f>
        <v>163904</v>
      </c>
      <c r="C11" s="1817">
        <f>'Acct Summary 7-8'!D81</f>
        <v>252106</v>
      </c>
      <c r="D11" s="1817">
        <f>'Acct Summary 7-8'!F81</f>
        <v>206080</v>
      </c>
      <c r="E11" s="1817">
        <f>'Acct Summary 7-8'!I81</f>
        <v>560659</v>
      </c>
      <c r="F11" s="1818">
        <f>SUM(B11:E11)</f>
        <v>1182749</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8"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21044032003</v>
      </c>
      <c r="E2" s="1542">
        <v>2020</v>
      </c>
      <c r="F2" s="1542">
        <v>1</v>
      </c>
      <c r="G2" s="1899">
        <v>101000300</v>
      </c>
    </row>
    <row r="3" spans="1:7" ht="15" x14ac:dyDescent="0.25">
      <c r="A3" t="s">
        <v>950</v>
      </c>
      <c r="B3" s="135" t="str">
        <f>COVER!A15</f>
        <v>Johnson</v>
      </c>
      <c r="E3" s="1830" t="s">
        <v>1971</v>
      </c>
      <c r="F3" s="1830" t="s">
        <v>1970</v>
      </c>
      <c r="G3" s="1899">
        <v>101000400</v>
      </c>
    </row>
    <row r="4" spans="1:7" ht="15" x14ac:dyDescent="0.25">
      <c r="A4" t="s">
        <v>1000</v>
      </c>
      <c r="B4" s="135" t="str">
        <f>COVER!A17</f>
        <v xml:space="preserve"> New Simpson Hill SD 32</v>
      </c>
      <c r="E4" s="1828">
        <v>44119</v>
      </c>
      <c r="F4" s="1829">
        <v>44151</v>
      </c>
      <c r="G4" s="1899">
        <v>101000600</v>
      </c>
    </row>
    <row r="5" spans="1:7" ht="15" x14ac:dyDescent="0.25">
      <c r="A5" t="s">
        <v>699</v>
      </c>
      <c r="B5" s="135" t="str">
        <f>COVER!A38</f>
        <v>Joe Nighswander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f>IF(COVER!J30="x","Yes",IF(COVER!L30="x","No",0))</f>
        <v>0</v>
      </c>
      <c r="G13" s="1899">
        <v>202100800</v>
      </c>
    </row>
    <row r="14" spans="1:7" ht="15" x14ac:dyDescent="0.25">
      <c r="A14" t="s">
        <v>473</v>
      </c>
      <c r="B14" s="135">
        <f>IF(COVER!J31="x","Yes",IF(COVER!L31="x","No",0))</f>
        <v>0</v>
      </c>
      <c r="G14" s="1899">
        <v>402100300</v>
      </c>
    </row>
    <row r="15" spans="1:7" ht="15" x14ac:dyDescent="0.25">
      <c r="A15" t="s">
        <v>573</v>
      </c>
      <c r="B15" s="135" t="str">
        <f>COVER!T23</f>
        <v>065-022629</v>
      </c>
      <c r="G15" s="1899">
        <v>402100400</v>
      </c>
    </row>
    <row r="16" spans="1:7" ht="15" x14ac:dyDescent="0.25">
      <c r="A16" t="s">
        <v>419</v>
      </c>
      <c r="B16" s="135" t="str">
        <f>COVER!T13</f>
        <v>Cindy A. Bobell, CPA</v>
      </c>
      <c r="G16" s="1899">
        <v>402100600</v>
      </c>
    </row>
    <row r="17" spans="1:7" ht="15" x14ac:dyDescent="0.25">
      <c r="A17" t="s">
        <v>878</v>
      </c>
      <c r="B17" s="135" t="str">
        <f>COVER!T15</f>
        <v>Cindy A. Bobell, CPA</v>
      </c>
      <c r="G17" s="1899">
        <v>402100800</v>
      </c>
    </row>
    <row r="18" spans="1:7" ht="15" x14ac:dyDescent="0.25">
      <c r="A18" t="s">
        <v>1140</v>
      </c>
      <c r="B18" s="135" t="str">
        <f>COVER!T17</f>
        <v>10653 Khoury League Road</v>
      </c>
      <c r="G18" s="1899">
        <v>102200300</v>
      </c>
    </row>
    <row r="19" spans="1:7" ht="15" x14ac:dyDescent="0.25">
      <c r="A19" t="s">
        <v>880</v>
      </c>
      <c r="B19" s="135" t="str">
        <f>COVER!T25</f>
        <v>cabcpa@frontier.com</v>
      </c>
      <c r="G19" s="1899">
        <v>102200400</v>
      </c>
    </row>
    <row r="20" spans="1:7" ht="15" x14ac:dyDescent="0.25">
      <c r="A20" t="s">
        <v>881</v>
      </c>
      <c r="B20" s="135" t="str">
        <f>COVER!T19</f>
        <v>Marion</v>
      </c>
      <c r="G20" s="1899">
        <v>102200600</v>
      </c>
    </row>
    <row r="21" spans="1:7" ht="15" x14ac:dyDescent="0.25">
      <c r="A21" t="s">
        <v>476</v>
      </c>
      <c r="B21" s="135" t="str">
        <f>COVER!X19</f>
        <v>Illinois</v>
      </c>
      <c r="G21" s="1899">
        <v>102200800</v>
      </c>
    </row>
    <row r="22" spans="1:7" ht="15" x14ac:dyDescent="0.25">
      <c r="A22" t="s">
        <v>882</v>
      </c>
      <c r="B22" s="135">
        <f>COVER!Z19</f>
        <v>62959</v>
      </c>
      <c r="G22" s="1899">
        <v>102300300</v>
      </c>
    </row>
    <row r="23" spans="1:7" ht="15" x14ac:dyDescent="0.25">
      <c r="A23" t="s">
        <v>1142</v>
      </c>
      <c r="B23" s="135" t="str">
        <f>COVER!T21</f>
        <v>618-997-9711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163904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163904</v>
      </c>
      <c r="D92" s="2" t="str">
        <f t="shared" si="0"/>
        <v>Error?</v>
      </c>
      <c r="G92" s="1899">
        <v>102640600</v>
      </c>
    </row>
    <row r="93" spans="1:7" ht="15" x14ac:dyDescent="0.25">
      <c r="A93" s="5">
        <v>32</v>
      </c>
      <c r="B93" s="1832">
        <f>'Assets-Liab 5-6'!C41</f>
        <v>163904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252106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202106</v>
      </c>
      <c r="D123" s="2" t="str">
        <f t="shared" si="0"/>
        <v>Error?</v>
      </c>
      <c r="G123" s="1899">
        <v>203000400</v>
      </c>
    </row>
    <row r="124" spans="1:7" ht="15" x14ac:dyDescent="0.25">
      <c r="A124" s="5">
        <v>63</v>
      </c>
      <c r="B124" s="1832">
        <f>'Assets-Liab 5-6'!D41</f>
        <v>252106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28050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28050</v>
      </c>
      <c r="D140" s="2" t="str">
        <f t="shared" si="1"/>
        <v>Error?</v>
      </c>
    </row>
    <row r="141" spans="1:7" x14ac:dyDescent="0.2">
      <c r="A141" s="5">
        <v>80</v>
      </c>
      <c r="B141" s="1832">
        <f>'Assets-Liab 5-6'!E41</f>
        <v>28050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206080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206080</v>
      </c>
      <c r="D170" s="2" t="str">
        <f t="shared" si="1"/>
        <v>Error?</v>
      </c>
    </row>
    <row r="171" spans="1:4" x14ac:dyDescent="0.2">
      <c r="A171" s="5">
        <v>110</v>
      </c>
      <c r="B171" s="1832">
        <f>'Assets-Liab 5-6'!F41</f>
        <v>206080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114024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114024</v>
      </c>
      <c r="D189" s="2" t="str">
        <f t="shared" si="1"/>
        <v>Error?</v>
      </c>
    </row>
    <row r="190" spans="1:4" x14ac:dyDescent="0.2">
      <c r="A190" s="5">
        <v>129</v>
      </c>
      <c r="B190" s="1832">
        <f>'Assets-Liab 5-6'!G41</f>
        <v>114024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7000</v>
      </c>
      <c r="D273" s="2" t="str">
        <f t="shared" si="3"/>
        <v>Error?</v>
      </c>
    </row>
    <row r="274" spans="1:4" x14ac:dyDescent="0.2">
      <c r="A274" s="5">
        <v>213</v>
      </c>
      <c r="B274" s="1832">
        <f>'Assets-Liab 5-6'!M17</f>
        <v>4196764</v>
      </c>
      <c r="D274" s="2" t="str">
        <f t="shared" si="3"/>
        <v>Error?</v>
      </c>
    </row>
    <row r="275" spans="1:4" x14ac:dyDescent="0.2">
      <c r="A275" s="5">
        <v>214</v>
      </c>
      <c r="B275" s="1832">
        <f>'Assets-Liab 5-6'!M18</f>
        <v>0</v>
      </c>
      <c r="D275" s="2" t="str">
        <f t="shared" si="3"/>
        <v>Error?</v>
      </c>
    </row>
    <row r="276" spans="1:4" x14ac:dyDescent="0.2">
      <c r="A276" s="5">
        <v>215</v>
      </c>
      <c r="B276" s="1832">
        <f>'Assets-Liab 5-6'!M19</f>
        <v>1166519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5370283</v>
      </c>
      <c r="C279" s="2" t="s">
        <v>569</v>
      </c>
      <c r="D279" s="2" t="str">
        <f t="shared" si="3"/>
        <v>Error?</v>
      </c>
    </row>
    <row r="280" spans="1:4" x14ac:dyDescent="0.2">
      <c r="A280" s="5">
        <v>219</v>
      </c>
      <c r="B280" s="1832">
        <f>'Assets-Liab 5-6'!M40</f>
        <v>5370283</v>
      </c>
      <c r="D280" s="2" t="str">
        <f t="shared" si="3"/>
        <v>Error?</v>
      </c>
    </row>
    <row r="281" spans="1:4" x14ac:dyDescent="0.2">
      <c r="A281" s="5">
        <v>220</v>
      </c>
      <c r="B281" s="1832">
        <f>'Assets-Liab 5-6'!M41</f>
        <v>5370283</v>
      </c>
      <c r="C281" s="2" t="s">
        <v>569</v>
      </c>
      <c r="D281" s="2" t="str">
        <f t="shared" si="3"/>
        <v>Error?</v>
      </c>
    </row>
    <row r="282" spans="1:4" x14ac:dyDescent="0.2">
      <c r="A282" s="5">
        <v>221</v>
      </c>
      <c r="B282" s="1832">
        <f>'Assets-Liab 5-6'!N21</f>
        <v>28050</v>
      </c>
      <c r="D282" s="2" t="str">
        <f t="shared" si="3"/>
        <v>Error?</v>
      </c>
    </row>
    <row r="283" spans="1:4" x14ac:dyDescent="0.2">
      <c r="A283" s="5">
        <v>222</v>
      </c>
      <c r="B283" s="1832">
        <f>'Assets-Liab 5-6'!N22</f>
        <v>336950</v>
      </c>
      <c r="D283" s="2" t="str">
        <f t="shared" si="3"/>
        <v>Error?</v>
      </c>
    </row>
    <row r="284" spans="1:4" x14ac:dyDescent="0.2">
      <c r="A284" s="5">
        <v>223</v>
      </c>
      <c r="B284" s="1832">
        <f>'Assets-Liab 5-6'!N23</f>
        <v>365000</v>
      </c>
      <c r="C284" s="2" t="s">
        <v>569</v>
      </c>
      <c r="D284" s="2" t="str">
        <f t="shared" si="3"/>
        <v>Error?</v>
      </c>
    </row>
    <row r="285" spans="1:4" x14ac:dyDescent="0.2">
      <c r="A285" s="5">
        <v>224</v>
      </c>
      <c r="B285" s="1832">
        <f>'Assets-Liab 5-6'!N36</f>
        <v>365000</v>
      </c>
      <c r="D285" s="2" t="str">
        <f t="shared" si="3"/>
        <v>Error?</v>
      </c>
    </row>
    <row r="286" spans="1:4" x14ac:dyDescent="0.2">
      <c r="A286" s="10">
        <v>225</v>
      </c>
      <c r="B286" s="1832"/>
      <c r="D286" s="2" t="str">
        <f t="shared" si="3"/>
        <v>OK</v>
      </c>
    </row>
    <row r="287" spans="1:4" x14ac:dyDescent="0.2">
      <c r="A287" s="5">
        <v>226</v>
      </c>
      <c r="B287" s="1832">
        <f>'Assets-Liab 5-6'!N37</f>
        <v>365000</v>
      </c>
      <c r="C287" s="2" t="s">
        <v>569</v>
      </c>
      <c r="D287" s="2" t="str">
        <f t="shared" si="3"/>
        <v>Error?</v>
      </c>
    </row>
    <row r="288" spans="1:4" x14ac:dyDescent="0.2">
      <c r="A288" s="5">
        <v>227</v>
      </c>
      <c r="B288" s="1832">
        <f>'Assets-Liab 5-6'!N41</f>
        <v>365000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8939</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300000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605896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70110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886946</v>
      </c>
      <c r="C720" s="2" t="s">
        <v>569</v>
      </c>
      <c r="D720" s="2" t="str">
        <f t="shared" si="10"/>
        <v>Error?</v>
      </c>
    </row>
    <row r="721" spans="1:4" x14ac:dyDescent="0.2">
      <c r="A721" s="5">
        <v>660</v>
      </c>
      <c r="B721" s="1832">
        <f>'Expenditures 15-22'!C36</f>
        <v>48455</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19875</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58955</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127285</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86248</v>
      </c>
      <c r="D733" s="2" t="str">
        <f t="shared" si="10"/>
        <v>Error?</v>
      </c>
    </row>
    <row r="734" spans="1:4" x14ac:dyDescent="0.2">
      <c r="A734" s="5">
        <v>673</v>
      </c>
      <c r="B734" s="1832">
        <f>'Expenditures 15-22'!C53</f>
        <v>86248</v>
      </c>
      <c r="C734" s="2" t="s">
        <v>569</v>
      </c>
      <c r="D734" s="2" t="str">
        <f t="shared" si="10"/>
        <v>Error?</v>
      </c>
    </row>
    <row r="735" spans="1:4" x14ac:dyDescent="0.2">
      <c r="A735" s="5">
        <v>674</v>
      </c>
      <c r="B735" s="1832">
        <f>'Expenditures 15-22'!C55</f>
        <v>60350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60350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34550</v>
      </c>
      <c r="D739" s="2" t="str">
        <f t="shared" si="10"/>
        <v>Error?</v>
      </c>
    </row>
    <row r="740" spans="1:4" x14ac:dyDescent="0.2">
      <c r="A740" s="5">
        <v>679</v>
      </c>
      <c r="B740" s="1832">
        <f>'Expenditures 15-22'!C61</f>
        <v>55098</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47740</v>
      </c>
      <c r="D742" s="2" t="str">
        <f t="shared" si="10"/>
        <v>Error?</v>
      </c>
    </row>
    <row r="743" spans="1:4" x14ac:dyDescent="0.2">
      <c r="A743" s="5">
        <v>682</v>
      </c>
      <c r="B743" s="1832">
        <f>'Expenditures 15-22'!C64</f>
        <v>28100</v>
      </c>
      <c r="D743" s="2" t="str">
        <f t="shared" si="10"/>
        <v>Error?</v>
      </c>
    </row>
    <row r="744" spans="1:4" x14ac:dyDescent="0.2">
      <c r="A744" s="10">
        <v>683</v>
      </c>
      <c r="B744" s="1832"/>
      <c r="D744" s="2" t="str">
        <f t="shared" si="10"/>
        <v>OK</v>
      </c>
    </row>
    <row r="745" spans="1:4" x14ac:dyDescent="0.2">
      <c r="A745" s="5">
        <v>684</v>
      </c>
      <c r="B745" s="1832">
        <f>'Expenditures 15-22'!C65</f>
        <v>165488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439371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1326317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141571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14863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227209</v>
      </c>
      <c r="C778" s="2" t="s">
        <v>569</v>
      </c>
      <c r="D778" s="2" t="str">
        <f t="shared" si="11"/>
        <v>Error?</v>
      </c>
    </row>
    <row r="779" spans="1:4" x14ac:dyDescent="0.2">
      <c r="A779" s="5">
        <v>718</v>
      </c>
      <c r="B779" s="1832">
        <f>'Expenditures 15-22'!D36</f>
        <v>13716</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7465</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8487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29668</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18717</v>
      </c>
      <c r="D791" s="2" t="str">
        <f t="shared" si="11"/>
        <v>Error?</v>
      </c>
    </row>
    <row r="792" spans="1:4" x14ac:dyDescent="0.2">
      <c r="A792" s="5">
        <v>731</v>
      </c>
      <c r="B792" s="1832">
        <f>'Expenditures 15-22'!D53</f>
        <v>18717</v>
      </c>
      <c r="C792" s="2" t="s">
        <v>569</v>
      </c>
      <c r="D792" s="2" t="str">
        <f t="shared" si="11"/>
        <v>Error?</v>
      </c>
    </row>
    <row r="793" spans="1:4" x14ac:dyDescent="0.2">
      <c r="A793" s="5">
        <v>732</v>
      </c>
      <c r="B793" s="1832">
        <f>'Expenditures 15-22'!D55</f>
        <v>15251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15251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7465</v>
      </c>
      <c r="D797" s="2" t="str">
        <f t="shared" si="11"/>
        <v>Error?</v>
      </c>
    </row>
    <row r="798" spans="1:4" x14ac:dyDescent="0.2">
      <c r="A798" s="5">
        <v>737</v>
      </c>
      <c r="B798" s="1832">
        <f>'Expenditures 15-22'!D61</f>
        <v>14930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15233</v>
      </c>
      <c r="D800" s="2" t="str">
        <f t="shared" si="11"/>
        <v>Error?</v>
      </c>
    </row>
    <row r="801" spans="1:4" x14ac:dyDescent="0.2">
      <c r="A801" s="5">
        <v>740</v>
      </c>
      <c r="B801" s="1832">
        <f>'Expenditures 15-22'!D64</f>
        <v>11796</v>
      </c>
      <c r="D801" s="2" t="str">
        <f t="shared" si="11"/>
        <v>Error?</v>
      </c>
    </row>
    <row r="802" spans="1:4" x14ac:dyDescent="0.2">
      <c r="A802" s="10">
        <v>741</v>
      </c>
      <c r="B802" s="1832"/>
      <c r="D802" s="2" t="str">
        <f t="shared" si="11"/>
        <v>OK</v>
      </c>
    </row>
    <row r="803" spans="1:4" x14ac:dyDescent="0.2">
      <c r="A803" s="5">
        <v>742</v>
      </c>
      <c r="B803" s="1832">
        <f>'Expenditures 15-22'!D65</f>
        <v>49424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113060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340269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8153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755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32973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2994</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2994</v>
      </c>
      <c r="C843" s="2" t="s">
        <v>569</v>
      </c>
      <c r="D843" s="2" t="str">
        <f t="shared" si="12"/>
        <v>Error?</v>
      </c>
    </row>
    <row r="844" spans="1:4" x14ac:dyDescent="0.2">
      <c r="A844" s="5">
        <v>783</v>
      </c>
      <c r="B844" s="1832">
        <f>'Expenditures 15-22'!E44</f>
        <v>10151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10151</v>
      </c>
      <c r="C847" s="2" t="s">
        <v>569</v>
      </c>
      <c r="D847" s="2" t="str">
        <f t="shared" si="12"/>
        <v>Error?</v>
      </c>
    </row>
    <row r="848" spans="1:4" x14ac:dyDescent="0.2">
      <c r="A848" s="5">
        <v>787</v>
      </c>
      <c r="B848" s="1832">
        <f>'Expenditures 15-22'!E49</f>
        <v>3535</v>
      </c>
      <c r="D848" s="2" t="str">
        <f t="shared" si="12"/>
        <v>Error?</v>
      </c>
    </row>
    <row r="849" spans="1:4" x14ac:dyDescent="0.2">
      <c r="A849" s="5">
        <v>788</v>
      </c>
      <c r="B849" s="1832">
        <f>'Expenditures 15-22'!E50</f>
        <v>807</v>
      </c>
      <c r="D849" s="2" t="str">
        <f t="shared" si="12"/>
        <v>Error?</v>
      </c>
    </row>
    <row r="850" spans="1:4" x14ac:dyDescent="0.2">
      <c r="A850" s="5">
        <v>789</v>
      </c>
      <c r="B850" s="1832">
        <f>'Expenditures 15-22'!E53</f>
        <v>4342</v>
      </c>
      <c r="C850" s="2" t="s">
        <v>569</v>
      </c>
      <c r="D850" s="2" t="str">
        <f t="shared" si="12"/>
        <v>Error?</v>
      </c>
    </row>
    <row r="851" spans="1:4" x14ac:dyDescent="0.2">
      <c r="A851" s="5">
        <v>790</v>
      </c>
      <c r="B851" s="1832">
        <f>'Expenditures 15-22'!E55</f>
        <v>760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760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15316</v>
      </c>
      <c r="D855" s="2" t="str">
        <f t="shared" si="12"/>
        <v>Error?</v>
      </c>
    </row>
    <row r="856" spans="1:4" x14ac:dyDescent="0.2">
      <c r="A856" s="5">
        <v>795</v>
      </c>
      <c r="B856" s="1832">
        <f>'Expenditures 15-22'!E61</f>
        <v>3981</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19297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37544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101013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5762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1955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77662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143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143</v>
      </c>
      <c r="C901" s="2" t="s">
        <v>569</v>
      </c>
      <c r="D901" s="2" t="str">
        <f t="shared" si="13"/>
        <v>Error?</v>
      </c>
    </row>
    <row r="902" spans="1:4" x14ac:dyDescent="0.2">
      <c r="A902" s="5">
        <v>841</v>
      </c>
      <c r="B902" s="1832">
        <f>'Expenditures 15-22'!F44</f>
        <v>514</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514</v>
      </c>
      <c r="C905" s="2" t="s">
        <v>569</v>
      </c>
      <c r="D905" s="2" t="str">
        <f t="shared" si="13"/>
        <v>Error?</v>
      </c>
    </row>
    <row r="906" spans="1:4" x14ac:dyDescent="0.2">
      <c r="A906" s="5">
        <v>845</v>
      </c>
      <c r="B906" s="1832">
        <f>'Expenditures 15-22'!F49</f>
        <v>1230</v>
      </c>
      <c r="D906" s="2" t="str">
        <f t="shared" si="13"/>
        <v>Error?</v>
      </c>
    </row>
    <row r="907" spans="1:4" x14ac:dyDescent="0.2">
      <c r="A907" s="5">
        <v>846</v>
      </c>
      <c r="B907" s="1832">
        <f>'Expenditures 15-22'!F50</f>
        <v>1689</v>
      </c>
      <c r="D907" s="2" t="str">
        <f t="shared" si="13"/>
        <v>Error?</v>
      </c>
    </row>
    <row r="908" spans="1:4" x14ac:dyDescent="0.2">
      <c r="A908" s="5">
        <v>847</v>
      </c>
      <c r="B908" s="1832">
        <f>'Expenditures 15-22'!F53</f>
        <v>2919</v>
      </c>
      <c r="C908" s="2" t="s">
        <v>569</v>
      </c>
      <c r="D908" s="2" t="str">
        <f t="shared" si="13"/>
        <v>Error?</v>
      </c>
    </row>
    <row r="909" spans="1:4" x14ac:dyDescent="0.2">
      <c r="A909" s="5">
        <v>848</v>
      </c>
      <c r="B909" s="1832">
        <f>'Expenditures 15-22'!F55</f>
        <v>105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105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87</v>
      </c>
      <c r="D913" s="2" t="str">
        <f t="shared" si="13"/>
        <v>Error?</v>
      </c>
    </row>
    <row r="914" spans="1:4" x14ac:dyDescent="0.2">
      <c r="A914" s="5">
        <v>853</v>
      </c>
      <c r="B914" s="1832">
        <f>'Expenditures 15-22'!F61</f>
        <v>69854</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33459</v>
      </c>
      <c r="D916" s="2" t="str">
        <f t="shared" si="13"/>
        <v>Error?</v>
      </c>
    </row>
    <row r="917" spans="1:4" x14ac:dyDescent="0.2">
      <c r="A917" s="5">
        <v>856</v>
      </c>
      <c r="B917" s="1832">
        <f>'Expenditures 15-22'!F64</f>
        <v>3695</v>
      </c>
      <c r="D917" s="2" t="str">
        <f t="shared" si="13"/>
        <v>Error?</v>
      </c>
    </row>
    <row r="918" spans="1:4" x14ac:dyDescent="0.2">
      <c r="A918" s="10">
        <v>857</v>
      </c>
      <c r="B918" s="1832"/>
      <c r="D918" s="2" t="str">
        <f t="shared" si="13"/>
        <v>OK</v>
      </c>
    </row>
    <row r="919" spans="1:4" x14ac:dyDescent="0.2">
      <c r="A919" s="5">
        <v>858</v>
      </c>
      <c r="B919" s="1832">
        <f>'Expenditures 15-22'!F65</f>
        <v>107095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110776</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188438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12742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12742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2031</v>
      </c>
      <c r="D1022" s="2" t="str">
        <f t="shared" si="14"/>
        <v>Error?</v>
      </c>
    </row>
    <row r="1023" spans="1:4" x14ac:dyDescent="0.2">
      <c r="A1023" s="5">
        <v>962</v>
      </c>
      <c r="B1023" s="1832">
        <f>'Expenditures 15-22'!H50</f>
        <v>100</v>
      </c>
      <c r="D1023" s="2" t="str">
        <f t="shared" ref="D1023:D1086" si="15">IF(ISBLANK(B1023),"OK",IF(A1023-B1023=0,"OK","Error?"))</f>
        <v>Error?</v>
      </c>
    </row>
    <row r="1024" spans="1:4" x14ac:dyDescent="0.2">
      <c r="A1024" s="5">
        <v>963</v>
      </c>
      <c r="B1024" s="1832">
        <f>'Expenditures 15-22'!H53</f>
        <v>2131</v>
      </c>
      <c r="C1024" s="2" t="s">
        <v>569</v>
      </c>
      <c r="D1024" s="2" t="str">
        <f t="shared" si="15"/>
        <v>Error?</v>
      </c>
    </row>
    <row r="1025" spans="1:4" x14ac:dyDescent="0.2">
      <c r="A1025" s="5">
        <v>964</v>
      </c>
      <c r="B1025" s="1832">
        <f>'Expenditures 15-22'!H55</f>
        <v>290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290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2421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2421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761382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87683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1237532</v>
      </c>
      <c r="C1108" s="2" t="s">
        <v>569</v>
      </c>
      <c r="D1108" s="2" t="str">
        <f t="shared" si="16"/>
        <v>Error?</v>
      </c>
    </row>
    <row r="1109" spans="1:4" x14ac:dyDescent="0.2">
      <c r="A1109" s="5">
        <v>1048</v>
      </c>
      <c r="B1109" s="1832">
        <f>'Expenditures 15-22'!K36</f>
        <v>62171</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30477</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67442</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160090</v>
      </c>
      <c r="C1115" s="2" t="s">
        <v>569</v>
      </c>
      <c r="D1115" s="2" t="str">
        <f t="shared" si="16"/>
        <v>Error?</v>
      </c>
    </row>
    <row r="1116" spans="1:4" x14ac:dyDescent="0.2">
      <c r="A1116" s="5">
        <v>1055</v>
      </c>
      <c r="B1116" s="1832">
        <f>'Expenditures 15-22'!K44</f>
        <v>10665</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10665</v>
      </c>
      <c r="C1119" s="2" t="s">
        <v>569</v>
      </c>
      <c r="D1119" s="2" t="str">
        <f t="shared" si="16"/>
        <v>Error?</v>
      </c>
    </row>
    <row r="1120" spans="1:4" x14ac:dyDescent="0.2">
      <c r="A1120" s="5">
        <v>1059</v>
      </c>
      <c r="B1120" s="1832">
        <f>'Expenditures 15-22'!K49</f>
        <v>6796</v>
      </c>
      <c r="C1120" s="2" t="s">
        <v>569</v>
      </c>
      <c r="D1120" s="2" t="str">
        <f t="shared" si="16"/>
        <v>Error?</v>
      </c>
    </row>
    <row r="1121" spans="1:4" x14ac:dyDescent="0.2">
      <c r="A1121" s="5">
        <v>1060</v>
      </c>
      <c r="B1121" s="1832">
        <f>'Expenditures 15-22'!K50</f>
        <v>107561</v>
      </c>
      <c r="C1121" s="2" t="s">
        <v>569</v>
      </c>
      <c r="D1121" s="2" t="str">
        <f t="shared" si="16"/>
        <v>Error?</v>
      </c>
    </row>
    <row r="1122" spans="1:4" x14ac:dyDescent="0.2">
      <c r="A1122" s="5">
        <v>1061</v>
      </c>
      <c r="B1122" s="1832">
        <f>'Expenditures 15-22'!K53</f>
        <v>114357</v>
      </c>
      <c r="C1122" s="2" t="s">
        <v>569</v>
      </c>
      <c r="D1122" s="2" t="str">
        <f t="shared" si="16"/>
        <v>Error?</v>
      </c>
    </row>
    <row r="1123" spans="1:4" x14ac:dyDescent="0.2">
      <c r="A1123" s="5">
        <v>1062</v>
      </c>
      <c r="B1123" s="1832">
        <f>'Expenditures 15-22'!K55</f>
        <v>76756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76756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57418</v>
      </c>
      <c r="C1127" s="2" t="s">
        <v>569</v>
      </c>
      <c r="D1127" s="2" t="str">
        <f t="shared" si="16"/>
        <v>Error?</v>
      </c>
    </row>
    <row r="1128" spans="1:4" x14ac:dyDescent="0.2">
      <c r="A1128" s="5">
        <v>1067</v>
      </c>
      <c r="B1128" s="1832">
        <f>'Expenditures 15-22'!K61</f>
        <v>143863</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96432</v>
      </c>
      <c r="C1130" s="2" t="s">
        <v>569</v>
      </c>
      <c r="D1130" s="2" t="str">
        <f t="shared" si="16"/>
        <v>Error?</v>
      </c>
    </row>
    <row r="1131" spans="1:4" x14ac:dyDescent="0.2">
      <c r="A1131" s="5">
        <v>1070</v>
      </c>
      <c r="B1131" s="1832">
        <f>'Expenditures 15-22'!K64</f>
        <v>43591</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341304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703172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30496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1971200</v>
      </c>
      <c r="C1152" s="2" t="s">
        <v>569</v>
      </c>
      <c r="D1152" s="2" t="str">
        <f t="shared" si="17"/>
        <v>Error?</v>
      </c>
    </row>
    <row r="1153" spans="1:4" x14ac:dyDescent="0.2">
      <c r="A1153" s="5">
        <v>1092</v>
      </c>
      <c r="B1153" s="1832">
        <f>'Expenditures 15-22'!K115</f>
        <v>4878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28687</v>
      </c>
      <c r="D1237" s="2" t="str">
        <f t="shared" si="18"/>
        <v>Error?</v>
      </c>
    </row>
    <row r="1238" spans="1:4" x14ac:dyDescent="0.2">
      <c r="A1238" s="10">
        <v>1177</v>
      </c>
      <c r="B1238" s="1832"/>
      <c r="D1238" s="2" t="str">
        <f t="shared" si="18"/>
        <v>OK</v>
      </c>
    </row>
    <row r="1239" spans="1:4" x14ac:dyDescent="0.2">
      <c r="A1239" s="5">
        <v>1178</v>
      </c>
      <c r="B1239" s="1832">
        <f>'Expenditures 15-22'!E127</f>
        <v>28687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28687</v>
      </c>
      <c r="C1241" s="2" t="s">
        <v>569</v>
      </c>
      <c r="D1241" s="2" t="str">
        <f t="shared" si="18"/>
        <v>Error?</v>
      </c>
    </row>
    <row r="1242" spans="1:4" x14ac:dyDescent="0.2">
      <c r="A1242" s="5">
        <v>1181</v>
      </c>
      <c r="B1242" s="1832">
        <f>'Expenditures 15-22'!E151</f>
        <v>28687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16302</v>
      </c>
      <c r="D1245" s="2" t="str">
        <f t="shared" si="18"/>
        <v>Error?</v>
      </c>
    </row>
    <row r="1246" spans="1:4" x14ac:dyDescent="0.2">
      <c r="A1246" s="10">
        <v>1185</v>
      </c>
      <c r="B1246" s="1832"/>
      <c r="D1246" s="2" t="str">
        <f t="shared" si="18"/>
        <v>OK</v>
      </c>
    </row>
    <row r="1247" spans="1:4" x14ac:dyDescent="0.2">
      <c r="A1247" s="5">
        <v>1186</v>
      </c>
      <c r="B1247" s="1832">
        <f>'Expenditures 15-22'!F127</f>
        <v>16302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16302</v>
      </c>
      <c r="C1249" s="2" t="s">
        <v>569</v>
      </c>
      <c r="D1249" s="2" t="str">
        <f t="shared" si="18"/>
        <v>Error?</v>
      </c>
    </row>
    <row r="1250" spans="1:4" x14ac:dyDescent="0.2">
      <c r="A1250" s="5">
        <v>1189</v>
      </c>
      <c r="B1250" s="1832">
        <f>'Expenditures 15-22'!F151</f>
        <v>16302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9644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9644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9644</v>
      </c>
      <c r="C1258" s="2" t="s">
        <v>569</v>
      </c>
      <c r="D1258" s="2" t="str">
        <f t="shared" si="18"/>
        <v>Error?</v>
      </c>
    </row>
    <row r="1259" spans="1:4" x14ac:dyDescent="0.2">
      <c r="A1259" s="5">
        <v>1198</v>
      </c>
      <c r="B1259" s="1832">
        <f>'Expenditures 15-22'!G151</f>
        <v>9644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54633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54633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54633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54633</v>
      </c>
      <c r="C1288" s="2" t="s">
        <v>569</v>
      </c>
      <c r="D1288" s="2" t="str">
        <f t="shared" si="19"/>
        <v>Error?</v>
      </c>
    </row>
    <row r="1289" spans="1:4" x14ac:dyDescent="0.2">
      <c r="A1289" s="5">
        <v>1228</v>
      </c>
      <c r="B1289" s="1832">
        <f>'Expenditures 15-22'!K152</f>
        <v>55719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9439</v>
      </c>
      <c r="D1307" s="2" t="str">
        <f t="shared" si="19"/>
        <v>Error?</v>
      </c>
    </row>
    <row r="1308" spans="1:4" x14ac:dyDescent="0.2">
      <c r="A1308" s="5">
        <v>1247</v>
      </c>
      <c r="B1308" s="1832">
        <f>'Expenditures 15-22'!E172</f>
        <v>9439</v>
      </c>
      <c r="C1308" s="2" t="s">
        <v>569</v>
      </c>
      <c r="D1308" s="2" t="str">
        <f t="shared" si="19"/>
        <v>Error?</v>
      </c>
    </row>
    <row r="1309" spans="1:4" x14ac:dyDescent="0.2">
      <c r="A1309" s="5">
        <v>1248</v>
      </c>
      <c r="B1309" s="1832">
        <f>'Expenditures 15-22'!E174</f>
        <v>9439</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3938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95000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98938</v>
      </c>
      <c r="C1317" s="2" t="s">
        <v>569</v>
      </c>
      <c r="D1317" s="2" t="str">
        <f t="shared" si="19"/>
        <v>Error?</v>
      </c>
    </row>
    <row r="1318" spans="1:4" x14ac:dyDescent="0.2">
      <c r="A1318" s="5">
        <v>1257</v>
      </c>
      <c r="B1318" s="1832">
        <f>'Expenditures 15-22'!H174</f>
        <v>98938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3938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95000</v>
      </c>
      <c r="C1329" s="2" t="s">
        <v>569</v>
      </c>
      <c r="D1329" s="2" t="str">
        <f t="shared" si="19"/>
        <v>Error?</v>
      </c>
    </row>
    <row r="1330" spans="1:4" x14ac:dyDescent="0.2">
      <c r="A1330" s="5">
        <v>1269</v>
      </c>
      <c r="B1330" s="1832">
        <f>'Expenditures 15-22'!K171</f>
        <v>9439</v>
      </c>
      <c r="C1330" s="2" t="s">
        <v>569</v>
      </c>
      <c r="D1330" s="2" t="str">
        <f t="shared" si="19"/>
        <v>Error?</v>
      </c>
    </row>
    <row r="1331" spans="1:4" x14ac:dyDescent="0.2">
      <c r="A1331" s="5">
        <v>1270</v>
      </c>
      <c r="B1331" s="1832">
        <f>'Expenditures 15-22'!K172</f>
        <v>108377</v>
      </c>
      <c r="C1331" s="2" t="s">
        <v>569</v>
      </c>
      <c r="D1331" s="2" t="str">
        <f t="shared" si="19"/>
        <v>Error?</v>
      </c>
    </row>
    <row r="1332" spans="1:4" x14ac:dyDescent="0.2">
      <c r="A1332" s="5">
        <v>1271</v>
      </c>
      <c r="B1332" s="1832">
        <f>'Expenditures 15-22'!K174</f>
        <v>108377</v>
      </c>
      <c r="C1332" s="2" t="s">
        <v>569</v>
      </c>
      <c r="D1332" s="2" t="str">
        <f t="shared" si="19"/>
        <v>Error?</v>
      </c>
    </row>
    <row r="1333" spans="1:4" x14ac:dyDescent="0.2">
      <c r="A1333" s="5">
        <v>1272</v>
      </c>
      <c r="B1333" s="1832">
        <f>'Expenditures 15-22'!K175</f>
        <v>-7378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76746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76746</v>
      </c>
      <c r="C1339" s="2" t="s">
        <v>569</v>
      </c>
      <c r="D1339" s="2" t="str">
        <f t="shared" si="19"/>
        <v>Error?</v>
      </c>
    </row>
    <row r="1340" spans="1:4" x14ac:dyDescent="0.2">
      <c r="A1340" s="5">
        <v>1279</v>
      </c>
      <c r="B1340" s="1832">
        <f>'Expenditures 15-22'!C210</f>
        <v>76746</v>
      </c>
      <c r="C1340" s="2" t="s">
        <v>569</v>
      </c>
      <c r="D1340" s="2" t="str">
        <f t="shared" si="19"/>
        <v>Error?</v>
      </c>
    </row>
    <row r="1341" spans="1:4" x14ac:dyDescent="0.2">
      <c r="A1341" s="5">
        <v>1280</v>
      </c>
      <c r="B1341" s="1832">
        <f>'Expenditures 15-22'!D182</f>
        <v>23067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23067</v>
      </c>
      <c r="C1345" s="2" t="s">
        <v>569</v>
      </c>
      <c r="D1345" s="2" t="str">
        <f t="shared" si="20"/>
        <v>Error?</v>
      </c>
    </row>
    <row r="1346" spans="1:4" x14ac:dyDescent="0.2">
      <c r="A1346" s="5">
        <v>1285</v>
      </c>
      <c r="B1346" s="1832">
        <f>'Expenditures 15-22'!D210</f>
        <v>23067</v>
      </c>
      <c r="C1346" s="2" t="s">
        <v>569</v>
      </c>
      <c r="D1346" s="2" t="str">
        <f t="shared" si="20"/>
        <v>Error?</v>
      </c>
    </row>
    <row r="1347" spans="1:4" x14ac:dyDescent="0.2">
      <c r="A1347" s="5">
        <v>1286</v>
      </c>
      <c r="B1347" s="1832">
        <f>'Expenditures 15-22'!E182</f>
        <v>13096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13096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13096</v>
      </c>
      <c r="C1353" s="2" t="s">
        <v>569</v>
      </c>
      <c r="D1353" s="2" t="str">
        <f t="shared" si="20"/>
        <v>Error?</v>
      </c>
    </row>
    <row r="1354" spans="1:4" x14ac:dyDescent="0.2">
      <c r="A1354" s="5">
        <v>1293</v>
      </c>
      <c r="B1354" s="1832">
        <f>'Expenditures 15-22'!F182</f>
        <v>28346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28346</v>
      </c>
      <c r="C1358" s="2" t="s">
        <v>569</v>
      </c>
      <c r="D1358" s="2" t="str">
        <f t="shared" si="20"/>
        <v>Error?</v>
      </c>
    </row>
    <row r="1359" spans="1:4" x14ac:dyDescent="0.2">
      <c r="A1359" s="5">
        <v>1298</v>
      </c>
      <c r="B1359" s="1832">
        <f>'Expenditures 15-22'!F210</f>
        <v>28346</v>
      </c>
      <c r="C1359" s="2" t="s">
        <v>569</v>
      </c>
      <c r="D1359" s="2" t="str">
        <f t="shared" si="20"/>
        <v>Error?</v>
      </c>
    </row>
    <row r="1360" spans="1:4" x14ac:dyDescent="0.2">
      <c r="A1360" s="5">
        <v>1299</v>
      </c>
      <c r="B1360" s="1832">
        <f>'Expenditures 15-22'!G182</f>
        <v>82784</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82784</v>
      </c>
      <c r="C1364" s="2" t="s">
        <v>569</v>
      </c>
      <c r="D1364" s="2" t="str">
        <f t="shared" si="20"/>
        <v>Error?</v>
      </c>
    </row>
    <row r="1365" spans="1:4" x14ac:dyDescent="0.2">
      <c r="A1365" s="5">
        <v>1304</v>
      </c>
      <c r="B1365" s="1832">
        <f>'Expenditures 15-22'!G210</f>
        <v>82784</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224039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224039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224039</v>
      </c>
      <c r="C1388" s="2" t="s">
        <v>569</v>
      </c>
      <c r="D1388" s="2" t="str">
        <f t="shared" si="20"/>
        <v>Error?</v>
      </c>
    </row>
    <row r="1389" spans="1:4" x14ac:dyDescent="0.2">
      <c r="A1389" s="5">
        <v>1328</v>
      </c>
      <c r="B1389" s="1832">
        <f>'Expenditures 15-22'!K211</f>
        <v>-49649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2066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41672</v>
      </c>
      <c r="C1410" s="2" t="s">
        <v>569</v>
      </c>
      <c r="D1410" s="2" t="str">
        <f t="shared" si="21"/>
        <v>Error?</v>
      </c>
    </row>
    <row r="1411" spans="1:4" x14ac:dyDescent="0.2">
      <c r="A1411" s="5">
        <v>1350</v>
      </c>
      <c r="B1411" s="1832">
        <f>'Expenditures 15-22'!D232</f>
        <v>703</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4108</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855</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5666</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1251</v>
      </c>
      <c r="D1423" s="2" t="str">
        <f t="shared" si="21"/>
        <v>Error?</v>
      </c>
    </row>
    <row r="1424" spans="1:4" x14ac:dyDescent="0.2">
      <c r="A1424" s="5">
        <v>1363</v>
      </c>
      <c r="B1424" s="1832">
        <f>'Expenditures 15-22'!D257</f>
        <v>1251</v>
      </c>
      <c r="C1424" s="2" t="s">
        <v>569</v>
      </c>
      <c r="D1424" s="2" t="str">
        <f t="shared" si="21"/>
        <v>Error?</v>
      </c>
    </row>
    <row r="1425" spans="1:4" x14ac:dyDescent="0.2">
      <c r="A1425" s="5">
        <v>1364</v>
      </c>
      <c r="B1425" s="1832">
        <f>'Expenditures 15-22'!D259</f>
        <v>875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875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7005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11055</v>
      </c>
      <c r="D1431" s="2" t="str">
        <f t="shared" si="21"/>
        <v>Error?</v>
      </c>
    </row>
    <row r="1432" spans="1:4" x14ac:dyDescent="0.2">
      <c r="A1432" s="5">
        <v>1371</v>
      </c>
      <c r="B1432" s="1832">
        <f>'Expenditures 15-22'!D267</f>
        <v>12312</v>
      </c>
      <c r="D1432" s="2" t="str">
        <f t="shared" si="21"/>
        <v>Error?</v>
      </c>
    </row>
    <row r="1433" spans="1:4" x14ac:dyDescent="0.2">
      <c r="A1433" s="5">
        <v>1372</v>
      </c>
      <c r="B1433" s="1832">
        <f>'Expenditures 15-22'!D268</f>
        <v>9869</v>
      </c>
      <c r="D1433" s="2" t="str">
        <f t="shared" si="21"/>
        <v>Error?</v>
      </c>
    </row>
    <row r="1434" spans="1:4" x14ac:dyDescent="0.2">
      <c r="A1434" s="5">
        <v>1373</v>
      </c>
      <c r="B1434" s="1832">
        <f>'Expenditures 15-22'!D269</f>
        <v>5753</v>
      </c>
      <c r="D1434" s="2" t="str">
        <f t="shared" si="21"/>
        <v>Error?</v>
      </c>
    </row>
    <row r="1435" spans="1:4" x14ac:dyDescent="0.2">
      <c r="A1435" s="10">
        <v>1374</v>
      </c>
      <c r="B1435" s="1832"/>
      <c r="D1435" s="2" t="str">
        <f t="shared" si="21"/>
        <v>OK</v>
      </c>
    </row>
    <row r="1436" spans="1:4" x14ac:dyDescent="0.2">
      <c r="A1436" s="5">
        <v>1375</v>
      </c>
      <c r="B1436" s="1832">
        <f>'Expenditures 15-22'!D270</f>
        <v>45994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53786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95458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2066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41672</v>
      </c>
      <c r="C1474" s="2" t="s">
        <v>569</v>
      </c>
      <c r="D1474" s="2" t="str">
        <f t="shared" si="22"/>
        <v>Error?</v>
      </c>
    </row>
    <row r="1475" spans="1:4" x14ac:dyDescent="0.2">
      <c r="A1475" s="5">
        <v>1414</v>
      </c>
      <c r="B1475" s="1832">
        <f>'Expenditures 15-22'!K232</f>
        <v>703</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4108</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855</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5666</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1251</v>
      </c>
      <c r="C1487" s="2" t="s">
        <v>569</v>
      </c>
      <c r="D1487" s="2" t="str">
        <f t="shared" si="22"/>
        <v>Error?</v>
      </c>
    </row>
    <row r="1488" spans="1:4" x14ac:dyDescent="0.2">
      <c r="A1488" s="5">
        <v>1427</v>
      </c>
      <c r="B1488" s="1832">
        <f>'Expenditures 15-22'!K257</f>
        <v>1251</v>
      </c>
      <c r="C1488" s="2" t="s">
        <v>569</v>
      </c>
      <c r="D1488" s="2" t="str">
        <f t="shared" si="22"/>
        <v>Error?</v>
      </c>
    </row>
    <row r="1489" spans="1:4" x14ac:dyDescent="0.2">
      <c r="A1489" s="5">
        <v>1428</v>
      </c>
      <c r="B1489" s="1832">
        <f>'Expenditures 15-22'!K259</f>
        <v>875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875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7005</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11055</v>
      </c>
      <c r="C1495" s="2" t="s">
        <v>569</v>
      </c>
      <c r="D1495" s="2" t="str">
        <f t="shared" si="22"/>
        <v>Error?</v>
      </c>
    </row>
    <row r="1496" spans="1:4" x14ac:dyDescent="0.2">
      <c r="A1496" s="5">
        <v>1435</v>
      </c>
      <c r="B1496" s="1832">
        <f>'Expenditures 15-22'!K267</f>
        <v>12312</v>
      </c>
      <c r="C1496" s="2" t="s">
        <v>569</v>
      </c>
      <c r="D1496" s="2" t="str">
        <f t="shared" si="22"/>
        <v>Error?</v>
      </c>
    </row>
    <row r="1497" spans="1:4" x14ac:dyDescent="0.2">
      <c r="A1497" s="5">
        <v>1436</v>
      </c>
      <c r="B1497" s="1832">
        <f>'Expenditures 15-22'!K268</f>
        <v>9869</v>
      </c>
      <c r="C1497" s="2" t="s">
        <v>569</v>
      </c>
      <c r="D1497" s="2" t="str">
        <f t="shared" si="22"/>
        <v>Error?</v>
      </c>
    </row>
    <row r="1498" spans="1:4" x14ac:dyDescent="0.2">
      <c r="A1498" s="5">
        <v>1437</v>
      </c>
      <c r="B1498" s="1832">
        <f>'Expenditures 15-22'!K269</f>
        <v>5753</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45994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53786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95458</v>
      </c>
      <c r="C1517" s="2" t="s">
        <v>569</v>
      </c>
      <c r="D1517" s="2" t="str">
        <f t="shared" si="22"/>
        <v>Error?</v>
      </c>
    </row>
    <row r="1518" spans="1:4" x14ac:dyDescent="0.2">
      <c r="A1518" s="5">
        <v>1457</v>
      </c>
      <c r="B1518" s="1832">
        <f>'Expenditures 15-22'!K296</f>
        <v>11976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159026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163904</v>
      </c>
      <c r="C1630" s="2" t="s">
        <v>569</v>
      </c>
      <c r="D1630" s="2" t="str">
        <f t="shared" si="24"/>
        <v>Error?</v>
      </c>
    </row>
    <row r="1631" spans="1:4" x14ac:dyDescent="0.2">
      <c r="A1631" s="5">
        <v>1570</v>
      </c>
      <c r="B1631" s="1832">
        <f>'Acct Summary 7-8'!D79</f>
        <v>196387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252106</v>
      </c>
      <c r="C1644" s="2" t="s">
        <v>569</v>
      </c>
      <c r="D1644" s="2" t="str">
        <f t="shared" si="24"/>
        <v>Error?</v>
      </c>
    </row>
    <row r="1645" spans="1:4" x14ac:dyDescent="0.2">
      <c r="A1645" s="5">
        <v>1584</v>
      </c>
      <c r="B1645" s="1832">
        <f>'Acct Summary 7-8'!E79</f>
        <v>26489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28050</v>
      </c>
      <c r="C1658" s="2" t="s">
        <v>569</v>
      </c>
      <c r="D1658" s="2" t="str">
        <f t="shared" si="24"/>
        <v>Error?</v>
      </c>
    </row>
    <row r="1659" spans="1:4" x14ac:dyDescent="0.2">
      <c r="A1659" s="5">
        <v>1598</v>
      </c>
      <c r="B1659" s="1832">
        <f>'Acct Summary 7-8'!F79</f>
        <v>255729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206080</v>
      </c>
      <c r="C1672" s="2" t="s">
        <v>569</v>
      </c>
      <c r="D1672" s="2" t="str">
        <f t="shared" si="25"/>
        <v>Error?</v>
      </c>
    </row>
    <row r="1673" spans="1:4" x14ac:dyDescent="0.2">
      <c r="A1673" s="5">
        <v>1612</v>
      </c>
      <c r="B1673" s="1832">
        <f>'Acct Summary 7-8'!G79</f>
        <v>102048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114024</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196437</v>
      </c>
      <c r="C1744" s="2" t="s">
        <v>569</v>
      </c>
      <c r="D1744" s="2" t="str">
        <f t="shared" si="26"/>
        <v>Error?</v>
      </c>
    </row>
    <row r="1745" spans="1:5" x14ac:dyDescent="0.2">
      <c r="A1745" s="5">
        <v>1684</v>
      </c>
      <c r="B1745" s="1832">
        <f>'Tax Sched 23'!B5</f>
        <v>53281</v>
      </c>
      <c r="C1745" s="2" t="s">
        <v>569</v>
      </c>
      <c r="D1745" s="2" t="str">
        <f t="shared" si="26"/>
        <v>Error?</v>
      </c>
    </row>
    <row r="1746" spans="1:5" x14ac:dyDescent="0.2">
      <c r="A1746" s="5">
        <v>1685</v>
      </c>
      <c r="B1746" s="1832">
        <f>'Tax Sched 23'!B6</f>
        <v>98122</v>
      </c>
      <c r="C1746" s="2" t="s">
        <v>569</v>
      </c>
      <c r="D1746" s="2" t="str">
        <f t="shared" si="26"/>
        <v>Error?</v>
      </c>
    </row>
    <row r="1747" spans="1:5" x14ac:dyDescent="0.2">
      <c r="A1747" s="5">
        <v>1686</v>
      </c>
      <c r="B1747" s="1832">
        <f>'Tax Sched 23'!B7</f>
        <v>25575</v>
      </c>
      <c r="C1747" s="2" t="s">
        <v>569</v>
      </c>
      <c r="D1747" s="2" t="str">
        <f t="shared" si="26"/>
        <v>Error?</v>
      </c>
    </row>
    <row r="1748" spans="1:5" x14ac:dyDescent="0.2">
      <c r="A1748" s="5">
        <v>1687</v>
      </c>
      <c r="B1748" s="1832">
        <f>'Tax Sched 23'!B8</f>
        <v>95112</v>
      </c>
      <c r="C1748" s="2" t="s">
        <v>569</v>
      </c>
      <c r="D1748" s="2" t="str">
        <f t="shared" si="26"/>
        <v>Error?</v>
      </c>
    </row>
    <row r="1749" spans="1:5" x14ac:dyDescent="0.2">
      <c r="A1749" s="5">
        <v>1688</v>
      </c>
      <c r="B1749" s="1832">
        <f>'Tax Sched 23'!B10</f>
        <v>10656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82630</v>
      </c>
      <c r="C1752" s="2" t="s">
        <v>569</v>
      </c>
      <c r="D1752" s="2" t="str">
        <f t="shared" si="26"/>
        <v>Error?</v>
      </c>
    </row>
    <row r="1753" spans="1:5" x14ac:dyDescent="0.2">
      <c r="A1753" s="5">
        <v>1692</v>
      </c>
      <c r="B1753" s="1832">
        <f>'Tax Sched 23'!B12</f>
        <v>10656</v>
      </c>
      <c r="C1753" s="2" t="s">
        <v>569</v>
      </c>
      <c r="D1753" s="2" t="str">
        <f t="shared" si="26"/>
        <v>Error?</v>
      </c>
    </row>
    <row r="1754" spans="1:5" x14ac:dyDescent="0.2">
      <c r="A1754" s="5">
        <v>1693</v>
      </c>
      <c r="B1754" s="1832">
        <f>'Tax Sched 23'!B14</f>
        <v>4272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587397</v>
      </c>
      <c r="C1759" s="2" t="s">
        <v>569</v>
      </c>
      <c r="D1759" s="2" t="str">
        <f t="shared" si="26"/>
        <v>Error?</v>
      </c>
    </row>
    <row r="1760" spans="1:5" x14ac:dyDescent="0.2">
      <c r="A1760" s="5">
        <v>1699</v>
      </c>
      <c r="B1760" s="1832">
        <f>'Tax Sched 23'!D4</f>
        <v>196437</v>
      </c>
      <c r="C1760" s="2" t="s">
        <v>569</v>
      </c>
      <c r="D1760" s="2" t="str">
        <f t="shared" si="26"/>
        <v>Error?</v>
      </c>
    </row>
    <row r="1761" spans="1:7" x14ac:dyDescent="0.2">
      <c r="A1761" s="5">
        <v>1700</v>
      </c>
      <c r="B1761" s="1832">
        <f>'Tax Sched 23'!D5</f>
        <v>53281</v>
      </c>
      <c r="C1761" s="2" t="s">
        <v>569</v>
      </c>
      <c r="D1761" s="2" t="str">
        <f t="shared" si="26"/>
        <v>Error?</v>
      </c>
    </row>
    <row r="1762" spans="1:7" s="8" customFormat="1" x14ac:dyDescent="0.2">
      <c r="A1762" s="5">
        <v>1701</v>
      </c>
      <c r="B1762" s="1832">
        <f>'Tax Sched 23'!D6</f>
        <v>98122</v>
      </c>
      <c r="C1762" s="2" t="s">
        <v>569</v>
      </c>
      <c r="D1762" s="2" t="str">
        <f t="shared" si="26"/>
        <v>Error?</v>
      </c>
      <c r="E1762" s="9"/>
      <c r="G1762"/>
    </row>
    <row r="1763" spans="1:7" x14ac:dyDescent="0.2">
      <c r="A1763" s="5">
        <v>1702</v>
      </c>
      <c r="B1763" s="1832">
        <f>'Tax Sched 23'!D7</f>
        <v>25575</v>
      </c>
      <c r="C1763" s="2" t="s">
        <v>569</v>
      </c>
      <c r="D1763" s="2" t="str">
        <f t="shared" si="26"/>
        <v>Error?</v>
      </c>
    </row>
    <row r="1764" spans="1:7" x14ac:dyDescent="0.2">
      <c r="A1764" s="5">
        <v>1703</v>
      </c>
      <c r="B1764" s="1832">
        <f>'Tax Sched 23'!D8</f>
        <v>95112</v>
      </c>
      <c r="C1764" s="2" t="s">
        <v>569</v>
      </c>
      <c r="D1764" s="2" t="str">
        <f t="shared" si="26"/>
        <v>Error?</v>
      </c>
    </row>
    <row r="1765" spans="1:7" x14ac:dyDescent="0.2">
      <c r="A1765" s="5">
        <v>1704</v>
      </c>
      <c r="B1765" s="1832">
        <f>'Tax Sched 23'!D10</f>
        <v>10656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82630</v>
      </c>
      <c r="C1768" s="2" t="s">
        <v>569</v>
      </c>
      <c r="D1768" s="2" t="str">
        <f t="shared" si="26"/>
        <v>Error?</v>
      </c>
    </row>
    <row r="1769" spans="1:7" x14ac:dyDescent="0.2">
      <c r="A1769" s="5">
        <v>1708</v>
      </c>
      <c r="B1769" s="1832">
        <f>'Tax Sched 23'!D12</f>
        <v>10656</v>
      </c>
      <c r="C1769" s="2" t="s">
        <v>569</v>
      </c>
      <c r="D1769" s="2" t="str">
        <f t="shared" si="26"/>
        <v>Error?</v>
      </c>
    </row>
    <row r="1770" spans="1:7" x14ac:dyDescent="0.2">
      <c r="A1770" s="5">
        <v>1709</v>
      </c>
      <c r="B1770" s="1832">
        <f>'Tax Sched 23'!D14</f>
        <v>4272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587397</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160000</v>
      </c>
      <c r="C1939" s="2" t="s">
        <v>569</v>
      </c>
      <c r="D1939" s="2" t="str">
        <f t="shared" si="29"/>
        <v>Error?</v>
      </c>
    </row>
    <row r="1940" spans="1:5" x14ac:dyDescent="0.2">
      <c r="A1940" s="5">
        <v>1879</v>
      </c>
      <c r="B1940" s="1832">
        <f>'Short-Term Long-Term Debt 24'!F49</f>
        <v>300000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4272</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4272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4272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7000</v>
      </c>
      <c r="D2008" s="2" t="str">
        <f t="shared" si="30"/>
        <v>Error?</v>
      </c>
    </row>
    <row r="2009" spans="1:4" x14ac:dyDescent="0.2">
      <c r="A2009" s="5">
        <v>1948</v>
      </c>
      <c r="B2009" s="1832">
        <f>'Cap Outlay Deprec 26'!C8</f>
        <v>3948516</v>
      </c>
      <c r="D2009" s="2" t="str">
        <f t="shared" si="30"/>
        <v>Error?</v>
      </c>
    </row>
    <row r="2010" spans="1:4" x14ac:dyDescent="0.2">
      <c r="A2010" s="5">
        <v>1949</v>
      </c>
      <c r="B2010" s="1832">
        <f>'Cap Outlay Deprec 26'!C10</f>
        <v>248248</v>
      </c>
      <c r="D2010" s="2" t="str">
        <f t="shared" si="30"/>
        <v>Error?</v>
      </c>
    </row>
    <row r="2011" spans="1:4" x14ac:dyDescent="0.2">
      <c r="A2011" s="5">
        <v>1950</v>
      </c>
      <c r="B2011" s="1832">
        <f>'Cap Outlay Deprec 26'!C12</f>
        <v>611765</v>
      </c>
      <c r="D2011" s="2" t="str">
        <f t="shared" si="30"/>
        <v>Error?</v>
      </c>
    </row>
    <row r="2012" spans="1:4" x14ac:dyDescent="0.2">
      <c r="A2012" s="5">
        <v>1951</v>
      </c>
      <c r="B2012" s="1832">
        <f>'Cap Outlay Deprec 26'!C13</f>
        <v>522797</v>
      </c>
      <c r="D2012" s="2" t="str">
        <f t="shared" si="30"/>
        <v>Error?</v>
      </c>
    </row>
    <row r="2013" spans="1:4" x14ac:dyDescent="0.2">
      <c r="A2013" s="5">
        <v>1952</v>
      </c>
      <c r="B2013" s="1832">
        <f>'Cap Outlay Deprec 26'!C16</f>
        <v>5338326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22386</v>
      </c>
      <c r="D2017" s="2" t="str">
        <f t="shared" si="30"/>
        <v>Error?</v>
      </c>
    </row>
    <row r="2018" spans="1:4" x14ac:dyDescent="0.2">
      <c r="A2018" s="5">
        <v>1957</v>
      </c>
      <c r="B2018" s="1832">
        <f>'Cap Outlay Deprec 26'!D13</f>
        <v>82784</v>
      </c>
      <c r="D2018" s="2" t="str">
        <f t="shared" si="30"/>
        <v>Error?</v>
      </c>
    </row>
    <row r="2019" spans="1:4" x14ac:dyDescent="0.2">
      <c r="A2019" s="5">
        <v>1958</v>
      </c>
      <c r="B2019" s="1832">
        <f>'Cap Outlay Deprec 26'!D16</f>
        <v>105170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73213</v>
      </c>
      <c r="D2024" s="2" t="str">
        <f t="shared" si="30"/>
        <v>Error?</v>
      </c>
    </row>
    <row r="2025" spans="1:4" x14ac:dyDescent="0.2">
      <c r="A2025" s="5">
        <v>1964</v>
      </c>
      <c r="B2025" s="1832">
        <f>'Cap Outlay Deprec 26'!E16</f>
        <v>73213</v>
      </c>
      <c r="C2025" s="2" t="s">
        <v>569</v>
      </c>
      <c r="D2025" s="2" t="str">
        <f t="shared" si="30"/>
        <v>Error?</v>
      </c>
    </row>
    <row r="2026" spans="1:4" x14ac:dyDescent="0.2">
      <c r="A2026" s="5">
        <v>1965</v>
      </c>
      <c r="B2026" s="1832">
        <f>'Cap Outlay Deprec 26'!F5</f>
        <v>7000</v>
      </c>
      <c r="C2026" s="2" t="s">
        <v>569</v>
      </c>
      <c r="D2026" s="2" t="str">
        <f t="shared" si="30"/>
        <v>Error?</v>
      </c>
    </row>
    <row r="2027" spans="1:4" x14ac:dyDescent="0.2">
      <c r="A2027" s="5">
        <v>1966</v>
      </c>
      <c r="B2027" s="1832">
        <f>'Cap Outlay Deprec 26'!F8</f>
        <v>3948516</v>
      </c>
      <c r="C2027" s="2" t="s">
        <v>569</v>
      </c>
      <c r="D2027" s="2" t="str">
        <f t="shared" si="30"/>
        <v>Error?</v>
      </c>
    </row>
    <row r="2028" spans="1:4" x14ac:dyDescent="0.2">
      <c r="A2028" s="5">
        <v>1967</v>
      </c>
      <c r="B2028" s="1832">
        <f>'Cap Outlay Deprec 26'!F10</f>
        <v>248248</v>
      </c>
      <c r="C2028" s="2" t="s">
        <v>569</v>
      </c>
      <c r="D2028" s="2" t="str">
        <f t="shared" si="30"/>
        <v>Error?</v>
      </c>
    </row>
    <row r="2029" spans="1:4" x14ac:dyDescent="0.2">
      <c r="A2029" s="5">
        <v>1968</v>
      </c>
      <c r="B2029" s="1832">
        <f>'Cap Outlay Deprec 26'!F12</f>
        <v>634151</v>
      </c>
      <c r="C2029" s="2" t="s">
        <v>569</v>
      </c>
      <c r="D2029" s="2" t="str">
        <f t="shared" si="30"/>
        <v>Error?</v>
      </c>
    </row>
    <row r="2030" spans="1:4" x14ac:dyDescent="0.2">
      <c r="A2030" s="5">
        <v>1969</v>
      </c>
      <c r="B2030" s="1832">
        <f>'Cap Outlay Deprec 26'!F13</f>
        <v>532368</v>
      </c>
      <c r="C2030" s="2" t="s">
        <v>569</v>
      </c>
      <c r="D2030" s="2" t="str">
        <f t="shared" si="30"/>
        <v>Error?</v>
      </c>
    </row>
    <row r="2031" spans="1:4" x14ac:dyDescent="0.2">
      <c r="A2031" s="5">
        <v>1970</v>
      </c>
      <c r="B2031" s="1832">
        <f>'Cap Outlay Deprec 26'!F16</f>
        <v>5370283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1562186</v>
      </c>
      <c r="D2033" s="2" t="str">
        <f t="shared" si="30"/>
        <v>Error?</v>
      </c>
    </row>
    <row r="2034" spans="1:4" x14ac:dyDescent="0.2">
      <c r="A2034" s="5">
        <v>1973</v>
      </c>
      <c r="B2034" s="1832">
        <f>'Cap Outlay Deprec 26'!H10</f>
        <v>229348</v>
      </c>
      <c r="D2034" s="2" t="str">
        <f t="shared" si="30"/>
        <v>Error?</v>
      </c>
    </row>
    <row r="2035" spans="1:4" x14ac:dyDescent="0.2">
      <c r="A2035" s="5">
        <v>1974</v>
      </c>
      <c r="B2035" s="1832">
        <f>'Cap Outlay Deprec 26'!H12</f>
        <v>560053</v>
      </c>
      <c r="D2035" s="2" t="str">
        <f t="shared" si="30"/>
        <v>Error?</v>
      </c>
    </row>
    <row r="2036" spans="1:4" x14ac:dyDescent="0.2">
      <c r="A2036" s="5">
        <v>1975</v>
      </c>
      <c r="B2036" s="1832">
        <f>'Cap Outlay Deprec 26'!H13</f>
        <v>461496</v>
      </c>
      <c r="D2036" s="2" t="str">
        <f t="shared" si="30"/>
        <v>Error?</v>
      </c>
    </row>
    <row r="2037" spans="1:4" x14ac:dyDescent="0.2">
      <c r="A2037" s="5">
        <v>1976</v>
      </c>
      <c r="B2037" s="1832">
        <f>'Cap Outlay Deprec 26'!H16</f>
        <v>2813083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79586</v>
      </c>
      <c r="D2039" s="2" t="str">
        <f t="shared" si="30"/>
        <v>Error?</v>
      </c>
    </row>
    <row r="2040" spans="1:4" x14ac:dyDescent="0.2">
      <c r="A2040" s="5">
        <v>1979</v>
      </c>
      <c r="B2040" s="1832">
        <f>'Cap Outlay Deprec 26'!I10</f>
        <v>9802</v>
      </c>
      <c r="D2040" s="2" t="str">
        <f t="shared" si="30"/>
        <v>Error?</v>
      </c>
    </row>
    <row r="2041" spans="1:4" x14ac:dyDescent="0.2">
      <c r="A2041" s="5">
        <v>1980</v>
      </c>
      <c r="B2041" s="1832">
        <f>'Cap Outlay Deprec 26'!I12</f>
        <v>19145</v>
      </c>
      <c r="D2041" s="2" t="str">
        <f t="shared" si="30"/>
        <v>Error?</v>
      </c>
    </row>
    <row r="2042" spans="1:4" x14ac:dyDescent="0.2">
      <c r="A2042" s="5">
        <v>1981</v>
      </c>
      <c r="B2042" s="1832">
        <f>'Cap Outlay Deprec 26'!I13</f>
        <v>47411</v>
      </c>
      <c r="D2042" s="2" t="str">
        <f t="shared" si="30"/>
        <v>Error?</v>
      </c>
    </row>
    <row r="2043" spans="1:4" x14ac:dyDescent="0.2">
      <c r="A2043" s="5">
        <v>1982</v>
      </c>
      <c r="B2043" s="1832">
        <f>'Cap Outlay Deprec 26'!I16</f>
        <v>155944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73213</v>
      </c>
      <c r="D2048" s="2" t="str">
        <f t="shared" si="31"/>
        <v>Error?</v>
      </c>
    </row>
    <row r="2049" spans="1:4" x14ac:dyDescent="0.2">
      <c r="A2049" s="5">
        <v>1988</v>
      </c>
      <c r="B2049" s="1832">
        <f>'Cap Outlay Deprec 26'!J16</f>
        <v>73213</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1641772</v>
      </c>
      <c r="C2051" s="2" t="s">
        <v>569</v>
      </c>
      <c r="D2051" s="2" t="str">
        <f t="shared" si="31"/>
        <v>Error?</v>
      </c>
    </row>
    <row r="2052" spans="1:4" x14ac:dyDescent="0.2">
      <c r="A2052" s="5">
        <v>1991</v>
      </c>
      <c r="B2052" s="1832">
        <f>'Cap Outlay Deprec 26'!K10</f>
        <v>239150</v>
      </c>
      <c r="C2052" s="2" t="s">
        <v>569</v>
      </c>
      <c r="D2052" s="2" t="str">
        <f t="shared" si="31"/>
        <v>Error?</v>
      </c>
    </row>
    <row r="2053" spans="1:4" x14ac:dyDescent="0.2">
      <c r="A2053" s="5">
        <v>1992</v>
      </c>
      <c r="B2053" s="1832">
        <f>'Cap Outlay Deprec 26'!K12</f>
        <v>579198</v>
      </c>
      <c r="C2053" s="2" t="s">
        <v>569</v>
      </c>
      <c r="D2053" s="2" t="str">
        <f t="shared" si="31"/>
        <v>Error?</v>
      </c>
    </row>
    <row r="2054" spans="1:4" x14ac:dyDescent="0.2">
      <c r="A2054" s="5">
        <v>1993</v>
      </c>
      <c r="B2054" s="1832">
        <f>'Cap Outlay Deprec 26'!K13</f>
        <v>435694</v>
      </c>
      <c r="C2054" s="2" t="s">
        <v>569</v>
      </c>
      <c r="D2054" s="2" t="str">
        <f t="shared" si="31"/>
        <v>Error?</v>
      </c>
    </row>
    <row r="2055" spans="1:4" x14ac:dyDescent="0.2">
      <c r="A2055" s="5">
        <v>1994</v>
      </c>
      <c r="B2055" s="1832">
        <f>'Cap Outlay Deprec 26'!K16</f>
        <v>2895814</v>
      </c>
      <c r="C2055" s="2" t="s">
        <v>569</v>
      </c>
      <c r="D2055" s="2" t="str">
        <f t="shared" si="31"/>
        <v>Error?</v>
      </c>
    </row>
    <row r="2056" spans="1:4" x14ac:dyDescent="0.2">
      <c r="A2056" s="5">
        <v>1995</v>
      </c>
      <c r="B2056" s="1832">
        <f>'Cap Outlay Deprec 26'!L5</f>
        <v>7000</v>
      </c>
      <c r="C2056" s="2" t="s">
        <v>569</v>
      </c>
      <c r="D2056" s="2" t="str">
        <f t="shared" si="31"/>
        <v>Error?</v>
      </c>
    </row>
    <row r="2057" spans="1:4" x14ac:dyDescent="0.2">
      <c r="A2057" s="5">
        <v>1996</v>
      </c>
      <c r="B2057" s="1832">
        <f>'Cap Outlay Deprec 26'!L8</f>
        <v>2306744</v>
      </c>
      <c r="C2057" s="2" t="s">
        <v>569</v>
      </c>
      <c r="D2057" s="2" t="str">
        <f t="shared" si="31"/>
        <v>Error?</v>
      </c>
    </row>
    <row r="2058" spans="1:4" x14ac:dyDescent="0.2">
      <c r="A2058" s="5">
        <v>1997</v>
      </c>
      <c r="B2058" s="1832">
        <f>'Cap Outlay Deprec 26'!L10</f>
        <v>9098</v>
      </c>
      <c r="C2058" s="2" t="s">
        <v>569</v>
      </c>
      <c r="D2058" s="2" t="str">
        <f t="shared" si="31"/>
        <v>Error?</v>
      </c>
    </row>
    <row r="2059" spans="1:4" x14ac:dyDescent="0.2">
      <c r="A2059" s="5">
        <v>1998</v>
      </c>
      <c r="B2059" s="1832">
        <f>'Cap Outlay Deprec 26'!L12</f>
        <v>54953</v>
      </c>
      <c r="C2059" s="2" t="s">
        <v>569</v>
      </c>
      <c r="D2059" s="2" t="str">
        <f t="shared" si="31"/>
        <v>Error?</v>
      </c>
    </row>
    <row r="2060" spans="1:4" x14ac:dyDescent="0.2">
      <c r="A2060" s="5">
        <v>1999</v>
      </c>
      <c r="B2060" s="1832">
        <f>'Cap Outlay Deprec 26'!L13</f>
        <v>96674</v>
      </c>
      <c r="C2060" s="2" t="s">
        <v>569</v>
      </c>
      <c r="D2060" s="2" t="str">
        <f t="shared" si="31"/>
        <v>Error?</v>
      </c>
    </row>
    <row r="2061" spans="1:4" x14ac:dyDescent="0.2">
      <c r="A2061" s="5">
        <v>2000</v>
      </c>
      <c r="B2061" s="1832">
        <f>'Cap Outlay Deprec 26'!L16</f>
        <v>2474469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30496</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344596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1372360</v>
      </c>
      <c r="C2553" s="2" t="s">
        <v>569</v>
      </c>
      <c r="D2553" s="2" t="str">
        <f t="shared" si="38"/>
        <v>Error?</v>
      </c>
    </row>
    <row r="2554" spans="1:4" x14ac:dyDescent="0.2">
      <c r="A2554" s="5">
        <v>2493</v>
      </c>
      <c r="B2554" s="1832">
        <f>'Acct Summary 7-8'!C7</f>
        <v>259122</v>
      </c>
      <c r="C2554" s="2" t="s">
        <v>569</v>
      </c>
      <c r="D2554" s="2" t="str">
        <f t="shared" si="38"/>
        <v>Error?</v>
      </c>
    </row>
    <row r="2555" spans="1:4" x14ac:dyDescent="0.2">
      <c r="A2555" s="5">
        <v>2494</v>
      </c>
      <c r="B2555" s="1832">
        <f>'Acct Summary 7-8'!C8</f>
        <v>1976078</v>
      </c>
      <c r="C2555" s="2" t="s">
        <v>569</v>
      </c>
      <c r="D2555" s="2" t="str">
        <f t="shared" si="38"/>
        <v>Error?</v>
      </c>
    </row>
    <row r="2556" spans="1:4" x14ac:dyDescent="0.2">
      <c r="A2556" s="5">
        <v>2495</v>
      </c>
      <c r="B2556" s="1832">
        <f>'Acct Summary 7-8'!C12</f>
        <v>1237532</v>
      </c>
      <c r="C2556" s="2" t="s">
        <v>569</v>
      </c>
      <c r="D2556" s="2" t="str">
        <f t="shared" si="38"/>
        <v>Error?</v>
      </c>
    </row>
    <row r="2557" spans="1:4" x14ac:dyDescent="0.2">
      <c r="A2557" s="5">
        <v>2496</v>
      </c>
      <c r="B2557" s="1832">
        <f>'Acct Summary 7-8'!C13</f>
        <v>703172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30496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1971200</v>
      </c>
      <c r="C2561" s="2" t="s">
        <v>569</v>
      </c>
      <c r="D2561" s="2" t="str">
        <f t="shared" si="39"/>
        <v>Error?</v>
      </c>
    </row>
    <row r="2562" spans="1:4" x14ac:dyDescent="0.2">
      <c r="A2562" s="5">
        <v>2501</v>
      </c>
      <c r="B2562" s="1832">
        <f>'Acct Summary 7-8'!C20</f>
        <v>4878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60352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110352</v>
      </c>
      <c r="C2568" s="2" t="s">
        <v>569</v>
      </c>
      <c r="D2568" s="2" t="str">
        <f t="shared" si="39"/>
        <v>Error?</v>
      </c>
    </row>
    <row r="2569" spans="1:4" x14ac:dyDescent="0.2">
      <c r="A2569" s="5">
        <v>2508</v>
      </c>
      <c r="B2569" s="1832">
        <f>'Acct Summary 7-8'!D13</f>
        <v>54633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54633</v>
      </c>
      <c r="C2573" s="2" t="s">
        <v>569</v>
      </c>
      <c r="D2573" s="2" t="str">
        <f t="shared" si="39"/>
        <v>Error?</v>
      </c>
    </row>
    <row r="2574" spans="1:4" x14ac:dyDescent="0.2">
      <c r="A2574" s="5">
        <v>2513</v>
      </c>
      <c r="B2574" s="1832">
        <f>'Acct Summary 7-8'!D20</f>
        <v>55719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26269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148121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174390</v>
      </c>
      <c r="C2595" s="2" t="s">
        <v>569</v>
      </c>
      <c r="D2595" s="2" t="str">
        <f t="shared" si="39"/>
        <v>Error?</v>
      </c>
    </row>
    <row r="2596" spans="1:4" x14ac:dyDescent="0.2">
      <c r="A2596" s="5">
        <v>2535</v>
      </c>
      <c r="B2596" s="1832">
        <f>'Acct Summary 7-8'!F13</f>
        <v>224039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224039</v>
      </c>
      <c r="C2600" s="2" t="s">
        <v>569</v>
      </c>
      <c r="D2600" s="2" t="str">
        <f t="shared" si="39"/>
        <v>Error?</v>
      </c>
    </row>
    <row r="2601" spans="1:4" x14ac:dyDescent="0.2">
      <c r="A2601" s="5">
        <v>2540</v>
      </c>
      <c r="B2601" s="1832">
        <f>'Acct Summary 7-8'!F20</f>
        <v>-49649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107434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107434</v>
      </c>
      <c r="C2606" s="2" t="s">
        <v>569</v>
      </c>
      <c r="D2606" s="2" t="str">
        <f t="shared" si="39"/>
        <v>Error?</v>
      </c>
    </row>
    <row r="2607" spans="1:4" x14ac:dyDescent="0.2">
      <c r="A2607" s="5">
        <v>2546</v>
      </c>
      <c r="B2607" s="1832">
        <f>'Acct Summary 7-8'!G12</f>
        <v>41672</v>
      </c>
      <c r="C2607" s="2" t="s">
        <v>569</v>
      </c>
      <c r="D2607" s="2" t="str">
        <f t="shared" si="39"/>
        <v>Error?</v>
      </c>
    </row>
    <row r="2608" spans="1:4" x14ac:dyDescent="0.2">
      <c r="A2608" s="5">
        <v>2547</v>
      </c>
      <c r="B2608" s="1832">
        <f>'Acct Summary 7-8'!G13</f>
        <v>53786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95458</v>
      </c>
      <c r="C2612" s="2" t="s">
        <v>569</v>
      </c>
      <c r="D2612" s="2" t="str">
        <f t="shared" si="39"/>
        <v>Error?</v>
      </c>
    </row>
    <row r="2613" spans="1:4" x14ac:dyDescent="0.2">
      <c r="A2613" s="5">
        <v>2552</v>
      </c>
      <c r="B2613" s="1832">
        <f>'Acct Summary 7-8'!G20</f>
        <v>11976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100999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100999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108377</v>
      </c>
      <c r="C2634" s="2" t="s">
        <v>569</v>
      </c>
      <c r="D2634" s="2" t="str">
        <f t="shared" si="40"/>
        <v>Error?</v>
      </c>
    </row>
    <row r="2635" spans="1:4" x14ac:dyDescent="0.2">
      <c r="A2635" s="5">
        <v>2574</v>
      </c>
      <c r="B2635" s="1832">
        <f>'Acct Summary 7-8'!E17</f>
        <v>108377</v>
      </c>
      <c r="C2635" s="2" t="s">
        <v>569</v>
      </c>
      <c r="D2635" s="2" t="str">
        <f t="shared" si="40"/>
        <v>Error?</v>
      </c>
    </row>
    <row r="2636" spans="1:4" x14ac:dyDescent="0.2">
      <c r="A2636" s="5">
        <v>2575</v>
      </c>
      <c r="B2636" s="1832">
        <f>'Acct Summary 7-8'!E20</f>
        <v>-7378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30496</v>
      </c>
      <c r="C2789" s="2" t="s">
        <v>569</v>
      </c>
      <c r="D2789" s="2" t="str">
        <f t="shared" si="42"/>
        <v>Error?</v>
      </c>
    </row>
    <row r="2790" spans="1:4" x14ac:dyDescent="0.2">
      <c r="A2790" s="5">
        <v>2729</v>
      </c>
      <c r="B2790" s="1832">
        <f>'Expenditures 15-22'!E102</f>
        <v>30496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560659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10461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560659</v>
      </c>
      <c r="D2912" s="2" t="str">
        <f t="shared" si="44"/>
        <v>Error?</v>
      </c>
    </row>
    <row r="2913" spans="1:4" x14ac:dyDescent="0.2">
      <c r="A2913" s="5">
        <v>2852</v>
      </c>
      <c r="B2913" s="1832">
        <f>'Assets-Liab 5-6'!I41</f>
        <v>560659</v>
      </c>
      <c r="C2913" s="2" t="s">
        <v>569</v>
      </c>
      <c r="D2913" s="2" t="str">
        <f t="shared" si="44"/>
        <v>Error?</v>
      </c>
    </row>
    <row r="2914" spans="1:4" x14ac:dyDescent="0.2">
      <c r="A2914" s="5">
        <v>2853</v>
      </c>
      <c r="B2914" s="1832">
        <f>'Assets-Liab 5-6'!L33</f>
        <v>10461</v>
      </c>
      <c r="D2914" s="2" t="str">
        <f t="shared" si="44"/>
        <v>Error?</v>
      </c>
    </row>
    <row r="2915" spans="1:4" x14ac:dyDescent="0.2">
      <c r="A2915" s="10">
        <v>2854</v>
      </c>
      <c r="B2915" s="1832"/>
      <c r="D2915" s="2" t="str">
        <f t="shared" si="44"/>
        <v>OK</v>
      </c>
    </row>
    <row r="2916" spans="1:4" x14ac:dyDescent="0.2">
      <c r="A2916" s="5">
        <v>2855</v>
      </c>
      <c r="B2916" s="1832">
        <f>'Assets-Liab 5-6'!L34</f>
        <v>10461</v>
      </c>
      <c r="C2916" s="2" t="s">
        <v>569</v>
      </c>
      <c r="D2916" s="2" t="str">
        <f t="shared" si="44"/>
        <v>Error?</v>
      </c>
    </row>
    <row r="2917" spans="1:4" x14ac:dyDescent="0.2">
      <c r="A2917" s="5">
        <v>2856</v>
      </c>
      <c r="B2917" s="1832">
        <f>'Assets-Liab 5-6'!L41</f>
        <v>10461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30496</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30496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12000</v>
      </c>
      <c r="D3055" s="2" t="str">
        <f t="shared" si="46"/>
        <v>Error?</v>
      </c>
    </row>
    <row r="3056" spans="1:4" x14ac:dyDescent="0.2">
      <c r="A3056" s="5">
        <v>2995</v>
      </c>
      <c r="B3056" s="1832">
        <f>'Expenditures 15-22'!D10</f>
        <v>10441</v>
      </c>
      <c r="D3056" s="2" t="str">
        <f t="shared" si="46"/>
        <v>Error?</v>
      </c>
    </row>
    <row r="3057" spans="1:4" x14ac:dyDescent="0.2">
      <c r="A3057" s="5">
        <v>2996</v>
      </c>
      <c r="B3057" s="1832">
        <f>'Expenditures 15-22'!E10</f>
        <v>24065</v>
      </c>
      <c r="D3057" s="2" t="str">
        <f t="shared" si="46"/>
        <v>Error?</v>
      </c>
    </row>
    <row r="3058" spans="1:4" x14ac:dyDescent="0.2">
      <c r="A3058" s="5">
        <v>2997</v>
      </c>
      <c r="B3058" s="1832">
        <f>'Expenditures 15-22'!F10</f>
        <v>67677</v>
      </c>
      <c r="D3058" s="2" t="str">
        <f t="shared" si="46"/>
        <v>Error?</v>
      </c>
    </row>
    <row r="3059" spans="1:4" x14ac:dyDescent="0.2">
      <c r="A3059" s="5">
        <v>2998</v>
      </c>
      <c r="B3059" s="1832">
        <f>'Expenditures 15-22'!G10</f>
        <v>4396</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118579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174</v>
      </c>
      <c r="D3064" s="2" t="str">
        <f t="shared" si="46"/>
        <v>Error?</v>
      </c>
    </row>
    <row r="3065" spans="1:4" x14ac:dyDescent="0.2">
      <c r="A3065" s="5">
        <v>3004</v>
      </c>
      <c r="B3065" s="1832">
        <f>'Expenditures 15-22'!K219</f>
        <v>174</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11647</v>
      </c>
      <c r="C3225" s="2" t="s">
        <v>569</v>
      </c>
      <c r="D3225" s="2" t="str">
        <f t="shared" si="49"/>
        <v>Error?</v>
      </c>
    </row>
    <row r="3226" spans="1:4" x14ac:dyDescent="0.2">
      <c r="A3226" s="5">
        <v>3165</v>
      </c>
      <c r="B3226" s="1832">
        <f>'Acct Summary 7-8'!I8</f>
        <v>11647</v>
      </c>
      <c r="C3226" s="2" t="s">
        <v>569</v>
      </c>
      <c r="D3226" s="2" t="str">
        <f t="shared" si="49"/>
        <v>Error?</v>
      </c>
    </row>
    <row r="3227" spans="1:4" x14ac:dyDescent="0.2">
      <c r="A3227" s="5">
        <v>3166</v>
      </c>
      <c r="B3227" s="1832">
        <f>'Acct Summary 7-8'!I20</f>
        <v>11647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4878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55719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-49649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11976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8939</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8939</v>
      </c>
      <c r="C3277" s="2" t="s">
        <v>569</v>
      </c>
      <c r="D3277" s="2" t="str">
        <f t="shared" si="50"/>
        <v>Error?</v>
      </c>
    </row>
    <row r="3278" spans="1:4" x14ac:dyDescent="0.2">
      <c r="A3278" s="5">
        <v>3217</v>
      </c>
      <c r="B3278" s="1832">
        <f>'Acct Summary 7-8'!E78</f>
        <v>1561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300000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300000</v>
      </c>
      <c r="C3319" s="2" t="s">
        <v>569</v>
      </c>
      <c r="D3319" s="2" t="str">
        <f t="shared" si="50"/>
        <v>Error?</v>
      </c>
    </row>
    <row r="3320" spans="1:4" x14ac:dyDescent="0.2">
      <c r="A3320" s="5">
        <v>3259</v>
      </c>
      <c r="B3320" s="1832">
        <f>'Acct Summary 7-8'!I78</f>
        <v>311647</v>
      </c>
      <c r="C3320" s="2" t="s">
        <v>569</v>
      </c>
      <c r="D3320" s="2" t="str">
        <f t="shared" si="50"/>
        <v>Error?</v>
      </c>
    </row>
    <row r="3321" spans="1:4" x14ac:dyDescent="0.2">
      <c r="A3321" s="5">
        <v>3260</v>
      </c>
      <c r="B3321" s="1832">
        <f>'Acct Summary 7-8'!I79</f>
        <v>249012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560659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142110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41403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183513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24260</v>
      </c>
      <c r="D3387" s="2" t="str">
        <f t="shared" si="51"/>
        <v>Error?</v>
      </c>
    </row>
    <row r="3388" spans="1:4" x14ac:dyDescent="0.2">
      <c r="A3388" s="5">
        <v>3327</v>
      </c>
      <c r="B3388" s="1832">
        <f>'Expenditures 15-22'!D217</f>
        <v>10317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24260</v>
      </c>
      <c r="C3390" s="2" t="s">
        <v>569</v>
      </c>
      <c r="D3390" s="2" t="str">
        <f t="shared" si="51"/>
        <v>Error?</v>
      </c>
    </row>
    <row r="3391" spans="1:4" x14ac:dyDescent="0.2">
      <c r="A3391" s="5">
        <v>3330</v>
      </c>
      <c r="B3391" s="1832">
        <f>'Expenditures 15-22'!K217</f>
        <v>10317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163904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252106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28050</v>
      </c>
      <c r="D3417" s="2" t="str">
        <f t="shared" si="52"/>
        <v>Error?</v>
      </c>
    </row>
    <row r="3418" spans="1:4" x14ac:dyDescent="0.2">
      <c r="A3418" s="10">
        <v>3357</v>
      </c>
      <c r="B3418" s="1832"/>
      <c r="D3418" s="2" t="str">
        <f t="shared" si="52"/>
        <v>OK</v>
      </c>
    </row>
    <row r="3419" spans="1:4" x14ac:dyDescent="0.2">
      <c r="A3419" s="5">
        <v>3358</v>
      </c>
      <c r="B3419" s="1832">
        <f>'Assets-Liab 5-6'!F4</f>
        <v>206080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114024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560659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10461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23746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23746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23746</v>
      </c>
      <c r="D3567" s="2" t="str">
        <f t="shared" si="54"/>
        <v>Error?</v>
      </c>
    </row>
    <row r="3568" spans="1:4" x14ac:dyDescent="0.2">
      <c r="A3568" s="5">
        <v>3507</v>
      </c>
      <c r="B3568" s="1832">
        <f>'Assets-Liab 5-6'!K41</f>
        <v>23746</v>
      </c>
      <c r="C3568" s="2" t="s">
        <v>569</v>
      </c>
      <c r="D3568" s="2" t="str">
        <f t="shared" si="54"/>
        <v>Error?</v>
      </c>
    </row>
    <row r="3569" spans="1:4" x14ac:dyDescent="0.2">
      <c r="A3569" s="5">
        <v>3508</v>
      </c>
      <c r="B3569" s="1832">
        <f>'Acct Summary 7-8'!K4</f>
        <v>10944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10944</v>
      </c>
      <c r="C3571" s="2" t="s">
        <v>569</v>
      </c>
      <c r="D3571" s="2" t="str">
        <f t="shared" si="54"/>
        <v>Error?</v>
      </c>
    </row>
    <row r="3572" spans="1:4" x14ac:dyDescent="0.2">
      <c r="A3572" s="5">
        <v>3511</v>
      </c>
      <c r="B3572" s="1832">
        <f>'Acct Summary 7-8'!K13</f>
        <v>7106</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7106</v>
      </c>
      <c r="C3575" s="2" t="s">
        <v>569</v>
      </c>
      <c r="D3575" s="2" t="str">
        <f t="shared" si="54"/>
        <v>Error?</v>
      </c>
    </row>
    <row r="3576" spans="1:4" x14ac:dyDescent="0.2">
      <c r="A3576" s="5">
        <v>3515</v>
      </c>
      <c r="B3576" s="1832">
        <f>'Acct Summary 7-8'!K20</f>
        <v>3838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3838</v>
      </c>
      <c r="C3588" s="2" t="s">
        <v>569</v>
      </c>
      <c r="D3588" s="2" t="str">
        <f t="shared" si="55"/>
        <v>Error?</v>
      </c>
    </row>
    <row r="3589" spans="1:4" x14ac:dyDescent="0.2">
      <c r="A3589" s="5">
        <v>3528</v>
      </c>
      <c r="B3589" s="1832">
        <f>'Acct Summary 7-8'!K79</f>
        <v>19908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23746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4676</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4676</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4676</v>
      </c>
      <c r="C3635" s="2" t="s">
        <v>569</v>
      </c>
      <c r="D3635" s="2" t="str">
        <f t="shared" si="55"/>
        <v>Error?</v>
      </c>
    </row>
    <row r="3636" spans="1:4" x14ac:dyDescent="0.2">
      <c r="A3636" s="5">
        <v>3575</v>
      </c>
      <c r="B3636" s="1832">
        <f>'Expenditures 15-22'!E367</f>
        <v>4676</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2430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2430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2430</v>
      </c>
      <c r="C3642" s="2" t="s">
        <v>569</v>
      </c>
      <c r="D3642" s="2" t="str">
        <f t="shared" si="55"/>
        <v>Error?</v>
      </c>
    </row>
    <row r="3643" spans="1:4" x14ac:dyDescent="0.2">
      <c r="A3643" s="5">
        <v>3582</v>
      </c>
      <c r="B3643" s="1832">
        <f>'Expenditures 15-22'!F367</f>
        <v>2430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7106</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7106</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7106</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7106</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3838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10656</v>
      </c>
      <c r="C3725" s="2" t="s">
        <v>569</v>
      </c>
      <c r="D3725" s="2" t="str">
        <f t="shared" si="57"/>
        <v>Error?</v>
      </c>
    </row>
    <row r="3726" spans="1:4" x14ac:dyDescent="0.2">
      <c r="A3726" s="5">
        <v>3665</v>
      </c>
      <c r="B3726" s="1832">
        <f>'Tax Sched 23'!D13</f>
        <v>10656</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889209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2865287</v>
      </c>
      <c r="C4122" s="2" t="s">
        <v>569</v>
      </c>
      <c r="D4122" s="2" t="str">
        <f t="shared" si="63"/>
        <v>Error?</v>
      </c>
    </row>
    <row r="4123" spans="1:4" x14ac:dyDescent="0.2">
      <c r="A4123" s="5">
        <v>4062</v>
      </c>
      <c r="B4123" s="1832">
        <f>'Acct Summary 7-8'!D10</f>
        <v>110352</v>
      </c>
      <c r="C4123" s="2" t="s">
        <v>569</v>
      </c>
      <c r="D4123" s="2" t="str">
        <f t="shared" si="63"/>
        <v>Error?</v>
      </c>
    </row>
    <row r="4124" spans="1:4" x14ac:dyDescent="0.2">
      <c r="A4124" s="5">
        <v>4063</v>
      </c>
      <c r="B4124" s="1832">
        <f>'Acct Summary 7-8'!E10</f>
        <v>100999</v>
      </c>
      <c r="C4124" s="2" t="s">
        <v>569</v>
      </c>
      <c r="D4124" s="2" t="str">
        <f t="shared" si="63"/>
        <v>Error?</v>
      </c>
    </row>
    <row r="4125" spans="1:4" x14ac:dyDescent="0.2">
      <c r="A4125" s="5">
        <v>4064</v>
      </c>
      <c r="B4125" s="1832">
        <f>'Acct Summary 7-8'!F10</f>
        <v>174390</v>
      </c>
      <c r="C4125" s="2" t="s">
        <v>569</v>
      </c>
      <c r="D4125" s="2" t="str">
        <f t="shared" si="63"/>
        <v>Error?</v>
      </c>
    </row>
    <row r="4126" spans="1:4" x14ac:dyDescent="0.2">
      <c r="A4126" s="5">
        <v>4065</v>
      </c>
      <c r="B4126" s="1832">
        <f>'Acct Summary 7-8'!G10</f>
        <v>107434</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11647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10944</v>
      </c>
      <c r="C4130" s="2" t="s">
        <v>569</v>
      </c>
      <c r="D4130" s="2" t="str">
        <f t="shared" si="63"/>
        <v>Error?</v>
      </c>
    </row>
    <row r="4131" spans="1:4" x14ac:dyDescent="0.2">
      <c r="A4131" s="5">
        <v>4070</v>
      </c>
      <c r="B4131" s="1832">
        <f>'Acct Summary 7-8'!C18</f>
        <v>889209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2860409</v>
      </c>
      <c r="C4136" s="2" t="s">
        <v>569</v>
      </c>
      <c r="D4136" s="2" t="str">
        <f t="shared" si="63"/>
        <v>Error?</v>
      </c>
    </row>
    <row r="4137" spans="1:4" x14ac:dyDescent="0.2">
      <c r="A4137" s="5">
        <v>4076</v>
      </c>
      <c r="B4137" s="1832">
        <f>'Acct Summary 7-8'!D19</f>
        <v>54633</v>
      </c>
      <c r="C4137" s="2" t="s">
        <v>569</v>
      </c>
      <c r="D4137" s="2" t="str">
        <f t="shared" si="63"/>
        <v>Error?</v>
      </c>
    </row>
    <row r="4138" spans="1:4" x14ac:dyDescent="0.2">
      <c r="A4138" s="5">
        <v>4077</v>
      </c>
      <c r="B4138" s="1832">
        <f>'Acct Summary 7-8'!E19</f>
        <v>108377</v>
      </c>
      <c r="C4138" s="2" t="s">
        <v>569</v>
      </c>
      <c r="D4138" s="2" t="str">
        <f t="shared" si="63"/>
        <v>Error?</v>
      </c>
    </row>
    <row r="4139" spans="1:4" x14ac:dyDescent="0.2">
      <c r="A4139" s="5">
        <v>4078</v>
      </c>
      <c r="B4139" s="1832">
        <f>'Acct Summary 7-8'!F19</f>
        <v>224039</v>
      </c>
      <c r="C4139" s="2" t="s">
        <v>569</v>
      </c>
      <c r="D4139" s="2" t="str">
        <f t="shared" si="63"/>
        <v>Error?</v>
      </c>
    </row>
    <row r="4140" spans="1:4" x14ac:dyDescent="0.2">
      <c r="A4140" s="5">
        <v>4079</v>
      </c>
      <c r="B4140" s="1832">
        <f>'Acct Summary 7-8'!G19</f>
        <v>95458</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7106</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365000</v>
      </c>
      <c r="C4171" s="2" t="s">
        <v>569</v>
      </c>
      <c r="D4171" s="2" t="str">
        <f t="shared" si="64"/>
        <v>Error?</v>
      </c>
    </row>
    <row r="4172" spans="1:4" x14ac:dyDescent="0.2">
      <c r="A4172" s="5">
        <v>4111</v>
      </c>
      <c r="B4172" s="1832">
        <f>'Short-Term Long-Term Debt 24'!J49</f>
        <v>336950</v>
      </c>
      <c r="C4172" s="2" t="s">
        <v>569</v>
      </c>
      <c r="D4172" s="2" t="str">
        <f t="shared" si="64"/>
        <v>Error?</v>
      </c>
    </row>
    <row r="4173" spans="1:4" x14ac:dyDescent="0.2">
      <c r="A4173" s="5">
        <v>4112</v>
      </c>
      <c r="B4173" s="1832">
        <f>'Short-Term Long-Term Debt 24'!H49</f>
        <v>95000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920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1290</v>
      </c>
      <c r="C4268" s="2" t="s">
        <v>569</v>
      </c>
      <c r="D4268" s="2" t="str">
        <f t="shared" si="65"/>
        <v>Error?</v>
      </c>
    </row>
    <row r="4269" spans="1:5" x14ac:dyDescent="0.2">
      <c r="A4269" s="12">
        <v>4208</v>
      </c>
      <c r="B4269" s="1832">
        <f>'FP Info 3'!J16</f>
        <v>1182749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50000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14580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4368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9731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13466</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22509451</v>
      </c>
      <c r="D4995" s="2" t="str">
        <f t="shared" si="77"/>
        <v>Error?</v>
      </c>
    </row>
    <row r="4996" spans="1:4" x14ac:dyDescent="0.2">
      <c r="A4996" s="12">
        <v>4935</v>
      </c>
      <c r="B4996" s="1832">
        <f>'FP Info 3'!H31</f>
        <v>1553152.1190000002</v>
      </c>
      <c r="D4996" s="2" t="str">
        <f t="shared" si="77"/>
        <v>Error?</v>
      </c>
    </row>
    <row r="4997" spans="1:4" x14ac:dyDescent="0.2">
      <c r="A4997" s="12">
        <v>4936</v>
      </c>
      <c r="B4997" s="1832">
        <f>'FP Info 3'!H37</f>
        <v>365000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10656</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196437</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207093</v>
      </c>
      <c r="C5066" s="2" t="s">
        <v>569</v>
      </c>
      <c r="D5066" s="2" t="str">
        <f t="shared" si="78"/>
        <v>Error?</v>
      </c>
    </row>
    <row r="5067" spans="1:4" x14ac:dyDescent="0.2">
      <c r="A5067" s="5">
        <v>5006</v>
      </c>
      <c r="B5067" s="1832">
        <f>'Revenues 9-14'!C14</f>
        <v>5595</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47519</v>
      </c>
      <c r="D5069" s="2" t="str">
        <f t="shared" si="78"/>
        <v>Error?</v>
      </c>
    </row>
    <row r="5070" spans="1:4" x14ac:dyDescent="0.2">
      <c r="A5070" s="5">
        <v>5009</v>
      </c>
      <c r="B5070" s="1832">
        <f>'Revenues 9-14'!C17</f>
        <v>262</v>
      </c>
      <c r="D5070" s="2" t="str">
        <f t="shared" si="78"/>
        <v>Error?</v>
      </c>
    </row>
    <row r="5071" spans="1:4" x14ac:dyDescent="0.2">
      <c r="A5071" s="5">
        <v>5010</v>
      </c>
      <c r="B5071" s="1832">
        <f>'Revenues 9-14'!C18</f>
        <v>53376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0</v>
      </c>
      <c r="C5090" s="2" t="s">
        <v>569</v>
      </c>
      <c r="D5090" s="2" t="str">
        <f t="shared" si="78"/>
        <v>Error?</v>
      </c>
    </row>
    <row r="5091" spans="1:4" x14ac:dyDescent="0.2">
      <c r="A5091" s="5">
        <v>5030</v>
      </c>
      <c r="B5091" s="1832">
        <f>'Revenues 9-14'!C70</f>
        <v>788</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2112</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13392</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2783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2783</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1700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59052</v>
      </c>
      <c r="D5118" s="2" t="str">
        <f t="shared" si="78"/>
        <v>Error?</v>
      </c>
    </row>
    <row r="5119" spans="1:4" x14ac:dyDescent="0.2">
      <c r="A5119" s="5">
        <v>5058</v>
      </c>
      <c r="B5119" s="1832">
        <f>'Revenues 9-14'!C107</f>
        <v>7200</v>
      </c>
      <c r="D5119" s="2" t="str">
        <f t="shared" ref="D5119:D5182" si="79">IF(ISBLANK(B5119),"OK",IF(A5119-B5119=0,"OK","Error?"))</f>
        <v>Error?</v>
      </c>
    </row>
    <row r="5120" spans="1:4" x14ac:dyDescent="0.2">
      <c r="A5120" s="5">
        <v>5059</v>
      </c>
      <c r="B5120" s="1832">
        <f>'Revenues 9-14'!C108</f>
        <v>67952</v>
      </c>
      <c r="C5120" s="2" t="s">
        <v>569</v>
      </c>
      <c r="D5120" s="2" t="str">
        <f t="shared" si="79"/>
        <v>Error?</v>
      </c>
    </row>
    <row r="5121" spans="1:4" x14ac:dyDescent="0.2">
      <c r="A5121" s="5">
        <v>5060</v>
      </c>
      <c r="B5121" s="1832">
        <f>'Revenues 9-14'!C109</f>
        <v>344596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1252915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1252915</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864</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117831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119445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1372360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40781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13033</v>
      </c>
      <c r="D5241" s="2" t="str">
        <f t="shared" si="80"/>
        <v>Error?</v>
      </c>
    </row>
    <row r="5242" spans="1:4" x14ac:dyDescent="0.2">
      <c r="A5242" s="5">
        <v>5181</v>
      </c>
      <c r="B5242" s="1832">
        <f>'Revenues 9-14'!C194</f>
        <v>43597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97411</v>
      </c>
      <c r="C5246" s="2" t="s">
        <v>569</v>
      </c>
      <c r="D5246" s="2" t="str">
        <f t="shared" si="80"/>
        <v>Error?</v>
      </c>
    </row>
    <row r="5247" spans="1:4" x14ac:dyDescent="0.2">
      <c r="A5247" s="5">
        <v>5186</v>
      </c>
      <c r="B5247" s="1832">
        <f>'Revenues 9-14'!C200</f>
        <v>118169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132749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-5823</v>
      </c>
      <c r="D5278" s="2" t="str">
        <f t="shared" si="81"/>
        <v>Error?</v>
      </c>
    </row>
    <row r="5279" spans="1:4" x14ac:dyDescent="0.2">
      <c r="A5279" s="5">
        <v>5218</v>
      </c>
      <c r="B5279" s="1832">
        <f>'Revenues 9-14'!C214</f>
        <v>7220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1397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259122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259122</v>
      </c>
      <c r="C5326" s="2" t="s">
        <v>569</v>
      </c>
      <c r="D5326" s="2" t="str">
        <f t="shared" si="82"/>
        <v>Error?</v>
      </c>
    </row>
    <row r="5327" spans="1:5" x14ac:dyDescent="0.2">
      <c r="A5327" s="5">
        <v>5266</v>
      </c>
      <c r="B5327" s="1832">
        <f>'Revenues 9-14'!C268</f>
        <v>1976078</v>
      </c>
      <c r="C5327" s="2" t="s">
        <v>569</v>
      </c>
      <c r="D5327" s="2" t="str">
        <f t="shared" si="82"/>
        <v>Error?</v>
      </c>
    </row>
    <row r="5328" spans="1:5" x14ac:dyDescent="0.2">
      <c r="A5328" s="5">
        <v>5267</v>
      </c>
      <c r="B5328" s="1832">
        <f>'Revenues 9-14'!D5</f>
        <v>53281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4272</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57553</v>
      </c>
      <c r="C5334" s="2" t="s">
        <v>569</v>
      </c>
      <c r="D5334" s="2" t="str">
        <f t="shared" si="82"/>
        <v>Error?</v>
      </c>
    </row>
    <row r="5335" spans="1:4" x14ac:dyDescent="0.2">
      <c r="A5335" s="5">
        <v>5274</v>
      </c>
      <c r="B5335" s="1832">
        <f>'Revenues 9-14'!D14</f>
        <v>1556</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1556</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1243</v>
      </c>
      <c r="D5354" s="2" t="str">
        <f t="shared" si="82"/>
        <v>Error?</v>
      </c>
    </row>
    <row r="5355" spans="1:4" x14ac:dyDescent="0.2">
      <c r="A5355" s="5">
        <v>5294</v>
      </c>
      <c r="B5355" s="1832">
        <f>'Revenues 9-14'!D108</f>
        <v>1243</v>
      </c>
      <c r="C5355" s="2" t="s">
        <v>569</v>
      </c>
      <c r="D5355" s="2" t="str">
        <f t="shared" si="82"/>
        <v>Error?</v>
      </c>
    </row>
    <row r="5356" spans="1:4" x14ac:dyDescent="0.2">
      <c r="A5356" s="5">
        <v>5295</v>
      </c>
      <c r="B5356" s="1832">
        <f>'Revenues 9-14'!D109</f>
        <v>60352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110352</v>
      </c>
      <c r="C5508" s="2" t="s">
        <v>569</v>
      </c>
      <c r="D5508" s="2" t="str">
        <f t="shared" si="85"/>
        <v>Error?</v>
      </c>
    </row>
    <row r="5509" spans="1:4" x14ac:dyDescent="0.2">
      <c r="A5509" s="5">
        <v>5448</v>
      </c>
      <c r="B5509" s="1832">
        <f>'Revenues 9-14'!E5</f>
        <v>98122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98122</v>
      </c>
      <c r="C5513" s="2" t="s">
        <v>569</v>
      </c>
      <c r="D5513" s="2" t="str">
        <f t="shared" si="85"/>
        <v>Error?</v>
      </c>
    </row>
    <row r="5514" spans="1:4" x14ac:dyDescent="0.2">
      <c r="A5514" s="5">
        <v>5453</v>
      </c>
      <c r="B5514" s="1832">
        <f>'Revenues 9-14'!E14</f>
        <v>2765</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2765</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112</v>
      </c>
      <c r="C5526" s="2" t="s">
        <v>569</v>
      </c>
      <c r="D5526" s="2" t="str">
        <f t="shared" si="85"/>
        <v>Error?</v>
      </c>
    </row>
    <row r="5527" spans="1:4" x14ac:dyDescent="0.2">
      <c r="A5527" s="5">
        <v>5466</v>
      </c>
      <c r="B5527" s="1832">
        <f>'Revenues 9-14'!E109</f>
        <v>100999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100999</v>
      </c>
      <c r="C5552" s="2" t="s">
        <v>569</v>
      </c>
      <c r="D5552" s="2" t="str">
        <f t="shared" si="85"/>
        <v>Error?</v>
      </c>
    </row>
    <row r="5553" spans="1:4" x14ac:dyDescent="0.2">
      <c r="A5553" s="5">
        <v>5492</v>
      </c>
      <c r="B5553" s="1832">
        <f>'Revenues 9-14'!F5</f>
        <v>25575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25575</v>
      </c>
      <c r="C5557" s="2" t="s">
        <v>569</v>
      </c>
      <c r="D5557" s="2" t="str">
        <f t="shared" si="85"/>
        <v>Error?</v>
      </c>
    </row>
    <row r="5558" spans="1:4" x14ac:dyDescent="0.2">
      <c r="A5558" s="5">
        <v>5497</v>
      </c>
      <c r="B5558" s="1832">
        <f>'Revenues 9-14'!F14</f>
        <v>694</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694</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26269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147829</v>
      </c>
      <c r="D5615" s="2" t="str">
        <f t="shared" si="86"/>
        <v>Error?</v>
      </c>
    </row>
    <row r="5616" spans="1:4" x14ac:dyDescent="0.2">
      <c r="A5616" s="10">
        <v>5555</v>
      </c>
      <c r="B5616" s="1832"/>
      <c r="D5616" s="2" t="str">
        <f t="shared" si="86"/>
        <v>OK</v>
      </c>
    </row>
    <row r="5617" spans="1:5" x14ac:dyDescent="0.2">
      <c r="A5617" s="5">
        <v>5556</v>
      </c>
      <c r="B5617" s="1832">
        <f>'Revenues 9-14'!F153</f>
        <v>292</v>
      </c>
      <c r="D5617" s="2" t="str">
        <f t="shared" si="86"/>
        <v>Error?</v>
      </c>
    </row>
    <row r="5618" spans="1:5" x14ac:dyDescent="0.2">
      <c r="A5618" s="5">
        <v>5557</v>
      </c>
      <c r="B5618" s="1832">
        <f>'Revenues 9-14'!F155</f>
        <v>148121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148121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148121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174390</v>
      </c>
      <c r="C5720" s="2" t="s">
        <v>569</v>
      </c>
      <c r="D5720" s="2" t="str">
        <f t="shared" si="88"/>
        <v>Error?</v>
      </c>
    </row>
    <row r="5721" spans="1:4" x14ac:dyDescent="0.2">
      <c r="A5721" s="5">
        <v>5660</v>
      </c>
      <c r="B5721" s="1832">
        <f>'Revenues 9-14'!G5</f>
        <v>95112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95112</v>
      </c>
      <c r="C5725" s="2" t="s">
        <v>569</v>
      </c>
      <c r="D5725" s="2" t="str">
        <f t="shared" si="88"/>
        <v>Error?</v>
      </c>
    </row>
    <row r="5726" spans="1:4" x14ac:dyDescent="0.2">
      <c r="A5726" s="5">
        <v>5665</v>
      </c>
      <c r="B5726" s="1832">
        <f>'Revenues 9-14'!G14</f>
        <v>2589</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9733</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12322</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107434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10656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10656</v>
      </c>
      <c r="C5918" s="2" t="s">
        <v>569</v>
      </c>
      <c r="D5918" s="2" t="str">
        <f t="shared" si="91"/>
        <v>Error?</v>
      </c>
    </row>
    <row r="5919" spans="1:4" x14ac:dyDescent="0.2">
      <c r="A5919" s="5">
        <v>5858</v>
      </c>
      <c r="B5919" s="1832">
        <f>'Revenues 9-14'!I14</f>
        <v>289</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289</v>
      </c>
      <c r="C5923" s="2" t="s">
        <v>569</v>
      </c>
      <c r="D5923" s="2" t="str">
        <f t="shared" si="91"/>
        <v>Error?</v>
      </c>
    </row>
    <row r="5924" spans="1:4" x14ac:dyDescent="0.2">
      <c r="A5924" s="5">
        <v>5863</v>
      </c>
      <c r="B5924" s="1832">
        <f>'Revenues 9-14'!I65</f>
        <v>702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702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11647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10656</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10656</v>
      </c>
      <c r="C5987" s="2" t="s">
        <v>569</v>
      </c>
      <c r="D5987" s="2" t="str">
        <f t="shared" si="92"/>
        <v>Error?</v>
      </c>
    </row>
    <row r="5988" spans="1:4" x14ac:dyDescent="0.2">
      <c r="A5988" s="5">
        <v>5927</v>
      </c>
      <c r="B5988" s="1832">
        <f>'Revenues 9-14'!K14</f>
        <v>288</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288</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10944</v>
      </c>
      <c r="C6023" s="2" t="s">
        <v>569</v>
      </c>
      <c r="D6023" s="2" t="str">
        <f t="shared" si="93"/>
        <v>Error?</v>
      </c>
    </row>
    <row r="6024" spans="1:5" x14ac:dyDescent="0.2">
      <c r="A6024" s="5">
        <v>5963</v>
      </c>
      <c r="B6024" s="1832">
        <f>'Revenues 9-14'!G109</f>
        <v>107434</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11647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10944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10492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201.2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45477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45477</v>
      </c>
      <c r="D6215" s="2" t="str">
        <f t="shared" si="96"/>
        <v>Error?</v>
      </c>
      <c r="E6215" s="2" t="s">
        <v>189</v>
      </c>
    </row>
    <row r="6216" spans="1:5" x14ac:dyDescent="0.2">
      <c r="A6216">
        <v>6155</v>
      </c>
      <c r="B6216" s="1832">
        <f>'Assets-Liab 5-6'!J41</f>
        <v>45477</v>
      </c>
      <c r="D6216" s="2" t="str">
        <f t="shared" si="96"/>
        <v>Error?</v>
      </c>
      <c r="E6216" s="2" t="s">
        <v>189</v>
      </c>
    </row>
    <row r="6217" spans="1:5" x14ac:dyDescent="0.2">
      <c r="A6217">
        <v>6156</v>
      </c>
      <c r="B6217" s="1832">
        <f>'Assets-Liab 5-6'!J4</f>
        <v>45477</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84899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84899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84899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80156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80156</v>
      </c>
      <c r="D6229" s="2" t="str">
        <f t="shared" si="96"/>
        <v>Error?</v>
      </c>
      <c r="E6229" s="2" t="s">
        <v>189</v>
      </c>
    </row>
    <row r="6230" spans="1:5" x14ac:dyDescent="0.2">
      <c r="A6230">
        <v>6169</v>
      </c>
      <c r="B6230" s="1832">
        <f>'Acct Summary 7-8'!J20</f>
        <v>4743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139</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139</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139</v>
      </c>
      <c r="D6262" s="2" t="str">
        <f t="shared" si="96"/>
        <v>Error?</v>
      </c>
      <c r="E6262" s="2" t="s">
        <v>189</v>
      </c>
    </row>
    <row r="6263" spans="1:5" x14ac:dyDescent="0.2">
      <c r="A6263">
        <v>6202</v>
      </c>
      <c r="B6263" s="1832">
        <f>'Acct Summary 7-8'!J78</f>
        <v>4882</v>
      </c>
      <c r="D6263" s="2" t="str">
        <f t="shared" si="96"/>
        <v>Error?</v>
      </c>
      <c r="E6263" s="2" t="s">
        <v>189</v>
      </c>
    </row>
    <row r="6264" spans="1:5" x14ac:dyDescent="0.2">
      <c r="A6264">
        <v>6203</v>
      </c>
      <c r="B6264" s="1832">
        <f>'Acct Summary 7-8'!J79</f>
        <v>40595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45477</v>
      </c>
      <c r="D6266" s="2" t="str">
        <f t="shared" si="96"/>
        <v>Error?</v>
      </c>
      <c r="E6266" s="2" t="s">
        <v>189</v>
      </c>
    </row>
    <row r="6267" spans="1:5" x14ac:dyDescent="0.2">
      <c r="A6267">
        <v>6206</v>
      </c>
      <c r="B6267" s="1832">
        <f>'Acct Summary 7-8'!C82</f>
        <v>4878</v>
      </c>
      <c r="D6267" s="2" t="str">
        <f t="shared" si="96"/>
        <v>Error?</v>
      </c>
      <c r="E6267" s="2" t="s">
        <v>189</v>
      </c>
    </row>
    <row r="6268" spans="1:5" x14ac:dyDescent="0.2">
      <c r="A6268">
        <v>6207</v>
      </c>
      <c r="B6268" s="1832">
        <f>'Acct Summary 7-8'!D82</f>
        <v>55719</v>
      </c>
      <c r="D6268" s="2" t="str">
        <f t="shared" si="96"/>
        <v>Error?</v>
      </c>
      <c r="E6268" s="2" t="s">
        <v>189</v>
      </c>
    </row>
    <row r="6269" spans="1:5" x14ac:dyDescent="0.2">
      <c r="A6269">
        <v>6208</v>
      </c>
      <c r="B6269" s="1832">
        <f>'Acct Summary 7-8'!E82</f>
        <v>1561</v>
      </c>
      <c r="D6269" s="2" t="str">
        <f t="shared" si="96"/>
        <v>Error?</v>
      </c>
      <c r="E6269" s="2" t="s">
        <v>189</v>
      </c>
    </row>
    <row r="6270" spans="1:5" x14ac:dyDescent="0.2">
      <c r="A6270">
        <v>6209</v>
      </c>
      <c r="B6270" s="1832">
        <f>'Acct Summary 7-8'!F82</f>
        <v>-49649</v>
      </c>
      <c r="D6270" s="2" t="str">
        <f t="shared" si="96"/>
        <v>Error?</v>
      </c>
      <c r="E6270" s="2" t="s">
        <v>189</v>
      </c>
    </row>
    <row r="6271" spans="1:5" x14ac:dyDescent="0.2">
      <c r="A6271">
        <v>6210</v>
      </c>
      <c r="B6271" s="1832">
        <f>'Acct Summary 7-8'!G82</f>
        <v>11976</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311647</v>
      </c>
      <c r="D6273" s="2" t="str">
        <f t="shared" si="97"/>
        <v>Error?</v>
      </c>
      <c r="E6273" s="2" t="s">
        <v>189</v>
      </c>
    </row>
    <row r="6274" spans="1:5" x14ac:dyDescent="0.2">
      <c r="A6274">
        <v>6213</v>
      </c>
      <c r="B6274" s="1832">
        <f>'Acct Summary 7-8'!J82</f>
        <v>4882</v>
      </c>
      <c r="D6274" s="2" t="str">
        <f t="shared" si="97"/>
        <v>Error?</v>
      </c>
      <c r="E6274" s="2" t="s">
        <v>189</v>
      </c>
    </row>
    <row r="6275" spans="1:5" x14ac:dyDescent="0.2">
      <c r="A6275">
        <v>6214</v>
      </c>
      <c r="B6275" s="1832">
        <f>'Acct Summary 7-8'!K82</f>
        <v>3838</v>
      </c>
      <c r="D6275" s="2" t="str">
        <f t="shared" si="97"/>
        <v>Error?</v>
      </c>
      <c r="E6275" s="2" t="s">
        <v>189</v>
      </c>
    </row>
    <row r="6276" spans="1:5" x14ac:dyDescent="0.2">
      <c r="A6276">
        <v>6215</v>
      </c>
      <c r="B6276" s="1832">
        <f>'Acct Summary 7-8'!C83</f>
        <v>2.976132370167903E-2</v>
      </c>
      <c r="D6276" s="2" t="str">
        <f t="shared" si="97"/>
        <v>Error?</v>
      </c>
      <c r="E6276" s="2" t="s">
        <v>189</v>
      </c>
    </row>
    <row r="6277" spans="1:5" x14ac:dyDescent="0.2">
      <c r="A6277">
        <v>6216</v>
      </c>
      <c r="B6277" s="1832">
        <f>'Acct Summary 7-8'!D83</f>
        <v>0.22101417657651939</v>
      </c>
      <c r="D6277" s="2" t="str">
        <f t="shared" si="97"/>
        <v>Error?</v>
      </c>
      <c r="E6277" s="2" t="s">
        <v>189</v>
      </c>
    </row>
    <row r="6278" spans="1:5" x14ac:dyDescent="0.2">
      <c r="A6278">
        <v>6217</v>
      </c>
      <c r="B6278" s="1832">
        <f>'Acct Summary 7-8'!E83</f>
        <v>5.5650623885918002E-2</v>
      </c>
      <c r="D6278" s="2" t="str">
        <f t="shared" si="97"/>
        <v>Error?</v>
      </c>
      <c r="E6278" s="2" t="s">
        <v>189</v>
      </c>
    </row>
    <row r="6279" spans="1:5" x14ac:dyDescent="0.2">
      <c r="A6279">
        <v>6218</v>
      </c>
      <c r="B6279" s="1832">
        <f>'Acct Summary 7-8'!F83</f>
        <v>-0.24092100155279503</v>
      </c>
      <c r="D6279" s="2" t="str">
        <f t="shared" si="97"/>
        <v>Error?</v>
      </c>
      <c r="E6279" s="2" t="s">
        <v>189</v>
      </c>
    </row>
    <row r="6280" spans="1:5" x14ac:dyDescent="0.2">
      <c r="A6280">
        <v>6219</v>
      </c>
      <c r="B6280" s="1832">
        <f>'Acct Summary 7-8'!G83</f>
        <v>0.10503051989054936</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0.55585837380653835</v>
      </c>
      <c r="D6282" s="2" t="str">
        <f t="shared" si="97"/>
        <v>Error?</v>
      </c>
      <c r="E6282" s="2" t="s">
        <v>189</v>
      </c>
    </row>
    <row r="6283" spans="1:5" x14ac:dyDescent="0.2">
      <c r="A6283">
        <v>6222</v>
      </c>
      <c r="B6283" s="1832">
        <f>'Acct Summary 7-8'!J83</f>
        <v>0.10735096862150098</v>
      </c>
      <c r="D6283" s="2" t="str">
        <f t="shared" si="97"/>
        <v>Error?</v>
      </c>
      <c r="E6283" s="2" t="s">
        <v>189</v>
      </c>
    </row>
    <row r="6284" spans="1:5" x14ac:dyDescent="0.2">
      <c r="A6284">
        <v>6223</v>
      </c>
      <c r="B6284" s="1832">
        <f>'Acct Summary 7-8'!K83</f>
        <v>0.16162722142676661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82630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82630</v>
      </c>
      <c r="D6301" s="2" t="str">
        <f t="shared" si="97"/>
        <v>Error?</v>
      </c>
      <c r="E6301" s="2" t="s">
        <v>189</v>
      </c>
    </row>
    <row r="6302" spans="1:5" x14ac:dyDescent="0.2">
      <c r="A6302">
        <v>6241</v>
      </c>
      <c r="B6302" s="1832">
        <f>'Revenues 9-14'!J14</f>
        <v>2269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2269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84899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86375</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80156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84899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4855</v>
      </c>
      <c r="D7075" s="2" t="str">
        <f t="shared" si="109"/>
        <v>Error?</v>
      </c>
    </row>
    <row r="7076" spans="1:4" x14ac:dyDescent="0.2">
      <c r="A7076">
        <v>7015</v>
      </c>
      <c r="B7076" s="1832">
        <f>'Expenditures 15-22'!K218</f>
        <v>4855</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10032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10032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40000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40000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2066</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2066</v>
      </c>
      <c r="D7198" s="2" t="str">
        <f t="shared" si="111"/>
        <v>Error?</v>
      </c>
    </row>
    <row r="7199" spans="1:4" x14ac:dyDescent="0.2">
      <c r="A7199">
        <v>7138</v>
      </c>
      <c r="B7199" s="1832">
        <f>'Expenditures 15-22'!C330</f>
        <v>40000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40156</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80156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40000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40156</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80156</v>
      </c>
      <c r="D7224" s="2" t="str">
        <f t="shared" si="111"/>
        <v>Error?</v>
      </c>
    </row>
    <row r="7225" spans="1:4" x14ac:dyDescent="0.2">
      <c r="A7225">
        <v>7164</v>
      </c>
      <c r="B7225" s="1832">
        <f>'Expenditures 15-22'!K343</f>
        <v>4743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56830</v>
      </c>
      <c r="D7251" s="2" t="str">
        <f t="shared" si="112"/>
        <v>Error?</v>
      </c>
    </row>
    <row r="7252" spans="1:4" x14ac:dyDescent="0.2">
      <c r="A7252">
        <f t="shared" si="113"/>
        <v>7191</v>
      </c>
      <c r="B7252" s="1832">
        <f>'Expenditures 15-22'!D9</f>
        <v>18931</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2268</v>
      </c>
      <c r="D7254" s="2" t="str">
        <f t="shared" si="112"/>
        <v>Error?</v>
      </c>
    </row>
    <row r="7255" spans="1:4" x14ac:dyDescent="0.2">
      <c r="A7255">
        <f t="shared" si="113"/>
        <v>7194</v>
      </c>
      <c r="B7255" s="1832">
        <f>'Expenditures 15-22'!G9</f>
        <v>8346</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155944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28058</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28058</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1355</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1355</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4272</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112</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1355</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1355</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645000</v>
      </c>
      <c r="D7817" s="2" t="str">
        <f t="shared" si="128"/>
        <v>Error?</v>
      </c>
      <c r="E7817" s="4" t="s">
        <v>1966</v>
      </c>
    </row>
    <row r="7818" spans="1:5" x14ac:dyDescent="0.2">
      <c r="A7818">
        <v>7757</v>
      </c>
      <c r="B7818" s="1832">
        <f>'PCTC-OEPP 27-28'!F172</f>
        <v>77557</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2533863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78029</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313550</v>
      </c>
      <c r="D7834" s="2" t="str">
        <f t="shared" si="129"/>
        <v>Error?</v>
      </c>
      <c r="E7834" s="4" t="s">
        <v>1998</v>
      </c>
    </row>
    <row r="7835" spans="1:5" x14ac:dyDescent="0.2">
      <c r="A7835">
        <v>7774</v>
      </c>
      <c r="B7835" s="1832">
        <f>'PCTC-OEPP 27-28'!F78</f>
        <v>2220313</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11035.352882703777</v>
      </c>
      <c r="D7837" s="2" t="str">
        <f t="shared" si="129"/>
        <v>Error?</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148121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97411</v>
      </c>
      <c r="D7858" s="2" t="str">
        <f t="shared" si="129"/>
        <v>Error?</v>
      </c>
      <c r="E7858" s="4" t="s">
        <v>1998</v>
      </c>
    </row>
    <row r="7859" spans="1:5" x14ac:dyDescent="0.2">
      <c r="A7859">
        <v>7798</v>
      </c>
      <c r="B7859" s="1832">
        <f>'PCTC-OEPP 27-28'!F127</f>
        <v>132749</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-5823</v>
      </c>
      <c r="D7861" s="2" t="str">
        <f t="shared" si="129"/>
        <v>Error?</v>
      </c>
      <c r="E7861" s="4" t="s">
        <v>1998</v>
      </c>
    </row>
    <row r="7862" spans="1:5" x14ac:dyDescent="0.2">
      <c r="A7862">
        <v>7801</v>
      </c>
      <c r="B7862" s="1832">
        <f>'PCTC-OEPP 27-28'!F130</f>
        <v>7220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4368</v>
      </c>
      <c r="D7874" s="2" t="str">
        <f t="shared" si="129"/>
        <v>Error?</v>
      </c>
      <c r="E7874" s="4" t="s">
        <v>1998</v>
      </c>
    </row>
    <row r="7875" spans="1:5" x14ac:dyDescent="0.2">
      <c r="A7875">
        <v>7814</v>
      </c>
      <c r="B7875" s="1832">
        <f>'PCTC-OEPP 27-28'!F170</f>
        <v>9731</v>
      </c>
      <c r="D7875" s="2" t="str">
        <f t="shared" si="129"/>
        <v>Error?</v>
      </c>
      <c r="E7875" s="4" t="s">
        <v>1998</v>
      </c>
    </row>
    <row r="7876" spans="1:5" x14ac:dyDescent="0.2">
      <c r="A7876">
        <v>7815</v>
      </c>
      <c r="B7876" s="1832">
        <f>'PCTC-OEPP 27-28'!F171</f>
        <v>13466</v>
      </c>
      <c r="D7876" s="2" t="str">
        <f t="shared" si="129"/>
        <v>Error?</v>
      </c>
      <c r="E7876" s="4" t="s">
        <v>1998</v>
      </c>
    </row>
    <row r="7877" spans="1:5" x14ac:dyDescent="0.2">
      <c r="A7877">
        <v>7816</v>
      </c>
      <c r="B7877" s="1832">
        <f>'PCTC-OEPP 27-28'!F175</f>
        <v>561641</v>
      </c>
      <c r="D7877" s="2" t="str">
        <f t="shared" si="129"/>
        <v>Error?</v>
      </c>
      <c r="E7877" s="4" t="s">
        <v>1998</v>
      </c>
    </row>
    <row r="7878" spans="1:5" x14ac:dyDescent="0.2">
      <c r="A7878">
        <v>7817</v>
      </c>
      <c r="B7878" s="1832">
        <f>'PCTC-OEPP 27-28'!F176</f>
        <v>1658672</v>
      </c>
      <c r="D7878" s="2" t="str">
        <f t="shared" si="129"/>
        <v>Error?</v>
      </c>
      <c r="E7878" s="4" t="s">
        <v>1998</v>
      </c>
    </row>
    <row r="7879" spans="1:5" x14ac:dyDescent="0.2">
      <c r="A7879">
        <v>7818</v>
      </c>
      <c r="B7879" s="1832">
        <f>'PCTC-OEPP 27-28'!F178</f>
        <v>1814616</v>
      </c>
      <c r="D7879" s="2" t="str">
        <f t="shared" si="129"/>
        <v>Error?</v>
      </c>
      <c r="E7879" s="4" t="s">
        <v>1998</v>
      </c>
    </row>
    <row r="7880" spans="1:5" x14ac:dyDescent="0.2">
      <c r="A7880">
        <v>7819</v>
      </c>
      <c r="B7880" s="1832">
        <f>'PCTC-OEPP 27-28'!F180</f>
        <v>9018.9662027833001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 xml:space="preserve"> New Simpson Hill SD 32</v>
      </c>
      <c r="B7" s="2537"/>
      <c r="C7" s="2537"/>
      <c r="D7" s="2538"/>
      <c r="E7" s="2539">
        <f>COVER!A13</f>
        <v>21044032003</v>
      </c>
      <c r="F7" s="2540"/>
      <c r="G7" s="2546" t="str">
        <f>COVER!T23</f>
        <v>065-022629</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Cindy A. Bobell, CPA</v>
      </c>
      <c r="H9" s="2552"/>
      <c r="I9" s="2552"/>
      <c r="J9" s="2552"/>
      <c r="K9" s="2552"/>
      <c r="L9" s="2553"/>
    </row>
    <row r="10" spans="1:29" ht="13.5" customHeight="1" x14ac:dyDescent="0.2">
      <c r="A10" s="2525" t="str">
        <f>COVER!A38</f>
        <v>Joe Nighswander</v>
      </c>
      <c r="B10" s="2526"/>
      <c r="C10" s="2526"/>
      <c r="D10" s="2526"/>
      <c r="E10" s="2526"/>
      <c r="F10" s="2527"/>
      <c r="G10" s="2519" t="str">
        <f>COVER!T17</f>
        <v>10653 Khoury League Road</v>
      </c>
      <c r="H10" s="2520"/>
      <c r="I10" s="2520"/>
      <c r="J10" s="2520"/>
      <c r="K10" s="2520"/>
      <c r="L10" s="2521"/>
    </row>
    <row r="11" spans="1:29" ht="13.5" customHeight="1" x14ac:dyDescent="0.2">
      <c r="A11" s="963" t="s">
        <v>1502</v>
      </c>
      <c r="B11" s="964"/>
      <c r="C11" s="965"/>
      <c r="D11" s="970"/>
      <c r="E11" s="965"/>
      <c r="F11" s="969"/>
      <c r="G11" s="2519" t="str">
        <f>COVER!T19</f>
        <v>Marion</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cabcpa@frontier.com</v>
      </c>
      <c r="J13" s="2532"/>
      <c r="K13" s="2532"/>
      <c r="L13" s="2533"/>
    </row>
    <row r="14" spans="1:29" ht="13.5" customHeight="1" x14ac:dyDescent="0.2">
      <c r="A14" s="2519" t="str">
        <f>COVER!A19</f>
        <v>95 Tunnel Hill Road</v>
      </c>
      <c r="B14" s="2520"/>
      <c r="C14" s="2520"/>
      <c r="D14" s="2520"/>
      <c r="E14" s="2520"/>
      <c r="F14" s="2521"/>
      <c r="G14" s="974" t="s">
        <v>1175</v>
      </c>
      <c r="H14" s="972"/>
      <c r="I14" s="972"/>
      <c r="J14" s="972"/>
      <c r="K14" s="972"/>
      <c r="L14" s="973"/>
    </row>
    <row r="15" spans="1:29" ht="13.5" customHeight="1" x14ac:dyDescent="0.2">
      <c r="A15" s="2519" t="str">
        <f>COVER!A21</f>
        <v>Tunnel Hill</v>
      </c>
      <c r="B15" s="2520"/>
      <c r="C15" s="2520"/>
      <c r="D15" s="2520"/>
      <c r="E15" s="2520"/>
      <c r="F15" s="2521"/>
      <c r="G15" s="2516" t="str">
        <f>COVER!T15</f>
        <v>Cindy A. Bobell, CPA</v>
      </c>
      <c r="H15" s="2517"/>
      <c r="I15" s="2517"/>
      <c r="J15" s="2517"/>
      <c r="K15" s="2517"/>
      <c r="L15" s="2518"/>
    </row>
    <row r="16" spans="1:29" ht="12.2" customHeight="1" x14ac:dyDescent="0.2">
      <c r="A16" s="2542">
        <f>COVER!A25</f>
        <v>62972</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618-997-9711</v>
      </c>
      <c r="H18" s="2537"/>
      <c r="I18" s="2537"/>
      <c r="J18" s="2537"/>
      <c r="K18" s="2536" t="str">
        <f>COVER!X21</f>
        <v>618-997-8014</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New Simpson Hill SD 32</v>
      </c>
      <c r="B1" s="2559"/>
      <c r="C1" s="2559"/>
      <c r="D1" s="2559"/>
    </row>
    <row r="2" spans="1:11" s="991" customFormat="1" ht="12.75" x14ac:dyDescent="0.2">
      <c r="A2" s="2560">
        <f>'Single Audit Cover'!E7</f>
        <v>21044032003</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New Simpson Hill SD 32</v>
      </c>
      <c r="B1" s="2563"/>
      <c r="C1" s="2563"/>
      <c r="D1" s="2563"/>
      <c r="E1" s="2563"/>
    </row>
    <row r="2" spans="1:5" x14ac:dyDescent="0.2">
      <c r="A2" s="2564">
        <f>'Single Audit Cover'!E7</f>
        <v>21044032003</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259122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-9731</v>
      </c>
    </row>
    <row r="19" spans="1:4" ht="13.5" thickBot="1" x14ac:dyDescent="0.25">
      <c r="A19" s="1041" t="s">
        <v>1224</v>
      </c>
      <c r="D19" s="1042">
        <f>SUM(D10:D17)</f>
        <v>249391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249391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249391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New Simpson Hill SD 32</v>
      </c>
      <c r="C1" s="2567"/>
      <c r="D1" s="2567"/>
      <c r="E1" s="2567"/>
      <c r="F1" s="2567"/>
      <c r="G1" s="2567"/>
      <c r="H1" s="2567"/>
      <c r="I1" s="2567"/>
      <c r="J1" s="2567"/>
      <c r="K1" s="2567"/>
      <c r="L1" s="2567"/>
      <c r="M1" s="2567"/>
    </row>
    <row r="2" spans="2:14" ht="15" x14ac:dyDescent="0.2">
      <c r="B2" s="2568">
        <f>'Single Audit Cover'!E7</f>
        <v>21044032003</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New Simpson Hill SD 32</v>
      </c>
      <c r="B1" s="2580"/>
      <c r="C1" s="2580"/>
      <c r="D1" s="2580"/>
      <c r="E1" s="2580"/>
      <c r="F1" s="2580"/>
    </row>
    <row r="2" spans="1:7" ht="13.5" customHeight="1" x14ac:dyDescent="0.2">
      <c r="A2" s="2568">
        <f>'Single Audit Cover'!E7</f>
        <v>21044032003</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7" colorId="8" zoomScaleNormal="100" workbookViewId="0">
      <selection activeCell="B3" sqref="B3:K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2058</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New Simpson Hill SD 32</v>
      </c>
      <c r="C1" s="2595"/>
      <c r="D1" s="2595"/>
      <c r="E1" s="2595"/>
      <c r="F1" s="2595"/>
      <c r="G1" s="2595"/>
      <c r="H1" s="2595"/>
      <c r="I1" s="2595"/>
      <c r="J1" s="1178"/>
    </row>
    <row r="2" spans="2:10" s="295" customFormat="1" ht="12.75" customHeight="1" x14ac:dyDescent="0.2">
      <c r="B2" s="2596">
        <f>'Single Audit Cover'!E7</f>
        <v>21044032003</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17" t="str">
        <f>"Total Federal Expenditures for 7/1/"&amp;MID('AFR20'!E2,3,2)-1&amp;"-6/30/"&amp;MID('AFR20'!E2,3,2)</f>
        <v>Total Federal Expenditures for 7/1/19-6/30/20</v>
      </c>
      <c r="C45" s="1918"/>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8" sqref="B3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New Simpson Hill SD 32</v>
      </c>
      <c r="C1" s="2594"/>
      <c r="D1" s="2594"/>
      <c r="E1" s="2594"/>
      <c r="F1" s="2594"/>
      <c r="G1" s="2594"/>
      <c r="H1" s="2594"/>
      <c r="I1" s="2594"/>
      <c r="J1" s="2594"/>
      <c r="K1" s="2594"/>
      <c r="L1" s="1144"/>
      <c r="M1" s="1144"/>
    </row>
    <row r="2" spans="1:13" ht="12" customHeight="1" x14ac:dyDescent="0.2">
      <c r="B2" s="2596">
        <f>'Single Audit Cover'!E7</f>
        <v>21044032003</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1997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2080</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2080</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2081</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2082</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t="s">
        <v>2083</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&amp;R
B - 37</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708EA-0FD8-4E55-B551-D4708AD3D2D5}">
  <dimension ref="A1:M41"/>
  <sheetViews>
    <sheetView showGridLines="0" topLeftCell="A9" zoomScale="110" zoomScaleNormal="110" workbookViewId="0">
      <selection activeCell="B23" sqref="B23:K2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New Simpson Hill SD 32</v>
      </c>
      <c r="C1" s="2594"/>
      <c r="D1" s="2594"/>
      <c r="E1" s="2594"/>
      <c r="F1" s="2594"/>
      <c r="G1" s="2594"/>
      <c r="H1" s="2594"/>
      <c r="I1" s="2594"/>
      <c r="J1" s="2594"/>
      <c r="K1" s="2594"/>
      <c r="L1" s="1144"/>
      <c r="M1" s="1144"/>
    </row>
    <row r="2" spans="1:13" ht="12" customHeight="1" x14ac:dyDescent="0.2">
      <c r="B2" s="2596">
        <f>'Single Audit Cover'!E7</f>
        <v>21044032003</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2035"/>
      <c r="M3" s="2035"/>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2</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1997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2084</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2084</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2085</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t="s">
        <v>2086</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&amp;R
B - 38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New Simpson Hill SD 32</v>
      </c>
      <c r="C1" s="2617"/>
      <c r="D1" s="2617"/>
      <c r="E1" s="2617"/>
      <c r="F1" s="2617"/>
      <c r="G1" s="2617"/>
      <c r="H1" s="2617"/>
      <c r="I1" s="2617"/>
      <c r="J1" s="2617"/>
      <c r="K1" s="2617"/>
      <c r="L1" s="1221"/>
    </row>
    <row r="2" spans="1:12" ht="12.75" customHeight="1" x14ac:dyDescent="0.2">
      <c r="B2" s="2618">
        <f>'Single Audit Cover'!E7</f>
        <v>21044032003</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New Simpson Hill SD 32</v>
      </c>
      <c r="C1" s="2594"/>
      <c r="D1" s="2594"/>
      <c r="E1" s="1240"/>
    </row>
    <row r="2" spans="2:5" s="1058" customFormat="1" ht="12.75" customHeight="1" x14ac:dyDescent="0.2">
      <c r="B2" s="2596">
        <f>'Single Audit Cover'!E7</f>
        <v>21044032003</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8" colorId="8" zoomScale="110" zoomScaleNormal="110" workbookViewId="0">
      <selection activeCell="B3" sqref="B3:K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22509451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9.1999999999999998E-3</v>
      </c>
      <c r="E10" s="333" t="s">
        <v>998</v>
      </c>
      <c r="F10" s="332">
        <v>2.5000000000000001E-3</v>
      </c>
      <c r="G10" s="333" t="s">
        <v>998</v>
      </c>
      <c r="H10" s="332">
        <v>1.1999999999999999E-3</v>
      </c>
      <c r="I10" s="333" t="s">
        <v>999</v>
      </c>
      <c r="J10" s="1424">
        <f>ROUND(D10+F10+H10,5)</f>
        <v>1.29E-2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2272467</v>
      </c>
      <c r="E16" s="1547"/>
      <c r="F16" s="1546">
        <f>SUM('Acct Summary 7-8'!C17,'Acct Summary 7-8'!D17,'Acct Summary 7-8'!F17)</f>
        <v>2249872</v>
      </c>
      <c r="G16" s="1547"/>
      <c r="H16" s="1546">
        <f>SUM(D16-F16)</f>
        <v>22595</v>
      </c>
      <c r="I16" s="1548"/>
      <c r="J16" s="1546">
        <f>SUM('Acct Summary 7-8'!C81,'Acct Summary 7-8'!D81,'Acct Summary 7-8'!F81,'Acct Summary 7-8'!I81)</f>
        <v>1182749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1553152.1190000002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3" sqref="B3:K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New Simpson Hill SD 32</v>
      </c>
      <c r="E7" s="368"/>
      <c r="G7" s="247"/>
      <c r="H7" s="364"/>
      <c r="I7" s="364"/>
      <c r="J7" s="364"/>
      <c r="K7" s="364"/>
      <c r="L7" s="307"/>
      <c r="M7" s="307"/>
      <c r="N7" s="307"/>
      <c r="O7" s="307"/>
      <c r="P7" s="307"/>
    </row>
    <row r="8" spans="1:18" ht="12.75" x14ac:dyDescent="0.2">
      <c r="A8" s="307"/>
      <c r="B8" s="307"/>
      <c r="C8" s="366" t="s">
        <v>1115</v>
      </c>
      <c r="D8" s="369">
        <f>COVER!A13</f>
        <v>21044032003</v>
      </c>
      <c r="E8" s="370"/>
      <c r="G8" s="307"/>
      <c r="H8" s="307"/>
      <c r="I8" s="307"/>
      <c r="J8" s="307"/>
      <c r="K8" s="307"/>
      <c r="L8" s="307"/>
      <c r="M8" s="307"/>
      <c r="N8" s="307"/>
      <c r="O8" s="307"/>
      <c r="P8" s="307"/>
    </row>
    <row r="9" spans="1:18" ht="12.75" x14ac:dyDescent="0.2">
      <c r="A9" s="307"/>
      <c r="B9" s="307"/>
      <c r="C9" s="366" t="s">
        <v>708</v>
      </c>
      <c r="D9" s="371" t="str">
        <f>COVER!A15</f>
        <v>Johnson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1182749</v>
      </c>
      <c r="I12" s="380"/>
      <c r="J12" s="380"/>
      <c r="K12" s="1559">
        <f>TRUNC((H12/H13*100000),5)/100000</f>
        <v>0.52046916409999999</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2272467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2249872</v>
      </c>
      <c r="I17" s="380"/>
      <c r="J17" s="389"/>
      <c r="K17" s="1559">
        <f>TRUNC((H17/H18*100000),5)/100000</f>
        <v>0.99005706130000004</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2272467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1182749</v>
      </c>
      <c r="I24" s="394"/>
      <c r="J24" s="394"/>
      <c r="K24" s="1555">
        <f>TRUNC(((H24/H25*100000)/100000),2)</f>
        <v>189.25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6249.64444</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246816.13021999999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365000</v>
      </c>
      <c r="I32" s="392"/>
      <c r="J32" s="392"/>
      <c r="K32" s="1555">
        <f>TRUNC(100-((((H32/H33*100))*100)/100),2)</f>
        <v>76.489999999999995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1553152.1190000002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activeCell="B3" sqref="B3:K3"/>
      <selection pane="bottomLeft" activeCell="B3" sqref="B3:K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f>1538+162336+30</f>
        <v>163904</v>
      </c>
      <c r="D4" s="1573">
        <v>252106</v>
      </c>
      <c r="E4" s="1573">
        <v>28050</v>
      </c>
      <c r="F4" s="1573">
        <v>206080</v>
      </c>
      <c r="G4" s="1573">
        <v>114024</v>
      </c>
      <c r="H4" s="1573"/>
      <c r="I4" s="1573">
        <v>560659</v>
      </c>
      <c r="J4" s="1574">
        <v>45477</v>
      </c>
      <c r="K4" s="1573">
        <v>23746</v>
      </c>
      <c r="L4" s="1573">
        <v>10461</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163904</v>
      </c>
      <c r="D13" s="1587">
        <f t="shared" ref="D13:L13" si="0">SUM(D4:D12)</f>
        <v>252106</v>
      </c>
      <c r="E13" s="1587">
        <f t="shared" si="0"/>
        <v>28050</v>
      </c>
      <c r="F13" s="1587">
        <f t="shared" si="0"/>
        <v>206080</v>
      </c>
      <c r="G13" s="1587">
        <f t="shared" si="0"/>
        <v>114024</v>
      </c>
      <c r="H13" s="1587">
        <f t="shared" si="0"/>
        <v>0</v>
      </c>
      <c r="I13" s="1587">
        <f t="shared" si="0"/>
        <v>560659</v>
      </c>
      <c r="J13" s="1587">
        <f t="shared" si="0"/>
        <v>45477</v>
      </c>
      <c r="K13" s="1587">
        <f t="shared" si="0"/>
        <v>23746</v>
      </c>
      <c r="L13" s="1587">
        <f t="shared" si="0"/>
        <v>10461</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4196764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1166519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28050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336950</v>
      </c>
    </row>
    <row r="23" spans="1:14" ht="13.5" customHeight="1" thickBot="1" x14ac:dyDescent="0.25">
      <c r="A23" s="1426" t="s">
        <v>638</v>
      </c>
      <c r="B23" s="1429"/>
      <c r="C23" s="1575"/>
      <c r="D23" s="1575"/>
      <c r="E23" s="1575"/>
      <c r="F23" s="1575"/>
      <c r="G23" s="1575"/>
      <c r="H23" s="1575"/>
      <c r="I23" s="1575"/>
      <c r="J23" s="1575"/>
      <c r="K23" s="1575"/>
      <c r="L23" s="1575"/>
      <c r="M23" s="1594">
        <f>SUM(M15:M22)</f>
        <v>5370283</v>
      </c>
      <c r="N23" s="1594">
        <f>SUM(N21:N22)</f>
        <v>365000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10461</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10461</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365000</v>
      </c>
    </row>
    <row r="37" spans="1:14" ht="13.5" thickBot="1" x14ac:dyDescent="0.25">
      <c r="A37" s="1426" t="s">
        <v>648</v>
      </c>
      <c r="B37" s="1429"/>
      <c r="C37" s="1582"/>
      <c r="D37" s="1582"/>
      <c r="E37" s="1582"/>
      <c r="F37" s="1582"/>
      <c r="G37" s="1582"/>
      <c r="H37" s="1582"/>
      <c r="I37" s="1582"/>
      <c r="J37" s="1582"/>
      <c r="K37" s="1582"/>
      <c r="L37" s="1585"/>
      <c r="M37" s="1575"/>
      <c r="N37" s="1594">
        <f>SUM(N36:N36)</f>
        <v>365000</v>
      </c>
    </row>
    <row r="38" spans="1:14" s="307" customFormat="1" ht="13.5" customHeight="1" thickTop="1" x14ac:dyDescent="0.2">
      <c r="A38" s="438" t="s">
        <v>417</v>
      </c>
      <c r="B38" s="432">
        <v>714</v>
      </c>
      <c r="C38" s="1573"/>
      <c r="D38" s="1573">
        <v>50000</v>
      </c>
      <c r="E38" s="1573"/>
      <c r="F38" s="1573"/>
      <c r="G38" s="1573"/>
      <c r="H38" s="1573"/>
      <c r="I38" s="1573"/>
      <c r="J38" s="1574"/>
      <c r="K38" s="1573"/>
      <c r="L38" s="1586"/>
      <c r="M38" s="1604"/>
      <c r="N38" s="1604"/>
    </row>
    <row r="39" spans="1:14" s="307" customFormat="1" ht="13.5" customHeight="1" x14ac:dyDescent="0.2">
      <c r="A39" s="438" t="s">
        <v>339</v>
      </c>
      <c r="B39" s="432">
        <v>730</v>
      </c>
      <c r="C39" s="1573">
        <v>163904</v>
      </c>
      <c r="D39" s="1573">
        <v>202106</v>
      </c>
      <c r="E39" s="1573">
        <v>28050</v>
      </c>
      <c r="F39" s="1573">
        <v>206080</v>
      </c>
      <c r="G39" s="1573">
        <v>114024</v>
      </c>
      <c r="H39" s="1573"/>
      <c r="I39" s="1573">
        <v>560659</v>
      </c>
      <c r="J39" s="1574">
        <v>45477</v>
      </c>
      <c r="K39" s="1573">
        <v>23746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5370283</v>
      </c>
      <c r="N40" s="1604"/>
    </row>
    <row r="41" spans="1:14" ht="13.5" customHeight="1" thickBot="1" x14ac:dyDescent="0.25">
      <c r="A41" s="1426" t="s">
        <v>650</v>
      </c>
      <c r="B41" s="1405"/>
      <c r="C41" s="1594">
        <f>(SUM(C34,C37,C38,C39))</f>
        <v>163904</v>
      </c>
      <c r="D41" s="1594">
        <f t="shared" ref="D41:L41" si="2">SUM(D34,D37,D38:D39)</f>
        <v>252106</v>
      </c>
      <c r="E41" s="1594">
        <f t="shared" si="2"/>
        <v>28050</v>
      </c>
      <c r="F41" s="1594">
        <f t="shared" si="2"/>
        <v>206080</v>
      </c>
      <c r="G41" s="1594">
        <f t="shared" si="2"/>
        <v>114024</v>
      </c>
      <c r="H41" s="1594">
        <f t="shared" si="2"/>
        <v>0</v>
      </c>
      <c r="I41" s="1594">
        <f t="shared" si="2"/>
        <v>560659</v>
      </c>
      <c r="J41" s="1594">
        <f t="shared" si="2"/>
        <v>45477</v>
      </c>
      <c r="K41" s="1594">
        <f t="shared" si="2"/>
        <v>23746</v>
      </c>
      <c r="L41" s="1594">
        <f t="shared" si="2"/>
        <v>10461</v>
      </c>
      <c r="M41" s="1594">
        <f>SUM(M40)</f>
        <v>5370283</v>
      </c>
      <c r="N41" s="1594">
        <f>SUM(N37)</f>
        <v>365000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B3" sqref="B3:K3"/>
      <selection pane="bottomLeft" activeCell="B3" sqref="B3:K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344596</v>
      </c>
      <c r="D4" s="1606">
        <f>'Revenues 9-14'!D109</f>
        <v>60352</v>
      </c>
      <c r="E4" s="1606">
        <f>'Revenues 9-14'!E109</f>
        <v>100999</v>
      </c>
      <c r="F4" s="1606">
        <f>'Revenues 9-14'!F109</f>
        <v>26269</v>
      </c>
      <c r="G4" s="1606">
        <f>'Revenues 9-14'!G109</f>
        <v>107434</v>
      </c>
      <c r="H4" s="1606">
        <f>'Revenues 9-14'!H109</f>
        <v>0</v>
      </c>
      <c r="I4" s="1606">
        <f>'Revenues 9-14'!I109</f>
        <v>11647</v>
      </c>
      <c r="J4" s="1606">
        <f>'Revenues 9-14'!J109</f>
        <v>84899</v>
      </c>
      <c r="K4" s="1606">
        <f>'Revenues 9-14'!K109</f>
        <v>10944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1372360</v>
      </c>
      <c r="D6" s="1607">
        <f>'Revenues 9-14'!D170</f>
        <v>50000</v>
      </c>
      <c r="E6" s="1607">
        <f>'Revenues 9-14'!E170</f>
        <v>0</v>
      </c>
      <c r="F6" s="1607">
        <f>'Revenues 9-14'!F170</f>
        <v>148121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259122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1976078</v>
      </c>
      <c r="D8" s="1594">
        <f t="shared" ref="D8:K8" si="0">SUM(D4:D7)</f>
        <v>110352</v>
      </c>
      <c r="E8" s="1594">
        <f t="shared" si="0"/>
        <v>100999</v>
      </c>
      <c r="F8" s="1594">
        <f t="shared" si="0"/>
        <v>174390</v>
      </c>
      <c r="G8" s="1594">
        <f t="shared" si="0"/>
        <v>107434</v>
      </c>
      <c r="H8" s="1594">
        <f t="shared" si="0"/>
        <v>0</v>
      </c>
      <c r="I8" s="1594">
        <f t="shared" si="0"/>
        <v>11647</v>
      </c>
      <c r="J8" s="1594">
        <f t="shared" si="0"/>
        <v>84899</v>
      </c>
      <c r="K8" s="1594">
        <f t="shared" si="0"/>
        <v>10944</v>
      </c>
      <c r="L8" s="325"/>
    </row>
    <row r="9" spans="1:13" ht="15.75" thickTop="1" x14ac:dyDescent="0.2">
      <c r="A9" s="449" t="s">
        <v>1634</v>
      </c>
      <c r="B9" s="450">
        <v>3998</v>
      </c>
      <c r="C9" s="1586">
        <v>889209</v>
      </c>
      <c r="D9" s="1613"/>
      <c r="E9" s="1586"/>
      <c r="F9" s="1586"/>
      <c r="G9" s="1614"/>
      <c r="H9" s="1586"/>
      <c r="I9" s="1609" t="s">
        <v>1159</v>
      </c>
      <c r="J9" s="1583"/>
      <c r="K9" s="1586"/>
      <c r="L9" s="325"/>
    </row>
    <row r="10" spans="1:13" s="452" customFormat="1" ht="13.5" thickBot="1" x14ac:dyDescent="0.25">
      <c r="A10" s="1426" t="s">
        <v>1163</v>
      </c>
      <c r="B10" s="1407"/>
      <c r="C10" s="1594">
        <f>SUM(C8:C9)</f>
        <v>2865287</v>
      </c>
      <c r="D10" s="1594">
        <f t="shared" ref="D10:K10" si="1">SUM(D8:D9)</f>
        <v>110352</v>
      </c>
      <c r="E10" s="1594">
        <f t="shared" si="1"/>
        <v>100999</v>
      </c>
      <c r="F10" s="1594">
        <f t="shared" si="1"/>
        <v>174390</v>
      </c>
      <c r="G10" s="1594">
        <f t="shared" si="1"/>
        <v>107434</v>
      </c>
      <c r="H10" s="1594">
        <f t="shared" si="1"/>
        <v>0</v>
      </c>
      <c r="I10" s="1594">
        <f t="shared" si="1"/>
        <v>11647</v>
      </c>
      <c r="J10" s="1594">
        <f t="shared" si="1"/>
        <v>84899</v>
      </c>
      <c r="K10" s="1594">
        <f t="shared" si="1"/>
        <v>10944</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1237532</v>
      </c>
      <c r="D12" s="1616" t="s">
        <v>1159</v>
      </c>
      <c r="E12" s="1575" t="s">
        <v>1159</v>
      </c>
      <c r="F12" s="1575" t="s">
        <v>1159</v>
      </c>
      <c r="G12" s="1606">
        <f>'Expenditures 15-22'!K229</f>
        <v>41672</v>
      </c>
      <c r="H12" s="1617"/>
      <c r="I12" s="1575" t="s">
        <v>1159</v>
      </c>
      <c r="J12" s="1575" t="s">
        <v>1159</v>
      </c>
      <c r="K12" s="1617" t="s">
        <v>1159</v>
      </c>
      <c r="L12" s="325"/>
    </row>
    <row r="13" spans="1:13" ht="15.75" customHeight="1" x14ac:dyDescent="0.2">
      <c r="A13" s="1314" t="s">
        <v>454</v>
      </c>
      <c r="B13" s="1316">
        <v>2000</v>
      </c>
      <c r="C13" s="1607">
        <f>'Expenditures 15-22'!K74</f>
        <v>703172</v>
      </c>
      <c r="D13" s="1607">
        <f>'Expenditures 15-22'!K129</f>
        <v>54633</v>
      </c>
      <c r="E13" s="1576" t="s">
        <v>1159</v>
      </c>
      <c r="F13" s="1607">
        <f>'Expenditures 15-22'!K184</f>
        <v>224039</v>
      </c>
      <c r="G13" s="1607">
        <f>'Expenditures 15-22'!K279</f>
        <v>53786</v>
      </c>
      <c r="H13" s="1607">
        <f>'Expenditures 15-22'!K303</f>
        <v>0</v>
      </c>
      <c r="I13" s="1575" t="s">
        <v>1159</v>
      </c>
      <c r="J13" s="1607">
        <f>'Expenditures 15-22'!K330</f>
        <v>80156</v>
      </c>
      <c r="K13" s="1618">
        <f>'Expenditures 15-22'!K352</f>
        <v>7106</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30496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108377</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1971200</v>
      </c>
      <c r="D17" s="1594">
        <f t="shared" si="2"/>
        <v>54633</v>
      </c>
      <c r="E17" s="1594">
        <f t="shared" si="2"/>
        <v>108377</v>
      </c>
      <c r="F17" s="1594">
        <f t="shared" si="2"/>
        <v>224039</v>
      </c>
      <c r="G17" s="1594">
        <f t="shared" si="2"/>
        <v>95458</v>
      </c>
      <c r="H17" s="1594">
        <f t="shared" si="2"/>
        <v>0</v>
      </c>
      <c r="I17" s="1575"/>
      <c r="J17" s="1594">
        <f>SUM(J12:J16)</f>
        <v>80156</v>
      </c>
      <c r="K17" s="1594">
        <f>SUM(K12:K16)</f>
        <v>7106</v>
      </c>
      <c r="L17" s="325"/>
    </row>
    <row r="18" spans="1:12" ht="15" customHeight="1" thickTop="1" x14ac:dyDescent="0.2">
      <c r="A18" s="1430" t="s">
        <v>1635</v>
      </c>
      <c r="B18" s="1431">
        <v>4180</v>
      </c>
      <c r="C18" s="1606">
        <f t="shared" ref="C18:H18" si="3">C9</f>
        <v>889209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2860409</v>
      </c>
      <c r="D19" s="1594">
        <f t="shared" si="4"/>
        <v>54633</v>
      </c>
      <c r="E19" s="1594">
        <f t="shared" si="4"/>
        <v>108377</v>
      </c>
      <c r="F19" s="1594">
        <f t="shared" si="4"/>
        <v>224039</v>
      </c>
      <c r="G19" s="1594">
        <f t="shared" si="4"/>
        <v>95458</v>
      </c>
      <c r="H19" s="1594">
        <f t="shared" si="4"/>
        <v>0</v>
      </c>
      <c r="I19" s="1575"/>
      <c r="J19" s="1594">
        <f>SUM(J17:J18)</f>
        <v>80156</v>
      </c>
      <c r="K19" s="1594">
        <f>SUM(K17:K18)</f>
        <v>7106</v>
      </c>
      <c r="L19" s="325"/>
    </row>
    <row r="20" spans="1:12" ht="16.5" thickTop="1" thickBot="1" x14ac:dyDescent="0.25">
      <c r="A20" s="2232" t="s">
        <v>1636</v>
      </c>
      <c r="B20" s="2233"/>
      <c r="C20" s="1622">
        <f>C8-C17</f>
        <v>4878</v>
      </c>
      <c r="D20" s="1622">
        <f t="shared" ref="D20:K20" si="5">D8-D17</f>
        <v>55719</v>
      </c>
      <c r="E20" s="1622">
        <f t="shared" si="5"/>
        <v>-7378</v>
      </c>
      <c r="F20" s="1622">
        <f t="shared" si="5"/>
        <v>-49649</v>
      </c>
      <c r="G20" s="1622">
        <f t="shared" si="5"/>
        <v>11976</v>
      </c>
      <c r="H20" s="1622">
        <f t="shared" si="5"/>
        <v>0</v>
      </c>
      <c r="I20" s="1622">
        <f t="shared" si="5"/>
        <v>11647</v>
      </c>
      <c r="J20" s="1622">
        <f t="shared" si="5"/>
        <v>4743</v>
      </c>
      <c r="K20" s="1622">
        <f t="shared" si="5"/>
        <v>3838</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300000</v>
      </c>
      <c r="J33" s="1574"/>
      <c r="K33" s="1574"/>
      <c r="L33" s="453"/>
    </row>
    <row r="34" spans="1:12" s="433" customFormat="1" x14ac:dyDescent="0.2">
      <c r="A34" s="1260" t="s">
        <v>994</v>
      </c>
      <c r="B34" s="454">
        <v>7220</v>
      </c>
      <c r="C34" s="1574"/>
      <c r="D34" s="1574"/>
      <c r="E34" s="1574">
        <v>8939</v>
      </c>
      <c r="F34" s="1574"/>
      <c r="G34" s="1582"/>
      <c r="H34" s="1583"/>
      <c r="I34" s="1583"/>
      <c r="J34" s="1583">
        <v>139</v>
      </c>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8939</v>
      </c>
      <c r="F44" s="1624">
        <f t="shared" si="6"/>
        <v>0</v>
      </c>
      <c r="G44" s="1624">
        <f t="shared" si="6"/>
        <v>0</v>
      </c>
      <c r="H44" s="1624">
        <f t="shared" si="6"/>
        <v>0</v>
      </c>
      <c r="I44" s="1624">
        <f t="shared" si="6"/>
        <v>300000</v>
      </c>
      <c r="J44" s="1624">
        <f t="shared" si="6"/>
        <v>139</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8939</v>
      </c>
      <c r="F77" s="1624">
        <f t="shared" si="8"/>
        <v>0</v>
      </c>
      <c r="G77" s="1624">
        <f t="shared" si="8"/>
        <v>0</v>
      </c>
      <c r="H77" s="1624">
        <f t="shared" si="8"/>
        <v>0</v>
      </c>
      <c r="I77" s="1624">
        <f t="shared" si="8"/>
        <v>300000</v>
      </c>
      <c r="J77" s="1624">
        <f t="shared" si="8"/>
        <v>139</v>
      </c>
      <c r="K77" s="1624">
        <f t="shared" si="8"/>
        <v>0</v>
      </c>
      <c r="L77" s="325"/>
    </row>
    <row r="78" spans="1:12" ht="21.75" customHeight="1" thickTop="1" thickBot="1" x14ac:dyDescent="0.25">
      <c r="A78" s="2228" t="s">
        <v>593</v>
      </c>
      <c r="B78" s="2229"/>
      <c r="C78" s="1629">
        <f t="shared" ref="C78:K78" si="9">C20+C77</f>
        <v>4878</v>
      </c>
      <c r="D78" s="1629">
        <f t="shared" si="9"/>
        <v>55719</v>
      </c>
      <c r="E78" s="1629">
        <f t="shared" si="9"/>
        <v>1561</v>
      </c>
      <c r="F78" s="1629">
        <f t="shared" si="9"/>
        <v>-49649</v>
      </c>
      <c r="G78" s="1629">
        <f t="shared" si="9"/>
        <v>11976</v>
      </c>
      <c r="H78" s="1629">
        <f t="shared" si="9"/>
        <v>0</v>
      </c>
      <c r="I78" s="1629">
        <f t="shared" si="9"/>
        <v>311647</v>
      </c>
      <c r="J78" s="1629">
        <f t="shared" si="9"/>
        <v>4882</v>
      </c>
      <c r="K78" s="1629">
        <f t="shared" si="9"/>
        <v>3838</v>
      </c>
      <c r="L78" s="457"/>
    </row>
    <row r="79" spans="1:12" ht="13.5" thickTop="1" x14ac:dyDescent="0.2">
      <c r="A79" s="1844" t="str">
        <f>"Fund Balances - July 1, "&amp;'AFR20'!E2-1</f>
        <v>Fund Balances - July 1, 2019</v>
      </c>
      <c r="B79" s="458"/>
      <c r="C79" s="1583">
        <v>159026</v>
      </c>
      <c r="D79" s="1630">
        <v>196387</v>
      </c>
      <c r="E79" s="1630">
        <v>26489</v>
      </c>
      <c r="F79" s="1630">
        <v>255729</v>
      </c>
      <c r="G79" s="1630">
        <v>102048</v>
      </c>
      <c r="H79" s="1630"/>
      <c r="I79" s="1630">
        <v>249012</v>
      </c>
      <c r="J79" s="1630">
        <v>40595</v>
      </c>
      <c r="K79" s="1630">
        <v>19908</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163904</v>
      </c>
      <c r="D81" s="1594">
        <f>SUM(D78:D80)</f>
        <v>252106</v>
      </c>
      <c r="E81" s="1594">
        <f t="shared" ref="E81:K81" si="10">SUM(E78:E80)</f>
        <v>28050</v>
      </c>
      <c r="F81" s="1594">
        <f t="shared" si="10"/>
        <v>206080</v>
      </c>
      <c r="G81" s="1594">
        <f t="shared" si="10"/>
        <v>114024</v>
      </c>
      <c r="H81" s="1594">
        <f t="shared" si="10"/>
        <v>0</v>
      </c>
      <c r="I81" s="1594">
        <f t="shared" si="10"/>
        <v>560659</v>
      </c>
      <c r="J81" s="1594">
        <f t="shared" si="10"/>
        <v>45477</v>
      </c>
      <c r="K81" s="1594">
        <f t="shared" si="10"/>
        <v>23746</v>
      </c>
      <c r="L81" s="325"/>
    </row>
    <row r="82" spans="1:12" ht="0.75" customHeight="1" thickTop="1" thickBot="1" x14ac:dyDescent="0.25">
      <c r="A82" s="459" t="s">
        <v>340</v>
      </c>
      <c r="B82" s="460"/>
      <c r="C82" s="461">
        <f>(C81-C79)</f>
        <v>4878</v>
      </c>
      <c r="D82" s="461">
        <f t="shared" ref="D82:K82" si="11">(D81-D79)</f>
        <v>55719</v>
      </c>
      <c r="E82" s="461">
        <f t="shared" si="11"/>
        <v>1561</v>
      </c>
      <c r="F82" s="461">
        <f t="shared" si="11"/>
        <v>-49649</v>
      </c>
      <c r="G82" s="461">
        <f t="shared" si="11"/>
        <v>11976</v>
      </c>
      <c r="H82" s="461">
        <f t="shared" si="11"/>
        <v>0</v>
      </c>
      <c r="I82" s="461">
        <f t="shared" si="11"/>
        <v>311647</v>
      </c>
      <c r="J82" s="461">
        <f t="shared" si="11"/>
        <v>4882</v>
      </c>
      <c r="K82" s="461">
        <f t="shared" si="11"/>
        <v>3838</v>
      </c>
    </row>
    <row r="83" spans="1:12" ht="14.25" hidden="1" thickTop="1" thickBot="1" x14ac:dyDescent="0.25">
      <c r="A83" s="462" t="s">
        <v>341</v>
      </c>
      <c r="B83" s="428"/>
      <c r="C83" s="463">
        <f>C82/C81</f>
        <v>2.976132370167903E-2</v>
      </c>
      <c r="D83" s="463">
        <f t="shared" ref="D83:K83" si="12">D82/D81</f>
        <v>0.22101417657651939</v>
      </c>
      <c r="E83" s="463">
        <f t="shared" si="12"/>
        <v>5.5650623885918002E-2</v>
      </c>
      <c r="F83" s="463">
        <f t="shared" si="12"/>
        <v>-0.24092100155279503</v>
      </c>
      <c r="G83" s="463">
        <f t="shared" si="12"/>
        <v>0.10503051989054936</v>
      </c>
      <c r="H83" s="463" t="e">
        <f t="shared" si="12"/>
        <v>#DIV/0!</v>
      </c>
      <c r="I83" s="463">
        <f t="shared" si="12"/>
        <v>0.55585837380653835</v>
      </c>
      <c r="J83" s="463">
        <f t="shared" si="12"/>
        <v>0.10735096862150098</v>
      </c>
      <c r="K83" s="463">
        <f t="shared" si="12"/>
        <v>0.16162722142676661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52" activePane="bottomLeft" state="frozen"/>
      <selection activeCell="B3" sqref="B3:K3"/>
      <selection pane="bottomLeft" activeCell="C159" sqref="C1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f>188709+7728</f>
        <v>196437</v>
      </c>
      <c r="D5" s="1586">
        <f>51181+2100</f>
        <v>53281</v>
      </c>
      <c r="E5" s="1573">
        <f>94002+4120</f>
        <v>98122</v>
      </c>
      <c r="F5" s="1631">
        <f>24567+1008</f>
        <v>25575</v>
      </c>
      <c r="G5" s="1573">
        <f>45599+1957+45599+1957</f>
        <v>95112</v>
      </c>
      <c r="H5" s="1573"/>
      <c r="I5" s="1573">
        <f>10236+420</f>
        <v>10656</v>
      </c>
      <c r="J5" s="1574">
        <f>79229+3401</f>
        <v>82630</v>
      </c>
      <c r="K5" s="1573">
        <f>10236+420</f>
        <v>10656</v>
      </c>
    </row>
    <row r="6" spans="1:12" ht="15" x14ac:dyDescent="0.2">
      <c r="A6" s="427" t="s">
        <v>1643</v>
      </c>
      <c r="B6" s="429">
        <v>1130</v>
      </c>
      <c r="C6" s="1573">
        <f>10236+420</f>
        <v>10656</v>
      </c>
      <c r="D6" s="1573"/>
      <c r="E6" s="1580"/>
      <c r="F6" s="1580"/>
      <c r="G6" s="1575"/>
      <c r="H6" s="1575"/>
      <c r="I6" s="1575"/>
      <c r="J6" s="1575"/>
      <c r="K6" s="1575"/>
    </row>
    <row r="7" spans="1:12" x14ac:dyDescent="0.2">
      <c r="A7" s="427" t="s">
        <v>110</v>
      </c>
      <c r="B7" s="471">
        <v>1140</v>
      </c>
      <c r="C7" s="1573"/>
      <c r="D7" s="1573">
        <f>4094+178</f>
        <v>4272</v>
      </c>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207093</v>
      </c>
      <c r="D12" s="1633">
        <f t="shared" si="0"/>
        <v>57553</v>
      </c>
      <c r="E12" s="1633">
        <f t="shared" si="0"/>
        <v>98122</v>
      </c>
      <c r="F12" s="1633">
        <f t="shared" si="0"/>
        <v>25575</v>
      </c>
      <c r="G12" s="1633">
        <f t="shared" si="0"/>
        <v>95112</v>
      </c>
      <c r="H12" s="1633">
        <f t="shared" si="0"/>
        <v>0</v>
      </c>
      <c r="I12" s="1633">
        <f t="shared" si="0"/>
        <v>10656</v>
      </c>
      <c r="J12" s="1633">
        <f t="shared" si="0"/>
        <v>82630</v>
      </c>
      <c r="K12" s="1594">
        <f t="shared" si="0"/>
        <v>10656</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f>5594+1</f>
        <v>5595</v>
      </c>
      <c r="D14" s="1573">
        <f>1558-2</f>
        <v>1556</v>
      </c>
      <c r="E14" s="1573">
        <f>2763+2</f>
        <v>2765</v>
      </c>
      <c r="F14" s="1573">
        <f>693+1</f>
        <v>694</v>
      </c>
      <c r="G14" s="1573">
        <f>2585+4</f>
        <v>2589</v>
      </c>
      <c r="H14" s="1573"/>
      <c r="I14" s="1573">
        <v>289</v>
      </c>
      <c r="J14" s="1574">
        <v>2269</v>
      </c>
      <c r="K14" s="1573">
        <f>289-1</f>
        <v>288</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47519</v>
      </c>
      <c r="D16" s="1573"/>
      <c r="E16" s="1573"/>
      <c r="F16" s="1573"/>
      <c r="G16" s="1573">
        <v>9733</v>
      </c>
      <c r="H16" s="1573"/>
      <c r="I16" s="1573"/>
      <c r="J16" s="1574"/>
      <c r="K16" s="1573"/>
    </row>
    <row r="17" spans="1:11" ht="12.75" customHeight="1" x14ac:dyDescent="0.2">
      <c r="A17" s="427" t="s">
        <v>802</v>
      </c>
      <c r="B17" s="429">
        <v>1290</v>
      </c>
      <c r="C17" s="1632">
        <v>262</v>
      </c>
      <c r="D17" s="1573"/>
      <c r="E17" s="1573"/>
      <c r="F17" s="1573"/>
      <c r="G17" s="1573"/>
      <c r="H17" s="1573"/>
      <c r="I17" s="1573"/>
      <c r="J17" s="1574"/>
      <c r="K17" s="1573"/>
    </row>
    <row r="18" spans="1:11" ht="12.75" customHeight="1" thickBot="1" x14ac:dyDescent="0.25">
      <c r="A18" s="1406" t="s">
        <v>534</v>
      </c>
      <c r="B18" s="1407"/>
      <c r="C18" s="1635">
        <f>SUM(C14:C17)</f>
        <v>53376</v>
      </c>
      <c r="D18" s="1635">
        <f t="shared" ref="D18:K18" si="1">SUM(D14:D17)</f>
        <v>1556</v>
      </c>
      <c r="E18" s="1635">
        <f t="shared" si="1"/>
        <v>2765</v>
      </c>
      <c r="F18" s="1635">
        <f t="shared" si="1"/>
        <v>694</v>
      </c>
      <c r="G18" s="1635">
        <f t="shared" si="1"/>
        <v>12322</v>
      </c>
      <c r="H18" s="1635">
        <f t="shared" si="1"/>
        <v>0</v>
      </c>
      <c r="I18" s="1635">
        <f t="shared" si="1"/>
        <v>289</v>
      </c>
      <c r="J18" s="1635">
        <f t="shared" si="1"/>
        <v>2269</v>
      </c>
      <c r="K18" s="1636">
        <f t="shared" si="1"/>
        <v>288</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c r="D65" s="1573"/>
      <c r="E65" s="1573"/>
      <c r="F65" s="1574"/>
      <c r="G65" s="1573"/>
      <c r="H65" s="1573"/>
      <c r="I65" s="1573">
        <v>702</v>
      </c>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0</v>
      </c>
      <c r="D67" s="1594">
        <f t="shared" ref="D67:K67" si="2">SUM(D65:D66)</f>
        <v>0</v>
      </c>
      <c r="E67" s="1594">
        <f t="shared" si="2"/>
        <v>0</v>
      </c>
      <c r="F67" s="1594">
        <f t="shared" si="2"/>
        <v>0</v>
      </c>
      <c r="G67" s="1594">
        <f t="shared" si="2"/>
        <v>0</v>
      </c>
      <c r="H67" s="1594">
        <f t="shared" si="2"/>
        <v>0</v>
      </c>
      <c r="I67" s="1594">
        <f t="shared" si="2"/>
        <v>702</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10492</v>
      </c>
      <c r="D69" s="1575"/>
      <c r="E69" s="1575"/>
      <c r="F69" s="1575"/>
      <c r="G69" s="1575"/>
      <c r="H69" s="1575"/>
      <c r="I69" s="1575"/>
      <c r="J69" s="1575"/>
      <c r="K69" s="1575"/>
    </row>
    <row r="70" spans="1:11" ht="12.75" customHeight="1" x14ac:dyDescent="0.2">
      <c r="A70" s="427" t="s">
        <v>990</v>
      </c>
      <c r="B70" s="429">
        <v>1612</v>
      </c>
      <c r="C70" s="1632">
        <v>788</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2112</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13392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2783</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2783</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1700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112</v>
      </c>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59052</v>
      </c>
      <c r="D106" s="1598"/>
      <c r="E106" s="1574"/>
      <c r="F106" s="1574"/>
      <c r="G106" s="1574"/>
      <c r="H106" s="1574"/>
      <c r="I106" s="1617"/>
      <c r="J106" s="1574"/>
      <c r="K106" s="1574"/>
    </row>
    <row r="107" spans="1:12" ht="12.75" customHeight="1" x14ac:dyDescent="0.2">
      <c r="A107" s="427" t="s">
        <v>78</v>
      </c>
      <c r="B107" s="429">
        <v>1999</v>
      </c>
      <c r="C107" s="1632">
        <v>7200</v>
      </c>
      <c r="D107" s="1573">
        <v>1243</v>
      </c>
      <c r="E107" s="1573"/>
      <c r="F107" s="1573"/>
      <c r="G107" s="1573"/>
      <c r="H107" s="1573"/>
      <c r="I107" s="1573"/>
      <c r="J107" s="1574"/>
      <c r="K107" s="1573"/>
    </row>
    <row r="108" spans="1:12" ht="12.75" customHeight="1" thickBot="1" x14ac:dyDescent="0.25">
      <c r="A108" s="1406" t="s">
        <v>484</v>
      </c>
      <c r="B108" s="1408"/>
      <c r="C108" s="1633">
        <f>SUM(C95:C107)</f>
        <v>67952</v>
      </c>
      <c r="D108" s="1633">
        <f t="shared" ref="D108:K108" si="3">SUM(D95:D107)</f>
        <v>1243</v>
      </c>
      <c r="E108" s="1633">
        <f t="shared" si="3"/>
        <v>112</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344596</v>
      </c>
      <c r="D109" s="1641">
        <f t="shared" si="4"/>
        <v>60352</v>
      </c>
      <c r="E109" s="1641">
        <f t="shared" si="4"/>
        <v>100999</v>
      </c>
      <c r="F109" s="1641">
        <f t="shared" si="4"/>
        <v>26269</v>
      </c>
      <c r="G109" s="1641">
        <f t="shared" si="4"/>
        <v>107434</v>
      </c>
      <c r="H109" s="1641">
        <f t="shared" si="4"/>
        <v>0</v>
      </c>
      <c r="I109" s="1641">
        <f t="shared" si="4"/>
        <v>11647</v>
      </c>
      <c r="J109" s="1641">
        <f t="shared" si="4"/>
        <v>84899</v>
      </c>
      <c r="K109" s="1629">
        <f t="shared" si="4"/>
        <v>10944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1252915</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1252915</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864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f>113950+33879</f>
        <v>147829</v>
      </c>
      <c r="G152" s="1574"/>
      <c r="H152" s="1575"/>
      <c r="I152" s="1575"/>
      <c r="J152" s="1575"/>
      <c r="K152" s="1575"/>
    </row>
    <row r="153" spans="1:11" ht="12.75" customHeight="1" x14ac:dyDescent="0.2">
      <c r="A153" s="427" t="s">
        <v>1048</v>
      </c>
      <c r="B153" s="478">
        <v>3510</v>
      </c>
      <c r="C153" s="1632"/>
      <c r="D153" s="1573"/>
      <c r="E153" s="1640"/>
      <c r="F153" s="1573">
        <v>292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148121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117831</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v>50000</v>
      </c>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119445</v>
      </c>
      <c r="D169" s="1658">
        <f t="shared" si="6"/>
        <v>50000</v>
      </c>
      <c r="E169" s="1658">
        <f t="shared" si="6"/>
        <v>0</v>
      </c>
      <c r="F169" s="1658">
        <f t="shared" si="6"/>
        <v>148121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1372360</v>
      </c>
      <c r="D170" s="1641">
        <f t="shared" si="7"/>
        <v>50000</v>
      </c>
      <c r="E170" s="1641">
        <f t="shared" si="7"/>
        <v>0</v>
      </c>
      <c r="F170" s="1641">
        <f t="shared" si="7"/>
        <v>148121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40781</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13033</v>
      </c>
      <c r="D193" s="1575"/>
      <c r="E193" s="1640"/>
      <c r="F193" s="1575"/>
      <c r="G193" s="1664"/>
      <c r="H193" s="1575"/>
      <c r="I193" s="1575"/>
      <c r="J193" s="1575"/>
      <c r="K193" s="1575"/>
    </row>
    <row r="194" spans="1:11" ht="12.75" customHeight="1" x14ac:dyDescent="0.2">
      <c r="A194" s="427" t="s">
        <v>1434</v>
      </c>
      <c r="B194" s="429">
        <v>4225</v>
      </c>
      <c r="C194" s="1632">
        <v>43597</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97411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118169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14580</v>
      </c>
      <c r="D203" s="1573"/>
      <c r="E203" s="1575"/>
      <c r="F203" s="1573"/>
      <c r="G203" s="1573"/>
      <c r="H203" s="1575"/>
      <c r="I203" s="1575"/>
      <c r="J203" s="1575"/>
      <c r="K203" s="1575"/>
    </row>
    <row r="204" spans="1:11" ht="12.75" customHeight="1" thickBot="1" x14ac:dyDescent="0.25">
      <c r="A204" s="1406" t="s">
        <v>397</v>
      </c>
      <c r="B204" s="1407"/>
      <c r="C204" s="1633">
        <f>SUM(C200:C203)</f>
        <v>132749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f>-5823</f>
        <v>-5823</v>
      </c>
      <c r="D213" s="1573"/>
      <c r="E213" s="1575"/>
      <c r="F213" s="1573"/>
      <c r="G213" s="1573"/>
      <c r="H213" s="1575"/>
      <c r="I213" s="1575"/>
      <c r="J213" s="1575"/>
      <c r="K213" s="1575"/>
    </row>
    <row r="214" spans="1:11" ht="12.75" customHeight="1" x14ac:dyDescent="0.2">
      <c r="A214" s="427" t="s">
        <v>1045</v>
      </c>
      <c r="B214" s="429">
        <v>4625</v>
      </c>
      <c r="C214" s="1632">
        <v>7220</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1397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4368</v>
      </c>
      <c r="D263" s="1651"/>
      <c r="E263" s="1575"/>
      <c r="F263" s="1651"/>
      <c r="G263" s="1651"/>
      <c r="H263" s="1575"/>
      <c r="I263" s="1575"/>
      <c r="J263" s="1575"/>
      <c r="K263" s="1575"/>
    </row>
    <row r="264" spans="1:11" ht="12.75" customHeight="1" thickTop="1" thickBot="1" x14ac:dyDescent="0.25">
      <c r="A264" s="427" t="s">
        <v>374</v>
      </c>
      <c r="B264" s="429">
        <v>4992</v>
      </c>
      <c r="C264" s="1650">
        <v>9731</v>
      </c>
      <c r="D264" s="1651"/>
      <c r="E264" s="1575"/>
      <c r="F264" s="1651"/>
      <c r="G264" s="1651"/>
      <c r="H264" s="1575"/>
      <c r="I264" s="1575"/>
      <c r="J264" s="1575"/>
      <c r="K264" s="1575"/>
    </row>
    <row r="265" spans="1:11" s="489" customFormat="1" ht="12.75" customHeight="1" thickTop="1" thickBot="1" x14ac:dyDescent="0.25">
      <c r="A265" s="479" t="s">
        <v>75</v>
      </c>
      <c r="B265" s="475">
        <v>4998</v>
      </c>
      <c r="C265" s="1650">
        <v>13466</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259122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259122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1976078</v>
      </c>
      <c r="D268" s="1641">
        <f t="shared" si="12"/>
        <v>110352</v>
      </c>
      <c r="E268" s="1641">
        <f t="shared" si="12"/>
        <v>100999</v>
      </c>
      <c r="F268" s="1641">
        <f t="shared" si="12"/>
        <v>174390</v>
      </c>
      <c r="G268" s="1641">
        <f t="shared" si="12"/>
        <v>107434</v>
      </c>
      <c r="H268" s="1641">
        <f t="shared" si="12"/>
        <v>0</v>
      </c>
      <c r="I268" s="1641">
        <f t="shared" si="12"/>
        <v>11647</v>
      </c>
      <c r="J268" s="1641">
        <f t="shared" si="12"/>
        <v>84899</v>
      </c>
      <c r="K268" s="1629">
        <f t="shared" si="12"/>
        <v>10944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4" activePane="bottomLeft" state="frozen"/>
      <selection activeCell="B3" sqref="B3:K3"/>
      <selection pane="bottomLeft" activeCell="B3" sqref="B3:K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553417+2362+36123+10026+3968</f>
        <v>605896</v>
      </c>
      <c r="D5" s="1573">
        <f>57095+3644+13609+80+64556+2587</f>
        <v>141571</v>
      </c>
      <c r="E5" s="1573">
        <f>5436+621+2003+93</f>
        <v>8153</v>
      </c>
      <c r="F5" s="1573">
        <f>4279+1323+160</f>
        <v>5762</v>
      </c>
      <c r="G5" s="1573"/>
      <c r="H5" s="1573"/>
      <c r="I5" s="1574"/>
      <c r="J5" s="1574"/>
      <c r="K5" s="1672">
        <f>SUM(C5:J5)</f>
        <v>761382</v>
      </c>
      <c r="L5" s="1573">
        <v>785321</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f>99160+42950</f>
        <v>142110</v>
      </c>
      <c r="D8" s="1573">
        <f>9807+632+2354+110+27459+1041</f>
        <v>41403</v>
      </c>
      <c r="E8" s="1573"/>
      <c r="F8" s="1573"/>
      <c r="G8" s="1573"/>
      <c r="H8" s="1573"/>
      <c r="I8" s="1574"/>
      <c r="J8" s="1574"/>
      <c r="K8" s="1672">
        <f t="shared" si="0"/>
        <v>183513</v>
      </c>
      <c r="L8" s="1573">
        <v>185459</v>
      </c>
    </row>
    <row r="9" spans="1:14" x14ac:dyDescent="0.2">
      <c r="A9" s="1274" t="s">
        <v>716</v>
      </c>
      <c r="B9" s="503" t="s">
        <v>962</v>
      </c>
      <c r="C9" s="1574">
        <f>35855+20975</f>
        <v>56830</v>
      </c>
      <c r="D9" s="1574">
        <f>3546+228+851+55+13741+510</f>
        <v>18931</v>
      </c>
      <c r="E9" s="1574"/>
      <c r="F9" s="1574">
        <v>2268</v>
      </c>
      <c r="G9" s="1574">
        <v>8346</v>
      </c>
      <c r="H9" s="1574"/>
      <c r="I9" s="1574"/>
      <c r="J9" s="1574"/>
      <c r="K9" s="1672">
        <f t="shared" si="0"/>
        <v>86375</v>
      </c>
      <c r="L9" s="1573">
        <v>80638</v>
      </c>
    </row>
    <row r="10" spans="1:14" x14ac:dyDescent="0.2">
      <c r="A10" s="1274" t="s">
        <v>717</v>
      </c>
      <c r="B10" s="503">
        <v>1250</v>
      </c>
      <c r="C10" s="1573">
        <v>12000</v>
      </c>
      <c r="D10" s="1573">
        <f>1187+76+1406+285+29+7170+288</f>
        <v>10441</v>
      </c>
      <c r="E10" s="1573">
        <v>24065</v>
      </c>
      <c r="F10" s="1573">
        <f>62183+5494</f>
        <v>67677</v>
      </c>
      <c r="G10" s="1573">
        <v>4396</v>
      </c>
      <c r="H10" s="1573"/>
      <c r="I10" s="1574"/>
      <c r="J10" s="1574"/>
      <c r="K10" s="1672">
        <f t="shared" si="0"/>
        <v>118579</v>
      </c>
      <c r="L10" s="1573">
        <v>100838</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f>9848+2633+9408+44886+1931+1404</f>
        <v>70110</v>
      </c>
      <c r="D14" s="1573">
        <f>903+58+217+4439+286+1065+29+7170+266+191+12+46+139+9+33</f>
        <v>14863</v>
      </c>
      <c r="E14" s="1573">
        <f>1200-445</f>
        <v>755</v>
      </c>
      <c r="F14" s="1573">
        <f>1560+395</f>
        <v>1955</v>
      </c>
      <c r="G14" s="1573"/>
      <c r="H14" s="1573"/>
      <c r="I14" s="1574"/>
      <c r="J14" s="1574"/>
      <c r="K14" s="1672">
        <f t="shared" si="0"/>
        <v>87683</v>
      </c>
      <c r="L14" s="1573">
        <v>87248</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886946</v>
      </c>
      <c r="D33" s="1674">
        <f t="shared" ref="D33:L33" si="1">SUM(D5:D32)</f>
        <v>227209</v>
      </c>
      <c r="E33" s="1674">
        <f t="shared" si="1"/>
        <v>32973</v>
      </c>
      <c r="F33" s="1674">
        <f t="shared" si="1"/>
        <v>77662</v>
      </c>
      <c r="G33" s="1674">
        <f t="shared" si="1"/>
        <v>12742</v>
      </c>
      <c r="H33" s="1674">
        <f t="shared" si="1"/>
        <v>0</v>
      </c>
      <c r="I33" s="1674">
        <f t="shared" si="1"/>
        <v>0</v>
      </c>
      <c r="J33" s="1674">
        <f t="shared" si="1"/>
        <v>0</v>
      </c>
      <c r="K33" s="1674">
        <f t="shared" si="1"/>
        <v>1237532</v>
      </c>
      <c r="L33" s="1674">
        <f t="shared" si="1"/>
        <v>1239504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48455</v>
      </c>
      <c r="D36" s="1586">
        <f>4792+309+1150+29+7170+266</f>
        <v>13716</v>
      </c>
      <c r="E36" s="1586"/>
      <c r="F36" s="1586"/>
      <c r="G36" s="1586"/>
      <c r="H36" s="1586"/>
      <c r="I36" s="1574"/>
      <c r="J36" s="1574"/>
      <c r="K36" s="1672">
        <f t="shared" ref="K36:K41" si="2">SUM(C36:J36)</f>
        <v>62171</v>
      </c>
      <c r="L36" s="1573">
        <v>61531</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19875</v>
      </c>
      <c r="D38" s="1573">
        <f>29+7170+266</f>
        <v>7465</v>
      </c>
      <c r="E38" s="1573">
        <f>2278+716</f>
        <v>2994</v>
      </c>
      <c r="F38" s="1573">
        <v>143</v>
      </c>
      <c r="G38" s="1573"/>
      <c r="H38" s="1573"/>
      <c r="I38" s="1574"/>
      <c r="J38" s="1574"/>
      <c r="K38" s="1672">
        <f t="shared" si="2"/>
        <v>30477</v>
      </c>
      <c r="L38" s="1573">
        <v>30116</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f>58955</f>
        <v>58955</v>
      </c>
      <c r="D40" s="1573">
        <f>5831+376+1399+16+599+266</f>
        <v>8487</v>
      </c>
      <c r="E40" s="1573"/>
      <c r="F40" s="1573"/>
      <c r="G40" s="1573"/>
      <c r="H40" s="1573"/>
      <c r="I40" s="1574"/>
      <c r="J40" s="1574"/>
      <c r="K40" s="1672">
        <f t="shared" si="2"/>
        <v>67442</v>
      </c>
      <c r="L40" s="1573">
        <v>66439</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127285</v>
      </c>
      <c r="D42" s="1674">
        <f t="shared" ref="D42:L42" si="3">SUM(D36:D41)</f>
        <v>29668</v>
      </c>
      <c r="E42" s="1674">
        <f t="shared" si="3"/>
        <v>2994</v>
      </c>
      <c r="F42" s="1674">
        <f t="shared" si="3"/>
        <v>143</v>
      </c>
      <c r="G42" s="1674">
        <f t="shared" si="3"/>
        <v>0</v>
      </c>
      <c r="H42" s="1674">
        <f t="shared" si="3"/>
        <v>0</v>
      </c>
      <c r="I42" s="1674">
        <f t="shared" si="3"/>
        <v>0</v>
      </c>
      <c r="J42" s="1674">
        <f t="shared" si="3"/>
        <v>0</v>
      </c>
      <c r="K42" s="1674">
        <f t="shared" si="3"/>
        <v>160090</v>
      </c>
      <c r="L42" s="1674">
        <f t="shared" si="3"/>
        <v>158086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f>1901+8250</f>
        <v>10151</v>
      </c>
      <c r="F44" s="1586">
        <v>514</v>
      </c>
      <c r="G44" s="1586"/>
      <c r="H44" s="1586"/>
      <c r="I44" s="1574"/>
      <c r="J44" s="1574"/>
      <c r="K44" s="1678">
        <f>SUM(C44:J44)</f>
        <v>10665</v>
      </c>
      <c r="L44" s="1586">
        <v>25000</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10151</v>
      </c>
      <c r="F47" s="1674">
        <f t="shared" si="4"/>
        <v>514</v>
      </c>
      <c r="G47" s="1674">
        <f t="shared" si="4"/>
        <v>0</v>
      </c>
      <c r="H47" s="1674">
        <f t="shared" si="4"/>
        <v>0</v>
      </c>
      <c r="I47" s="1674">
        <f t="shared" si="4"/>
        <v>0</v>
      </c>
      <c r="J47" s="1674">
        <f t="shared" si="4"/>
        <v>0</v>
      </c>
      <c r="K47" s="1674">
        <f t="shared" si="4"/>
        <v>10665</v>
      </c>
      <c r="L47" s="1674">
        <f>SUM(L44:L46)</f>
        <v>25000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f>2285+177+1073</f>
        <v>3535</v>
      </c>
      <c r="F49" s="1586">
        <v>1230</v>
      </c>
      <c r="G49" s="1586"/>
      <c r="H49" s="1586">
        <v>2031</v>
      </c>
      <c r="I49" s="1574"/>
      <c r="J49" s="1574"/>
      <c r="K49" s="1678">
        <f>SUM(C49:J49)</f>
        <v>6796</v>
      </c>
      <c r="L49" s="1586">
        <v>9400</v>
      </c>
    </row>
    <row r="50" spans="1:14" x14ac:dyDescent="0.2">
      <c r="A50" s="1274" t="s">
        <v>813</v>
      </c>
      <c r="B50" s="503">
        <v>2320</v>
      </c>
      <c r="C50" s="1573">
        <v>86248</v>
      </c>
      <c r="D50" s="1573">
        <f>8530+550+2047+29+7170+266+125</f>
        <v>18717</v>
      </c>
      <c r="E50" s="1573">
        <f>807</f>
        <v>807</v>
      </c>
      <c r="F50" s="1573">
        <v>1689</v>
      </c>
      <c r="G50" s="1573"/>
      <c r="H50" s="1573">
        <v>100</v>
      </c>
      <c r="I50" s="1574"/>
      <c r="J50" s="1574"/>
      <c r="K50" s="1678">
        <f>SUM(C50:J50)</f>
        <v>107561</v>
      </c>
      <c r="L50" s="1573">
        <v>107561</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86248</v>
      </c>
      <c r="D53" s="1674">
        <f t="shared" ref="D53:L53" si="5">SUM(D49:D52)</f>
        <v>18717</v>
      </c>
      <c r="E53" s="1674">
        <f t="shared" si="5"/>
        <v>4342</v>
      </c>
      <c r="F53" s="1674">
        <f t="shared" si="5"/>
        <v>2919</v>
      </c>
      <c r="G53" s="1674">
        <f t="shared" si="5"/>
        <v>0</v>
      </c>
      <c r="H53" s="1674">
        <f t="shared" si="5"/>
        <v>2131</v>
      </c>
      <c r="I53" s="1674">
        <f t="shared" si="5"/>
        <v>0</v>
      </c>
      <c r="J53" s="1674">
        <f t="shared" si="5"/>
        <v>0</v>
      </c>
      <c r="K53" s="1674">
        <f t="shared" si="5"/>
        <v>114357</v>
      </c>
      <c r="L53" s="1674">
        <f t="shared" si="5"/>
        <v>116961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60350</v>
      </c>
      <c r="D55" s="1586">
        <f>5969+385+1432+29+7170+266</f>
        <v>15251</v>
      </c>
      <c r="E55" s="1586">
        <v>760</v>
      </c>
      <c r="F55" s="1586">
        <v>105</v>
      </c>
      <c r="G55" s="1586"/>
      <c r="H55" s="1586">
        <v>290</v>
      </c>
      <c r="I55" s="1574"/>
      <c r="J55" s="1574"/>
      <c r="K55" s="1678">
        <f>SUM(C55:J55)</f>
        <v>76756</v>
      </c>
      <c r="L55" s="1586">
        <v>76506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60350</v>
      </c>
      <c r="D57" s="1679">
        <f t="shared" ref="D57:K57" si="6">SUM(D55:D56)</f>
        <v>15251</v>
      </c>
      <c r="E57" s="1679">
        <f t="shared" si="6"/>
        <v>760</v>
      </c>
      <c r="F57" s="1679">
        <f t="shared" si="6"/>
        <v>105</v>
      </c>
      <c r="G57" s="1679">
        <f t="shared" si="6"/>
        <v>0</v>
      </c>
      <c r="H57" s="1679">
        <f t="shared" si="6"/>
        <v>290</v>
      </c>
      <c r="I57" s="1679">
        <f t="shared" si="6"/>
        <v>0</v>
      </c>
      <c r="J57" s="1679">
        <f t="shared" si="6"/>
        <v>0</v>
      </c>
      <c r="K57" s="1679">
        <f t="shared" si="6"/>
        <v>76756</v>
      </c>
      <c r="L57" s="1674">
        <f>SUM(L55:L56)</f>
        <v>76506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34550</v>
      </c>
      <c r="D60" s="1573">
        <f>29+7170+266</f>
        <v>7465</v>
      </c>
      <c r="E60" s="1573">
        <f>11901+3250+165</f>
        <v>15316</v>
      </c>
      <c r="F60" s="1573">
        <v>87</v>
      </c>
      <c r="G60" s="1573"/>
      <c r="H60" s="1573"/>
      <c r="I60" s="1574"/>
      <c r="J60" s="1574"/>
      <c r="K60" s="1678">
        <f t="shared" si="7"/>
        <v>57418</v>
      </c>
      <c r="L60" s="1573">
        <v>57391</v>
      </c>
      <c r="M60" s="501"/>
      <c r="N60" s="501"/>
    </row>
    <row r="61" spans="1:14" s="321" customFormat="1" x14ac:dyDescent="0.2">
      <c r="A61" s="1274" t="s">
        <v>195</v>
      </c>
      <c r="B61" s="503">
        <v>2540</v>
      </c>
      <c r="C61" s="1573">
        <f>53835+1263</f>
        <v>55098</v>
      </c>
      <c r="D61" s="1573">
        <f>58+14340+532</f>
        <v>14930</v>
      </c>
      <c r="E61" s="1573">
        <f>161+680+3140</f>
        <v>3981</v>
      </c>
      <c r="F61" s="1573">
        <f>12741+57113</f>
        <v>69854</v>
      </c>
      <c r="G61" s="1573"/>
      <c r="H61" s="1573"/>
      <c r="I61" s="1574"/>
      <c r="J61" s="1574"/>
      <c r="K61" s="1678">
        <f t="shared" si="7"/>
        <v>143863</v>
      </c>
      <c r="L61" s="1573">
        <v>153267</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47740</v>
      </c>
      <c r="D63" s="1573">
        <f>58+14340+532+303</f>
        <v>15233</v>
      </c>
      <c r="E63" s="1573"/>
      <c r="F63" s="1573">
        <f>22245+9700+1514</f>
        <v>33459</v>
      </c>
      <c r="G63" s="1573"/>
      <c r="H63" s="1573"/>
      <c r="I63" s="1574"/>
      <c r="J63" s="1574"/>
      <c r="K63" s="1678">
        <f t="shared" si="7"/>
        <v>96432</v>
      </c>
      <c r="L63" s="1573">
        <v>104772</v>
      </c>
    </row>
    <row r="64" spans="1:14" s="501" customFormat="1" x14ac:dyDescent="0.2">
      <c r="A64" s="1279" t="s">
        <v>101</v>
      </c>
      <c r="B64" s="513">
        <v>2570</v>
      </c>
      <c r="C64" s="1586">
        <v>28100</v>
      </c>
      <c r="D64" s="1586">
        <f>29+7170+266+514+3817</f>
        <v>11796</v>
      </c>
      <c r="E64" s="1586"/>
      <c r="F64" s="1586">
        <v>3695</v>
      </c>
      <c r="G64" s="1586"/>
      <c r="H64" s="1586"/>
      <c r="I64" s="1574"/>
      <c r="J64" s="1574"/>
      <c r="K64" s="1678">
        <f t="shared" si="7"/>
        <v>43591</v>
      </c>
      <c r="L64" s="1586">
        <v>48598</v>
      </c>
    </row>
    <row r="65" spans="1:14" s="321" customFormat="1" ht="12.75" customHeight="1" thickBot="1" x14ac:dyDescent="0.25">
      <c r="A65" s="1380" t="s">
        <v>714</v>
      </c>
      <c r="B65" s="1381" t="s">
        <v>35</v>
      </c>
      <c r="C65" s="1674">
        <f>SUM(C59:C64)</f>
        <v>165488</v>
      </c>
      <c r="D65" s="1674">
        <f t="shared" ref="D65:L65" si="8">SUM(D59:D64)</f>
        <v>49424</v>
      </c>
      <c r="E65" s="1674">
        <f t="shared" si="8"/>
        <v>19297</v>
      </c>
      <c r="F65" s="1674">
        <f t="shared" si="8"/>
        <v>107095</v>
      </c>
      <c r="G65" s="1674">
        <f t="shared" si="8"/>
        <v>0</v>
      </c>
      <c r="H65" s="1674">
        <f t="shared" si="8"/>
        <v>0</v>
      </c>
      <c r="I65" s="1674">
        <f t="shared" si="8"/>
        <v>0</v>
      </c>
      <c r="J65" s="1674">
        <f t="shared" si="8"/>
        <v>0</v>
      </c>
      <c r="K65" s="1674">
        <f t="shared" si="8"/>
        <v>341304</v>
      </c>
      <c r="L65" s="1674">
        <f t="shared" si="8"/>
        <v>364028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439371</v>
      </c>
      <c r="D74" s="1681">
        <f t="shared" ref="D74:K74" si="10">SUM(D42,D47,D53,D57,D65,D72,D73)</f>
        <v>113060</v>
      </c>
      <c r="E74" s="1681">
        <f t="shared" si="10"/>
        <v>37544</v>
      </c>
      <c r="F74" s="1681">
        <f t="shared" si="10"/>
        <v>110776</v>
      </c>
      <c r="G74" s="1681">
        <f t="shared" si="10"/>
        <v>0</v>
      </c>
      <c r="H74" s="1681">
        <f t="shared" si="10"/>
        <v>2421</v>
      </c>
      <c r="I74" s="1681">
        <f t="shared" si="10"/>
        <v>0</v>
      </c>
      <c r="J74" s="1681">
        <f t="shared" si="10"/>
        <v>0</v>
      </c>
      <c r="K74" s="1681">
        <f t="shared" si="10"/>
        <v>703172</v>
      </c>
      <c r="L74" s="1681">
        <f>SUM(L42,L47,L53,L57,L65,L72,L73)</f>
        <v>740581</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30496</v>
      </c>
      <c r="F79" s="1673"/>
      <c r="G79" s="1673"/>
      <c r="H79" s="1573"/>
      <c r="I79" s="1582"/>
      <c r="J79" s="1582"/>
      <c r="K79" s="1672">
        <f t="shared" si="11"/>
        <v>30496</v>
      </c>
      <c r="L79" s="1573">
        <v>45500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30496</v>
      </c>
      <c r="F84" s="1673"/>
      <c r="G84" s="1673"/>
      <c r="H84" s="1674">
        <f>SUM(H78:H83)</f>
        <v>0</v>
      </c>
      <c r="I84" s="1582"/>
      <c r="J84" s="1582"/>
      <c r="K84" s="1674">
        <f>SUM(K78:K83)</f>
        <v>30496</v>
      </c>
      <c r="L84" s="1674">
        <f>SUM(L78:L83)</f>
        <v>45500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30496</v>
      </c>
      <c r="F102" s="1673"/>
      <c r="G102" s="1673"/>
      <c r="H102" s="1681">
        <f>SUM(H84,H92,H100,H101)</f>
        <v>0</v>
      </c>
      <c r="I102" s="1582"/>
      <c r="J102" s="1582"/>
      <c r="K102" s="1681">
        <f>SUM(K84,K92,K100,K101)</f>
        <v>30496</v>
      </c>
      <c r="L102" s="1681">
        <f>SUM(L84,L92,L100,L101)</f>
        <v>45500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1326317</v>
      </c>
      <c r="D114" s="1674">
        <f t="shared" ref="D114:K114" si="13">SUM(D33,D74,D75,D102,D112,D113)</f>
        <v>340269</v>
      </c>
      <c r="E114" s="1674">
        <f t="shared" si="13"/>
        <v>101013</v>
      </c>
      <c r="F114" s="1674">
        <f t="shared" si="13"/>
        <v>188438</v>
      </c>
      <c r="G114" s="1674">
        <f t="shared" si="13"/>
        <v>12742</v>
      </c>
      <c r="H114" s="1674">
        <f>SUM(H33,H74,H75,H102,H112,H113)</f>
        <v>2421</v>
      </c>
      <c r="I114" s="1674">
        <f t="shared" si="13"/>
        <v>0</v>
      </c>
      <c r="J114" s="1674">
        <f t="shared" si="13"/>
        <v>0</v>
      </c>
      <c r="K114" s="1674">
        <f t="shared" si="13"/>
        <v>1971200</v>
      </c>
      <c r="L114" s="1674">
        <f>SUM(L33,L74,L75,L102,L112,L113)</f>
        <v>2025585</v>
      </c>
    </row>
    <row r="115" spans="1:14" ht="13.5" thickTop="1" x14ac:dyDescent="0.2">
      <c r="A115" s="2287" t="s">
        <v>989</v>
      </c>
      <c r="B115" s="2288"/>
      <c r="C115" s="1675"/>
      <c r="D115" s="1675"/>
      <c r="E115" s="1675"/>
      <c r="F115" s="1675"/>
      <c r="G115" s="1675"/>
      <c r="H115" s="1675"/>
      <c r="I115" s="1675"/>
      <c r="J115" s="1675"/>
      <c r="K115" s="1689">
        <f>'Revenues 9-14'!C268-'Expenditures 15-22'!K114</f>
        <v>4878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f>26579+2108</f>
        <v>28687</v>
      </c>
      <c r="F124" s="1573">
        <f>13483+2819</f>
        <v>16302</v>
      </c>
      <c r="G124" s="1573">
        <v>9644</v>
      </c>
      <c r="H124" s="1573"/>
      <c r="I124" s="1574"/>
      <c r="J124" s="1574"/>
      <c r="K124" s="1674">
        <f>SUM(C124:J124)</f>
        <v>54633</v>
      </c>
      <c r="L124" s="1573">
        <v>86500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28687</v>
      </c>
      <c r="F127" s="1674">
        <f t="shared" si="14"/>
        <v>16302</v>
      </c>
      <c r="G127" s="1674">
        <f t="shared" si="14"/>
        <v>9644</v>
      </c>
      <c r="H127" s="1674">
        <f t="shared" si="14"/>
        <v>0</v>
      </c>
      <c r="I127" s="1674">
        <f t="shared" si="14"/>
        <v>0</v>
      </c>
      <c r="J127" s="1674">
        <f t="shared" si="14"/>
        <v>0</v>
      </c>
      <c r="K127" s="1674">
        <f t="shared" si="14"/>
        <v>54633</v>
      </c>
      <c r="L127" s="1674">
        <f t="shared" si="14"/>
        <v>86500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28687</v>
      </c>
      <c r="F129" s="1681">
        <f t="shared" si="15"/>
        <v>16302</v>
      </c>
      <c r="G129" s="1681">
        <f t="shared" si="15"/>
        <v>9644</v>
      </c>
      <c r="H129" s="1681">
        <f t="shared" si="15"/>
        <v>0</v>
      </c>
      <c r="I129" s="1681">
        <f t="shared" si="15"/>
        <v>0</v>
      </c>
      <c r="J129" s="1681">
        <f t="shared" si="15"/>
        <v>0</v>
      </c>
      <c r="K129" s="1681">
        <f t="shared" si="15"/>
        <v>54633</v>
      </c>
      <c r="L129" s="1681">
        <f t="shared" si="15"/>
        <v>86500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0</v>
      </c>
      <c r="D151" s="1674">
        <f t="shared" ref="D151:K151" si="16">SUM(D129,D130,D139,D149,D150)</f>
        <v>0</v>
      </c>
      <c r="E151" s="1674">
        <f t="shared" si="16"/>
        <v>28687</v>
      </c>
      <c r="F151" s="1674">
        <f t="shared" si="16"/>
        <v>16302</v>
      </c>
      <c r="G151" s="1674">
        <f t="shared" si="16"/>
        <v>9644</v>
      </c>
      <c r="H151" s="1674">
        <f t="shared" si="16"/>
        <v>0</v>
      </c>
      <c r="I151" s="1674">
        <f t="shared" si="16"/>
        <v>0</v>
      </c>
      <c r="J151" s="1674">
        <f t="shared" si="16"/>
        <v>0</v>
      </c>
      <c r="K151" s="1674">
        <f t="shared" si="16"/>
        <v>54633</v>
      </c>
      <c r="L151" s="1674">
        <f>SUM(L129,L130,L139,L149,L150)</f>
        <v>86500</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55719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3938</v>
      </c>
      <c r="I169" s="1673"/>
      <c r="J169" s="1673"/>
      <c r="K169" s="1672">
        <f>SUM(C169:H169)</f>
        <v>3938</v>
      </c>
      <c r="L169" s="1695">
        <v>3938</v>
      </c>
    </row>
    <row r="170" spans="1:14" ht="33.75" customHeight="1" x14ac:dyDescent="0.2">
      <c r="A170" s="543" t="s">
        <v>1651</v>
      </c>
      <c r="B170" s="545" t="s">
        <v>31</v>
      </c>
      <c r="C170" s="1673"/>
      <c r="D170" s="1673"/>
      <c r="E170" s="1673"/>
      <c r="F170" s="1673"/>
      <c r="G170" s="1673"/>
      <c r="H170" s="1646">
        <v>95000</v>
      </c>
      <c r="I170" s="1673"/>
      <c r="J170" s="1673"/>
      <c r="K170" s="1672">
        <f>SUM(C170:J170)</f>
        <v>95000</v>
      </c>
      <c r="L170" s="1646">
        <v>95000</v>
      </c>
    </row>
    <row r="171" spans="1:14" ht="15.75" customHeight="1" x14ac:dyDescent="0.2">
      <c r="A171" s="507" t="s">
        <v>761</v>
      </c>
      <c r="B171" s="546" t="s">
        <v>84</v>
      </c>
      <c r="C171" s="1673"/>
      <c r="D171" s="1673"/>
      <c r="E171" s="1573">
        <v>9439</v>
      </c>
      <c r="F171" s="1673"/>
      <c r="G171" s="1673"/>
      <c r="H171" s="1646"/>
      <c r="I171" s="1582"/>
      <c r="J171" s="1673"/>
      <c r="K171" s="1672">
        <f>SUM(C171:J171)</f>
        <v>9439</v>
      </c>
      <c r="L171" s="1646">
        <v>500</v>
      </c>
    </row>
    <row r="172" spans="1:14" ht="12.75" customHeight="1" thickBot="1" x14ac:dyDescent="0.25">
      <c r="A172" s="1380" t="s">
        <v>633</v>
      </c>
      <c r="B172" s="1381" t="s">
        <v>489</v>
      </c>
      <c r="C172" s="1673"/>
      <c r="D172" s="1673"/>
      <c r="E172" s="1681">
        <f>SUM(E168,E169,E170,E171)</f>
        <v>9439</v>
      </c>
      <c r="F172" s="1673"/>
      <c r="G172" s="1673"/>
      <c r="H172" s="1681">
        <f>SUM(H168,H169,H170,H171)</f>
        <v>98938</v>
      </c>
      <c r="I172" s="1684"/>
      <c r="J172" s="1673"/>
      <c r="K172" s="1681">
        <f>SUM(K168,K169,K170,K171)</f>
        <v>108377</v>
      </c>
      <c r="L172" s="1681">
        <f>SUM(L168,L169,L170,L171)</f>
        <v>99438</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9439</v>
      </c>
      <c r="F174" s="1673"/>
      <c r="G174" s="1673"/>
      <c r="H174" s="1681">
        <f>SUM(H160,H172,H173)</f>
        <v>98938</v>
      </c>
      <c r="I174" s="1684"/>
      <c r="J174" s="1673"/>
      <c r="K174" s="1681">
        <f>SUM(K160,K172,K173)</f>
        <v>108377</v>
      </c>
      <c r="L174" s="1681">
        <f>SUM(L160,L172,L173)</f>
        <v>99438</v>
      </c>
    </row>
    <row r="175" spans="1:14" ht="13.5" thickTop="1" x14ac:dyDescent="0.2">
      <c r="A175" s="2287" t="s">
        <v>989</v>
      </c>
      <c r="B175" s="2288"/>
      <c r="C175" s="1673"/>
      <c r="D175" s="1673"/>
      <c r="E175" s="1673"/>
      <c r="F175" s="1673"/>
      <c r="G175" s="1673"/>
      <c r="H175" s="1675"/>
      <c r="I175" s="1673"/>
      <c r="J175" s="1673"/>
      <c r="K175" s="1689">
        <f>'Revenues 9-14'!E268-'Expenditures 15-22'!K174</f>
        <v>-7378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f>65954+1230+3657+570+5335</f>
        <v>76746</v>
      </c>
      <c r="D182" s="1573">
        <f>70+21511+798+527+34+127</f>
        <v>23067</v>
      </c>
      <c r="E182" s="1573">
        <f>4603+37+400+3495+4561</f>
        <v>13096</v>
      </c>
      <c r="F182" s="1573">
        <f>10421+17925</f>
        <v>28346</v>
      </c>
      <c r="G182" s="1573">
        <v>82784</v>
      </c>
      <c r="H182" s="1573"/>
      <c r="I182" s="1574"/>
      <c r="J182" s="1574"/>
      <c r="K182" s="1672">
        <f>SUM(C182:J182)</f>
        <v>224039</v>
      </c>
      <c r="L182" s="1573">
        <v>235912</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76746</v>
      </c>
      <c r="D184" s="1681">
        <f t="shared" ref="D184:J184" si="17">SUM(D180,D182,D183)</f>
        <v>23067</v>
      </c>
      <c r="E184" s="1681">
        <f t="shared" si="17"/>
        <v>13096</v>
      </c>
      <c r="F184" s="1681">
        <f t="shared" si="17"/>
        <v>28346</v>
      </c>
      <c r="G184" s="1681">
        <f t="shared" si="17"/>
        <v>82784</v>
      </c>
      <c r="H184" s="1681">
        <f t="shared" si="17"/>
        <v>0</v>
      </c>
      <c r="I184" s="1681">
        <f t="shared" si="17"/>
        <v>0</v>
      </c>
      <c r="J184" s="1681">
        <f t="shared" si="17"/>
        <v>0</v>
      </c>
      <c r="K184" s="1681">
        <f>SUM(K180,K182,K183)</f>
        <v>224039</v>
      </c>
      <c r="L184" s="1681">
        <f>SUM(L180, L182:L183)</f>
        <v>235912</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76746</v>
      </c>
      <c r="D210" s="1674">
        <f>SUM(D184,D185)</f>
        <v>23067</v>
      </c>
      <c r="E210" s="1674">
        <f>SUM(E184,E185,E196)</f>
        <v>13096</v>
      </c>
      <c r="F210" s="1674">
        <f>SUM(F184,F185)</f>
        <v>28346</v>
      </c>
      <c r="G210" s="1674">
        <f>SUM(G184,G185)</f>
        <v>82784</v>
      </c>
      <c r="H210" s="1674">
        <f>SUM(H184,H185,H196,H208,H209)</f>
        <v>0</v>
      </c>
      <c r="I210" s="1674">
        <f>SUM(I184,I185)</f>
        <v>0</v>
      </c>
      <c r="J210" s="1674">
        <f>SUM(J184,J185)</f>
        <v>0</v>
      </c>
      <c r="K210" s="1672">
        <f>SUM(K184,K185,K196,K208,K209)</f>
        <v>224039</v>
      </c>
      <c r="L210" s="1674">
        <f>SUM(L184,L185,L196,L208,L209)</f>
        <v>235912</v>
      </c>
    </row>
    <row r="211" spans="1:14" ht="13.5" thickTop="1" x14ac:dyDescent="0.2">
      <c r="A211" s="2287" t="s">
        <v>989</v>
      </c>
      <c r="B211" s="2288"/>
      <c r="C211" s="1675"/>
      <c r="D211" s="1675"/>
      <c r="E211" s="1675"/>
      <c r="F211" s="1675"/>
      <c r="G211" s="1675"/>
      <c r="H211" s="1675"/>
      <c r="I211" s="1673"/>
      <c r="J211" s="1673"/>
      <c r="K211" s="1689">
        <f>'Revenues 9-14'!F268-'Expenditures 15-22'!K210</f>
        <v>-49649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24260</v>
      </c>
      <c r="E215" s="1673"/>
      <c r="F215" s="1673"/>
      <c r="G215" s="1673"/>
      <c r="H215" s="1673"/>
      <c r="I215" s="1673"/>
      <c r="J215" s="1673"/>
      <c r="K215" s="1672">
        <f>D215</f>
        <v>24260</v>
      </c>
      <c r="L215" s="1573">
        <v>26021</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10317</v>
      </c>
      <c r="E217" s="1673"/>
      <c r="F217" s="1673"/>
      <c r="G217" s="1673"/>
      <c r="H217" s="1673"/>
      <c r="I217" s="1673"/>
      <c r="J217" s="1673"/>
      <c r="K217" s="1672">
        <f t="shared" si="19"/>
        <v>10317</v>
      </c>
      <c r="L217" s="1573">
        <v>10246</v>
      </c>
    </row>
    <row r="218" spans="1:14" x14ac:dyDescent="0.2">
      <c r="A218" s="1274" t="s">
        <v>276</v>
      </c>
      <c r="B218" s="503" t="s">
        <v>962</v>
      </c>
      <c r="C218" s="1673"/>
      <c r="D218" s="1574">
        <v>4855</v>
      </c>
      <c r="E218" s="1673"/>
      <c r="F218" s="1673"/>
      <c r="G218" s="1673"/>
      <c r="H218" s="1673"/>
      <c r="I218" s="1673"/>
      <c r="J218" s="1673"/>
      <c r="K218" s="1672">
        <f t="shared" si="19"/>
        <v>4855</v>
      </c>
      <c r="L218" s="1573">
        <v>4854</v>
      </c>
    </row>
    <row r="219" spans="1:14" x14ac:dyDescent="0.2">
      <c r="A219" s="1274" t="s">
        <v>277</v>
      </c>
      <c r="B219" s="503">
        <v>1250</v>
      </c>
      <c r="C219" s="1673"/>
      <c r="D219" s="1573">
        <v>174</v>
      </c>
      <c r="E219" s="1673"/>
      <c r="F219" s="1673"/>
      <c r="G219" s="1673"/>
      <c r="H219" s="1673"/>
      <c r="I219" s="1673"/>
      <c r="J219" s="1673"/>
      <c r="K219" s="1672">
        <f t="shared" si="19"/>
        <v>174</v>
      </c>
      <c r="L219" s="1573">
        <v>174</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f>1367+651+28+20</f>
        <v>2066</v>
      </c>
      <c r="E223" s="1673"/>
      <c r="F223" s="1673"/>
      <c r="G223" s="1673"/>
      <c r="H223" s="1673"/>
      <c r="I223" s="1673"/>
      <c r="J223" s="1673"/>
      <c r="K223" s="1672">
        <f t="shared" si="19"/>
        <v>2066</v>
      </c>
      <c r="L223" s="1573">
        <v>2101</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41672</v>
      </c>
      <c r="E229" s="1673"/>
      <c r="F229" s="1673"/>
      <c r="G229" s="1673"/>
      <c r="H229" s="1673"/>
      <c r="I229" s="1673"/>
      <c r="J229" s="1673"/>
      <c r="K229" s="1674">
        <f>SUM(K215:K228)</f>
        <v>41672</v>
      </c>
      <c r="L229" s="1674">
        <f>SUM(L215:L228)</f>
        <v>43396</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703</v>
      </c>
      <c r="E232" s="1673"/>
      <c r="F232" s="1673"/>
      <c r="G232" s="1673"/>
      <c r="H232" s="1673"/>
      <c r="I232" s="1673"/>
      <c r="J232" s="1673"/>
      <c r="K232" s="1672">
        <f t="shared" ref="K232:K237" si="20">D232</f>
        <v>703</v>
      </c>
      <c r="L232" s="1573">
        <v>690</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4108</v>
      </c>
      <c r="E234" s="1673"/>
      <c r="F234" s="1673"/>
      <c r="G234" s="1673"/>
      <c r="H234" s="1673"/>
      <c r="I234" s="1673"/>
      <c r="J234" s="1673"/>
      <c r="K234" s="1672">
        <f t="shared" si="20"/>
        <v>4108</v>
      </c>
      <c r="L234" s="1573">
        <v>4107</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855</v>
      </c>
      <c r="E236" s="1673"/>
      <c r="F236" s="1673"/>
      <c r="G236" s="1673"/>
      <c r="H236" s="1673"/>
      <c r="I236" s="1673"/>
      <c r="J236" s="1673"/>
      <c r="K236" s="1672">
        <f t="shared" si="20"/>
        <v>855</v>
      </c>
      <c r="L236" s="1573">
        <v>842</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5666</v>
      </c>
      <c r="E238" s="1673"/>
      <c r="F238" s="1673"/>
      <c r="G238" s="1673"/>
      <c r="H238" s="1673"/>
      <c r="I238" s="1673"/>
      <c r="J238" s="1673"/>
      <c r="K238" s="1674">
        <f>SUM(K232:K237)</f>
        <v>5666</v>
      </c>
      <c r="L238" s="1674">
        <f>SUM(L232:L237)</f>
        <v>5639</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1251</v>
      </c>
      <c r="E246" s="1673"/>
      <c r="F246" s="1673"/>
      <c r="G246" s="1673"/>
      <c r="H246" s="1673"/>
      <c r="I246" s="1673"/>
      <c r="J246" s="1673"/>
      <c r="K246" s="1678">
        <f t="shared" ref="K246:K256" si="21">D246</f>
        <v>1251</v>
      </c>
      <c r="L246" s="1573">
        <v>1251</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1251</v>
      </c>
      <c r="E257" s="1673"/>
      <c r="F257" s="1673"/>
      <c r="G257" s="1673"/>
      <c r="H257" s="1673"/>
      <c r="I257" s="1673"/>
      <c r="J257" s="1673"/>
      <c r="K257" s="1674">
        <f>SUM(K245:K256)</f>
        <v>1251</v>
      </c>
      <c r="L257" s="1674">
        <f>SUM(L245:L256)</f>
        <v>1251</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875</v>
      </c>
      <c r="E259" s="1673"/>
      <c r="F259" s="1673"/>
      <c r="G259" s="1673"/>
      <c r="H259" s="1673"/>
      <c r="I259" s="1673"/>
      <c r="J259" s="1673"/>
      <c r="K259" s="1678">
        <f>D259</f>
        <v>875</v>
      </c>
      <c r="L259" s="1586">
        <v>870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875</v>
      </c>
      <c r="E261" s="1673"/>
      <c r="F261" s="1673"/>
      <c r="G261" s="1673"/>
      <c r="H261" s="1673"/>
      <c r="I261" s="1673"/>
      <c r="J261" s="1673"/>
      <c r="K261" s="1674">
        <f>SUM(K259:K260)</f>
        <v>875</v>
      </c>
      <c r="L261" s="1674">
        <f>SUM(L259:L260)</f>
        <v>870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7005</v>
      </c>
      <c r="E264" s="1673"/>
      <c r="F264" s="1673"/>
      <c r="G264" s="1673"/>
      <c r="H264" s="1673"/>
      <c r="I264" s="1673"/>
      <c r="J264" s="1673"/>
      <c r="K264" s="1678">
        <f t="shared" ref="K264:K269" si="22">D264</f>
        <v>7005</v>
      </c>
      <c r="L264" s="1573">
        <v>6908</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11055</v>
      </c>
      <c r="E266" s="1673"/>
      <c r="F266" s="1673"/>
      <c r="G266" s="1673"/>
      <c r="H266" s="1673"/>
      <c r="I266" s="1673"/>
      <c r="J266" s="1673"/>
      <c r="K266" s="1678">
        <f t="shared" si="22"/>
        <v>11055</v>
      </c>
      <c r="L266" s="1573">
        <v>9417</v>
      </c>
    </row>
    <row r="267" spans="1:14" x14ac:dyDescent="0.2">
      <c r="A267" s="1274" t="s">
        <v>947</v>
      </c>
      <c r="B267" s="503">
        <v>2550</v>
      </c>
      <c r="C267" s="1673"/>
      <c r="D267" s="1573">
        <f>12235+77</f>
        <v>12312</v>
      </c>
      <c r="E267" s="1673"/>
      <c r="F267" s="1673"/>
      <c r="G267" s="1673"/>
      <c r="H267" s="1673"/>
      <c r="I267" s="1673"/>
      <c r="J267" s="1673"/>
      <c r="K267" s="1678">
        <f t="shared" si="22"/>
        <v>12312</v>
      </c>
      <c r="L267" s="1573">
        <v>13210</v>
      </c>
    </row>
    <row r="268" spans="1:14" x14ac:dyDescent="0.2">
      <c r="A268" s="1274" t="s">
        <v>100</v>
      </c>
      <c r="B268" s="503">
        <v>2560</v>
      </c>
      <c r="C268" s="1673"/>
      <c r="D268" s="1573">
        <v>9869</v>
      </c>
      <c r="E268" s="1673"/>
      <c r="F268" s="1673"/>
      <c r="G268" s="1673"/>
      <c r="H268" s="1673"/>
      <c r="I268" s="1673"/>
      <c r="J268" s="1673"/>
      <c r="K268" s="1678">
        <f t="shared" si="22"/>
        <v>9869</v>
      </c>
      <c r="L268" s="1573">
        <v>9804</v>
      </c>
    </row>
    <row r="269" spans="1:14" x14ac:dyDescent="0.2">
      <c r="A269" s="1274" t="s">
        <v>101</v>
      </c>
      <c r="B269" s="503">
        <v>2570</v>
      </c>
      <c r="C269" s="1673"/>
      <c r="D269" s="1573">
        <v>5753</v>
      </c>
      <c r="E269" s="1673"/>
      <c r="F269" s="1673"/>
      <c r="G269" s="1673"/>
      <c r="H269" s="1673"/>
      <c r="I269" s="1673"/>
      <c r="J269" s="1673"/>
      <c r="K269" s="1678">
        <f t="shared" si="22"/>
        <v>5753</v>
      </c>
      <c r="L269" s="1573">
        <v>5689</v>
      </c>
    </row>
    <row r="270" spans="1:14" ht="12.75" customHeight="1" thickBot="1" x14ac:dyDescent="0.25">
      <c r="A270" s="1380" t="s">
        <v>714</v>
      </c>
      <c r="B270" s="1383" t="s">
        <v>35</v>
      </c>
      <c r="C270" s="1673"/>
      <c r="D270" s="1674">
        <f>SUM(D263:D269)</f>
        <v>45994</v>
      </c>
      <c r="E270" s="1673"/>
      <c r="F270" s="1673"/>
      <c r="G270" s="1673"/>
      <c r="H270" s="1673"/>
      <c r="I270" s="1673"/>
      <c r="J270" s="1673"/>
      <c r="K270" s="1674">
        <f>SUM(K263:K269)</f>
        <v>45994</v>
      </c>
      <c r="L270" s="1674">
        <f>SUM(L263:L269)</f>
        <v>45028</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53786</v>
      </c>
      <c r="E279" s="1673"/>
      <c r="F279" s="1673"/>
      <c r="G279" s="1673"/>
      <c r="H279" s="1673"/>
      <c r="I279" s="1673"/>
      <c r="J279" s="1673"/>
      <c r="K279" s="1681">
        <f>SUM(K238,K243,K257,K261,K270,K277,K278)</f>
        <v>53786</v>
      </c>
      <c r="L279" s="1681">
        <f>SUM(L238,L243,L257,L261,L270,L277,L278)</f>
        <v>52788</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95458</v>
      </c>
      <c r="E295" s="1673"/>
      <c r="F295" s="1673"/>
      <c r="G295" s="1673"/>
      <c r="H295" s="1674">
        <f>H293</f>
        <v>0</v>
      </c>
      <c r="I295" s="1673"/>
      <c r="J295" s="1673"/>
      <c r="K295" s="1674">
        <f>SUM(K229,K279,K280,K285,K293,K294)</f>
        <v>95458</v>
      </c>
      <c r="L295" s="1674">
        <f>SUM(L229,L279,L280,L285,L293,L294)</f>
        <v>96184</v>
      </c>
    </row>
    <row r="296" spans="1:14" ht="13.5" thickTop="1" x14ac:dyDescent="0.2">
      <c r="A296" s="2287" t="s">
        <v>989</v>
      </c>
      <c r="B296" s="2288"/>
      <c r="C296" s="1673"/>
      <c r="D296" s="1675"/>
      <c r="E296" s="1673"/>
      <c r="F296" s="1673"/>
      <c r="G296" s="1673"/>
      <c r="H296" s="1707"/>
      <c r="I296" s="1673"/>
      <c r="J296" s="1673"/>
      <c r="K296" s="1689">
        <f>'Revenues 9-14'!G268-'Expenditures 15-22'!K295</f>
        <v>11976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10032</v>
      </c>
      <c r="F320" s="1574"/>
      <c r="G320" s="1574"/>
      <c r="H320" s="1574"/>
      <c r="I320" s="1574"/>
      <c r="J320" s="1574"/>
      <c r="K320" s="1672">
        <f t="shared" ref="K320:K327" si="24">SUM(C320:J320)</f>
        <v>10032</v>
      </c>
      <c r="L320" s="1574">
        <v>10617</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v>40000</v>
      </c>
      <c r="D323" s="1574"/>
      <c r="E323" s="1574"/>
      <c r="F323" s="1574"/>
      <c r="G323" s="1574"/>
      <c r="H323" s="1574"/>
      <c r="I323" s="1574"/>
      <c r="J323" s="1574"/>
      <c r="K323" s="1672">
        <f t="shared" si="24"/>
        <v>40000</v>
      </c>
      <c r="L323" s="1574">
        <v>40380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2066</v>
      </c>
      <c r="F327" s="1574"/>
      <c r="G327" s="1574"/>
      <c r="H327" s="1574"/>
      <c r="I327" s="1574"/>
      <c r="J327" s="1574"/>
      <c r="K327" s="1672">
        <f t="shared" si="24"/>
        <v>2066</v>
      </c>
      <c r="L327" s="1574">
        <v>3000</v>
      </c>
      <c r="M327" s="539"/>
      <c r="N327" s="539"/>
    </row>
    <row r="328" spans="1:14" s="548" customFormat="1" x14ac:dyDescent="0.2">
      <c r="A328" s="1290" t="s">
        <v>469</v>
      </c>
      <c r="B328" s="562" t="s">
        <v>1122</v>
      </c>
      <c r="C328" s="1579"/>
      <c r="D328" s="1579"/>
      <c r="E328" s="1579">
        <v>28058</v>
      </c>
      <c r="F328" s="1579"/>
      <c r="G328" s="1579"/>
      <c r="H328" s="1579"/>
      <c r="I328" s="1579"/>
      <c r="J328" s="1579"/>
      <c r="K328" s="1713">
        <f>SUM(C328:J328)</f>
        <v>28058</v>
      </c>
      <c r="L328" s="1579">
        <v>27633</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40000</v>
      </c>
      <c r="D330" s="1674">
        <f t="shared" ref="D330:J330" si="25">SUM(D319:D329)</f>
        <v>0</v>
      </c>
      <c r="E330" s="1674">
        <f t="shared" si="25"/>
        <v>40156</v>
      </c>
      <c r="F330" s="1674">
        <f t="shared" si="25"/>
        <v>0</v>
      </c>
      <c r="G330" s="1674">
        <f t="shared" si="25"/>
        <v>0</v>
      </c>
      <c r="H330" s="1674">
        <f t="shared" si="25"/>
        <v>0</v>
      </c>
      <c r="I330" s="1674">
        <f t="shared" si="25"/>
        <v>0</v>
      </c>
      <c r="J330" s="1674">
        <f t="shared" si="25"/>
        <v>0</v>
      </c>
      <c r="K330" s="1674">
        <f>SUM(K319:K329)</f>
        <v>80156</v>
      </c>
      <c r="L330" s="1674">
        <f>SUM(L319:L329)</f>
        <v>81630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40000</v>
      </c>
      <c r="D342" s="1674">
        <f>SUM(D330)</f>
        <v>0</v>
      </c>
      <c r="E342" s="1674">
        <f>SUM(E330)</f>
        <v>40156</v>
      </c>
      <c r="F342" s="1674">
        <f>SUM(F330)</f>
        <v>0</v>
      </c>
      <c r="G342" s="1674">
        <f>SUM(G330)</f>
        <v>0</v>
      </c>
      <c r="H342" s="1674">
        <f>SUM(H330,H334,H340)</f>
        <v>0</v>
      </c>
      <c r="I342" s="1674">
        <f>SUM(I330)</f>
        <v>0</v>
      </c>
      <c r="J342" s="1674">
        <f>SUM(J330)</f>
        <v>0</v>
      </c>
      <c r="K342" s="1674">
        <f>SUM(K330,K334,K340)</f>
        <v>80156</v>
      </c>
      <c r="L342" s="1681">
        <f>SUM(L330,L334,L340,L341)</f>
        <v>81630</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4743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4676</v>
      </c>
      <c r="F348" s="1573">
        <v>2430</v>
      </c>
      <c r="G348" s="1573"/>
      <c r="H348" s="1573"/>
      <c r="I348" s="1574"/>
      <c r="J348" s="1574"/>
      <c r="K348" s="1672">
        <f>SUM(C348:J348)</f>
        <v>7106</v>
      </c>
      <c r="L348" s="1573">
        <v>12000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4676</v>
      </c>
      <c r="F350" s="1674">
        <f t="shared" si="26"/>
        <v>2430</v>
      </c>
      <c r="G350" s="1674">
        <f t="shared" si="26"/>
        <v>0</v>
      </c>
      <c r="H350" s="1674">
        <f t="shared" si="26"/>
        <v>0</v>
      </c>
      <c r="I350" s="1674">
        <f t="shared" si="26"/>
        <v>0</v>
      </c>
      <c r="J350" s="1674">
        <f t="shared" si="26"/>
        <v>0</v>
      </c>
      <c r="K350" s="1674">
        <f t="shared" si="26"/>
        <v>7106</v>
      </c>
      <c r="L350" s="1674">
        <f t="shared" si="26"/>
        <v>12000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4676</v>
      </c>
      <c r="F352" s="1674">
        <f t="shared" si="27"/>
        <v>2430</v>
      </c>
      <c r="G352" s="1674">
        <f t="shared" si="27"/>
        <v>0</v>
      </c>
      <c r="H352" s="1674">
        <f t="shared" si="27"/>
        <v>0</v>
      </c>
      <c r="I352" s="1674">
        <f t="shared" si="27"/>
        <v>0</v>
      </c>
      <c r="J352" s="1674">
        <f t="shared" si="27"/>
        <v>0</v>
      </c>
      <c r="K352" s="1674">
        <f t="shared" si="27"/>
        <v>7106</v>
      </c>
      <c r="L352" s="1674">
        <f t="shared" si="27"/>
        <v>12000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4676</v>
      </c>
      <c r="F367" s="1674">
        <f t="shared" si="28"/>
        <v>2430</v>
      </c>
      <c r="G367" s="1674">
        <f t="shared" si="28"/>
        <v>0</v>
      </c>
      <c r="H367" s="1674">
        <f t="shared" si="28"/>
        <v>0</v>
      </c>
      <c r="I367" s="1674">
        <f t="shared" si="28"/>
        <v>0</v>
      </c>
      <c r="J367" s="1674">
        <f t="shared" si="28"/>
        <v>0</v>
      </c>
      <c r="K367" s="1674">
        <f t="shared" si="28"/>
        <v>7106</v>
      </c>
      <c r="L367" s="1674">
        <f t="shared" si="28"/>
        <v>12000</v>
      </c>
    </row>
    <row r="368" spans="1:14" ht="13.5" thickTop="1" x14ac:dyDescent="0.2">
      <c r="A368" s="2287" t="s">
        <v>989</v>
      </c>
      <c r="B368" s="2288"/>
      <c r="C368" s="1694"/>
      <c r="D368" s="1694"/>
      <c r="E368" s="1677"/>
      <c r="F368" s="1677"/>
      <c r="G368" s="1677"/>
      <c r="H368" s="1677"/>
      <c r="I368" s="1677"/>
      <c r="J368" s="1676"/>
      <c r="K368" s="1672">
        <f>'Revenues 9-14'!K268-'Expenditures 15-22'!K367</f>
        <v>3838</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openxmlformats.org/package/2006/metadata/core-properties"/>
    <ds:schemaRef ds:uri="http://www.w3.org/XML/1998/namespace"/>
    <ds:schemaRef ds:uri="http://purl.org/dc/elements/1.1/"/>
    <ds:schemaRef ds:uri="http://schemas.microsoft.com/office/2006/documentManagement/types"/>
    <ds:schemaRef ds:uri="4d435f69-8686-490b-bd6d-b153bf22ab50"/>
    <ds:schemaRef ds:uri="6ce3111e-7420-4802-b50a-75d4e9a0b980"/>
    <ds:schemaRef ds:uri="http://schemas.microsoft.com/sharepoint/v3"/>
    <ds:schemaRef ds:uri="http://purl.org/dc/dcmitype/"/>
    <ds:schemaRef ds:uri="http://schemas.microsoft.com/office/infopath/2007/PartnerControls"/>
    <ds:schemaRef ds:uri="d21dc803-237d-4c68-8692-8d731fd2911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2020-10-07T15:29:01Z</cp:lastPrinted>
  <dcterms:created xsi:type="dcterms:W3CDTF">2003-10-29T19:06:34Z</dcterms:created>
  <dcterms:modified xsi:type="dcterms:W3CDTF">2020-10-21T22:02:50Z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