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F12F890-4F44-42AD-90F8-E2DEDB82CD8E}" xr6:coauthVersionLast="36" xr6:coauthVersionMax="36" xr10:uidLastSave="{00000000-0000-0000-0000-000000000000}"/>
  <bookViews>
    <workbookView xWindow="-120" yWindow="-120" windowWidth="23280" windowHeight="12600" tabRatio="90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AC Tort 32-33" sheetId="184" r:id="rId17"/>
    <sheet name="Shared Outsourced Services 31" sheetId="182"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9" i="184" l="1"/>
  <c r="N57" i="184"/>
  <c r="N67" i="184"/>
  <c r="N64" i="184"/>
  <c r="N62" i="184"/>
  <c r="E67" i="184" l="1"/>
  <c r="E64" i="184"/>
  <c r="E62" i="184"/>
  <c r="E59" i="184"/>
  <c r="E57" i="184"/>
  <c r="F15" i="184" l="1"/>
  <c r="F19" i="184" s="1"/>
  <c r="E17" i="184"/>
  <c r="E16" i="184"/>
  <c r="E15" i="184"/>
  <c r="E14"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98" i="106"/>
  <c r="D7198" i="106" s="1"/>
  <c r="E65" i="184"/>
  <c r="N65" i="184" s="1"/>
  <c r="B7180" i="106"/>
  <c r="D7180" i="106" s="1"/>
  <c r="E63" i="184"/>
  <c r="N63" i="184" s="1"/>
  <c r="B7162" i="106"/>
  <c r="D7162" i="106" s="1"/>
  <c r="E61" i="184"/>
  <c r="N61" i="184" s="1"/>
  <c r="C342" i="29"/>
  <c r="B7216" i="106" s="1"/>
  <c r="D7216" i="106" s="1"/>
  <c r="B7153" i="106"/>
  <c r="D7153" i="106" s="1"/>
  <c r="E60" i="184"/>
  <c r="N60" i="184" s="1"/>
  <c r="B7135" i="106"/>
  <c r="D7135" i="106" s="1"/>
  <c r="E58" i="184"/>
  <c r="F77" i="4"/>
  <c r="B3255" i="106" s="1"/>
  <c r="D3255" i="106" s="1"/>
  <c r="F34" i="34"/>
  <c r="B7826" i="106" s="1"/>
  <c r="D7826" i="106" s="1"/>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L16" i="11"/>
  <c r="B2061" i="106" s="1"/>
  <c r="D2061" i="106" s="1"/>
  <c r="K342" i="29"/>
  <c r="F13" i="34" s="1"/>
  <c r="N58" i="184"/>
  <c r="N68" i="184" s="1"/>
  <c r="E68" i="184"/>
  <c r="F41" i="108"/>
  <c r="G43" i="108" s="1"/>
  <c r="B1381" i="106"/>
  <c r="D1381" i="106" s="1"/>
  <c r="D44" i="36"/>
  <c r="L114" i="29"/>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10" i="4" s="1"/>
  <c r="B4125" i="106" s="1"/>
  <c r="D41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<sst xmlns="http://schemas.openxmlformats.org/spreadsheetml/2006/main" count="5188" uniqueCount="2115">
  <si>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</si>
  <si>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</si>
  <si>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</si>
  <si>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</si>
  <si>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</si>
  <si>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</si>
  <si>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</si>
  <si>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</si>
  <si>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</si>
  <si>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</si>
  <si>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</si>
  <si>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</si>
  <si>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</si>
  <si>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</si>
  <si>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</si>
  <si>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</si>
  <si>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</si>
  <si>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</si>
  <si>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</si>
  <si>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</si>
  <si>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</si>
  <si>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</si>
  <si>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</si>
  <si>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</si>
  <si>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</si>
  <si>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</si>
  <si>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</si>
  <si>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</si>
  <si>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</si>
  <si>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</si>
  <si>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</si>
  <si>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</si>
  <si>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</si>
  <si>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</si>
  <si>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</si>
  <si>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</si>
  <si>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</si>
  <si>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</si>
  <si>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</si>
  <si>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</si>
  <si>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</si>
  <si>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</si>
  <si>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</si>
  <si>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</si>
  <si>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</si>
  <si>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</si>
  <si>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</si>
  <si>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</si>
  <si>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</si>
  <si>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</si>
  <si>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</si>
  <si>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</si>
  <si>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</si>
  <si>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</si>
  <si>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</si>
  <si>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</si>
  <si>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</si>
  <si>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</si>
  <si>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</si>
  <si>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</si>
  <si>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</si>
  <si>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</si>
  <si>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</si>
  <si>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</si>
  <si>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</si>
  <si>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</si>
  <si>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</si>
  <si>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</si>
  <si>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</si>
  <si>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</si>
  <si>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</si>
  <si>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</si>
  <si>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</si>
  <si>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</si>
  <si>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</si>
  <si>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</si>
  <si>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</si>
  <si>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</si>
  <si>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</si>
  <si>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</si>
  <si>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</si>
  <si>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</si>
  <si>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</si>
  <si>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</si>
  <si>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</si>
  <si>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</si>
  <si>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</si>
  <si>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</si>
  <si>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</si>
  <si>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</si>
  <si>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</si>
  <si>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</si>
  <si>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</si>
  <si>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</si>
  <si>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</si>
  <si>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</si>
  <si>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</si>
  <si>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</si>
  <si>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</si>
  <si>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</si>
  <si>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</si>
  <si>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</si>
  <si>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</si>
  <si>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</si>
  <si>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</si>
  <si>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</si>
  <si>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</si>
  <si>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</si>
  <si>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</si>
  <si>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</si>
  <si>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</si>
  <si>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</si>
  <si>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</si>
  <si>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</si>
  <si>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</si>
  <si>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</si>
  <si>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</si>
  <si>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</si>
  <si>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</si>
  <si>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</si>
  <si>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</si>
  <si>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</si>
  <si>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</si>
  <si>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</si>
  <si>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</si>
  <si>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</si>
  <si>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</si>
  <si>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</si>
  <si>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</si>
  <si>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</si>
  <si>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</si>
  <si>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</si>
  <si>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</si>
  <si>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</si>
  <si>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</si>
  <si>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</si>
  <si>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</si>
  <si>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</si>
  <si>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</si>
  <si>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</si>
  <si>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</si>
  <si>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</si>
  <si>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</si>
  <si>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</si>
  <si>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</si>
  <si>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</si>
  <si>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</si>
  <si>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</si>
  <si>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</si>
  <si>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</si>
  <si>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</si>
  <si>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</si>
  <si>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</si>
  <si>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</si>
  <si>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</si>
  <si>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</si>
  <si>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</si>
  <si>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</si>
  <si>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</si>
  <si>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</si>
  <si>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</si>
  <si>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</si>
  <si>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</si>
  <si>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</si>
  <si>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</si>
  <si>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</si>
  <si>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</si>
  <si>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</si>
  <si>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</si>
  <si>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</si>
  <si>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</si>
  <si>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</si>
  <si>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</si>
  <si>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</si>
  <si>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</si>
  <si>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</si>
  <si>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</si>
  <si>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</si>
  <si>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</si>
  <si>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</si>
  <si>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</si>
  <si>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</si>
  <si>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</si>
  <si>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</si>
  <si>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</si>
  <si>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</si>
  <si>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</si>
  <si>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</si>
  <si>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</si>
  <si>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</si>
  <si>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</si>
  <si>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</si>
  <si>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</si>
  <si>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</si>
  <si>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</si>
  <si>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</si>
  <si>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</si>
  <si>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</si>
  <si>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</si>
  <si>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</si>
  <si>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</si>
  <si>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</si>
  <si>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</si>
  <si>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</si>
  <si>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</si>
  <si>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</si>
  <si>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</si>
  <si>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</si>
  <si>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</si>
  <si>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</si>
  <si>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</si>
  <si>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</si>
  <si>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</si>
  <si>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</si>
  <si>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</si>
  <si>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</si>
  <si>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</si>
  <si>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</si>
  <si>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</si>
  <si>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</si>
  <si>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</si>
  <si>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</si>
  <si>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</si>
  <si>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</si>
  <si>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</si>
  <si>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</si>
  <si>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</si>
  <si>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</si>
  <si>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</si>
  <si>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</si>
  <si>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</si>
  <si>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</si>
  <si>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</si>
  <si>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</si>
  <si>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</si>
  <si>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</si>
  <si>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</si>
  <si>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</si>
  <si>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</si>
  <si>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</si>
  <si>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</si>
  <si>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</si>
  <si>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</si>
  <si>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</si>
  <si>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</si>
  <si>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</si>
  <si>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</si>
  <si>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</si>
  <si>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</si>
  <si>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</si>
  <si>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</si>
  <si>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</si>
  <si>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</si>
  <si>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</si>
  <si>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</si>
  <si>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</si>
  <si>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</si>
  <si>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</si>
  <si>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</si>
  <si>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</si>
  <si>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</si>
  <si>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</si>
  <si>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</si>
  <si>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</si>
  <si>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</si>
  <si>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</si>
  <si>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</si>
  <si>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</si>
  <si>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</si>
  <si>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</si>
  <si>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</si>
  <si>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</si>
  <si>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</si>
  <si>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</si>
  <si>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</si>
  <si>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</si>
  <si>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</si>
  <si>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</si>
  <si>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</si>
  <si>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</si>
  <si>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</si>
  <si>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</si>
  <si>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</si>
  <si>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</si>
  <si>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</si>
  <si>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</si>
  <si>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</si>
  <si>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</si>
  <si>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</si>
  <si>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</si>
  <si>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</si>
  <si>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</si>
  <si>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</si>
  <si>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</si>
  <si>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</si>
  <si>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</si>
  <si>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</si>
  <si>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</si>
  <si>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</si>
  <si>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</si>
  <si>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</si>
  <si>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</si>
  <si>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</si>
  <si>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</si>
  <si>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</si>
  <si>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</si>
  <si>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</si>
  <si>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</si>
  <si>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</si>
  <si>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</si>
  <si>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</si>
  <si>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</si>
  <si>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</si>
  <si>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</si>
  <si>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</si>
  <si>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</si>
  <si>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</si>
  <si>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</si>
  <si>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</si>
  <si>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</si>
  <si>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</si>
  <si>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</si>
  <si>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</si>
  <si>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</si>
  <si>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</si>
  <si>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</si>
  <si>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</si>
  <si>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</si>
  <si>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</si>
  <si>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</si>
  <si>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</si>
  <si>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</si>
  <si>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</si>
  <si>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</si>
  <si>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</si>
  <si>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</si>
  <si>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</si>
  <si>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</si>
  <si>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</si>
  <si>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</si>
  <si>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</si>
  <si>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</si>
  <si>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</si>
  <si>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</si>
  <si>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</si>
  <si>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</si>
  <si>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</si>
  <si>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</si>
  <si>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</si>
  <si>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</si>
  <si>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</si>
  <si>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</si>
  <si>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</si>
  <si>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</si>
  <si>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</si>
  <si>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</si>
  <si>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</si>
  <si>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</si>
  <si>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</si>
  <si>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</si>
  <si>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</si>
  <si>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</si>
  <si>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</si>
  <si>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</si>
  <si>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</si>
  <si>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</si>
  <si>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</si>
  <si>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</si>
  <si>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</si>
  <si>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</si>
  <si>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</si>
  <si>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</si>
  <si>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</si>
  <si>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</si>
  <si>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</si>
  <si>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</si>
  <si>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</si>
  <si>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</si>
  <si>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</si>
  <si>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</si>
  <si>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</si>
  <si>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</si>
  <si>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</si>
  <si>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</si>
  <si>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</si>
  <si>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</si>
  <si>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</si>
  <si>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</si>
  <si>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</si>
  <si>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</si>
  <si>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</si>
  <si>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</si>
  <si>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</si>
  <si>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</si>
  <si>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</si>
  <si>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</si>
  <si>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</si>
  <si>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</si>
  <si>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</si>
  <si>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</si>
  <si>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</si>
  <si>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</si>
  <si>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</si>
  <si>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</si>
  <si>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</si>
  <si>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</si>
  <si>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</si>
  <si>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</si>
  <si>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</si>
  <si>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</si>
  <si>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</si>
  <si>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</si>
  <si>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</si>
  <si>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</si>
  <si>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</si>
  <si>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</si>
  <si>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</si>
  <si>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</si>
  <si>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</si>
  <si>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</si>
  <si>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</si>
  <si>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</si>
  <si>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</si>
  <si>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</si>
  <si>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</si>
  <si>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</si>
  <si>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</si>
  <si>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</si>
  <si>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</si>
  <si>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</si>
  <si>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</si>
  <si>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</si>
  <si>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</si>
  <si>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</si>
  <si>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</si>
  <si>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</si>
  <si>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</si>
  <si>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</si>
  <si>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</si>
  <si>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</si>
  <si>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</si>
  <si>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</si>
  <si>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</si>
  <si>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</si>
  <si>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</si>
  <si>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</si>
  <si>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</si>
  <si>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</si>
  <si>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</si>
  <si>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</si>
  <si>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</si>
  <si>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</si>
  <si>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</si>
  <si>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</si>
  <si>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</si>
  <si>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</si>
  <si>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</si>
  <si>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</si>
  <si>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</si>
  <si>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</si>
  <si>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</si>
  <si>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</si>
  <si>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</si>
  <si>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</si>
  <si>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</si>
  <si>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</si>
  <si>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</si>
  <si>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</si>
  <si>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</si>
  <si>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</si>
  <si>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</si>
  <si>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</si>
  <si>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</si>
  <si>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</si>
  <si>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</si>
  <si>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</si>
  <si>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</si>
  <si>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</si>
  <si>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</si>
  <si>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</si>
  <si>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</si>
  <si>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</si>
  <si>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</si>
  <si>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</si>
  <si>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</si>
  <si>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</si>
  <si>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</si>
  <si>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</si>
  <si>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</si>
  <si>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</si>
  <si>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</si>
  <si>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</si>
  <si>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</si>
  <si>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</si>
  <si>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</si>
  <si>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</si>
  <si>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</si>
  <si>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</si>
  <si>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</si>
  <si>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</si>
  <si>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</si>
  <si>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</si>
  <si>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</si>
  <si>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</si>
  <si>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</si>
  <si>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</si>
  <si>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</si>
  <si>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</si>
  <si>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</si>
  <si>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</si>
  <si>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</si>
  <si>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</si>
  <si>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</si>
  <si>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</si>
  <si>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</si>
  <si>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</si>
  <si>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</si>
  <si>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</si>
  <si>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</si>
  <si>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</si>
  <si>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</si>
  <si>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</si>
  <si>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</si>
  <si>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</si>
  <si>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</si>
  <si>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</si>
  <si>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</si>
  <si>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</si>
  <si>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</si>
  <si>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</si>
  <si>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</si>
  <si>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</si>
  <si>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</si>
  <si>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</si>
  <si>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</si>
  <si>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</si>
  <si>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</si>
  <si>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</si>
  <si>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</si>
  <si>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</si>
  <si>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</si>
  <si>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</si>
  <si>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</si>
  <si>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</si>
  <si>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</si>
  <si>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</si>
  <si>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</si>
  <si>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</si>
  <si>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</si>
  <si>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</si>
  <si>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</si>
  <si>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</si>
  <si>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</si>
  <si>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</si>
  <si>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</si>
  <si>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</si>
  <si>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</si>
  <si>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</si>
  <si>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</si>
  <si>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</si>
  <si>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</si>
  <si>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</si>
  <si>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</si>
  <si>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</si>
  <si>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</si>
  <si>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</si>
  <si>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</si>
  <si>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</si>
  <si>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</si>
  <si>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</si>
  <si>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</si>
  <si>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</si>
  <si>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</si>
  <si>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</si>
  <si>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</si>
  <si>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</si>
  <si>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</si>
  <si>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</si>
  <si>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</si>
  <si>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</si>
  <si>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</si>
  <si>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</si>
  <si>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</si>
  <si>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</si>
  <si>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</si>
  <si>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</si>
  <si>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</si>
  <si>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</si>
  <si>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</si>
  <si>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</si>
  <si>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</si>
  <si>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</si>
  <si>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</si>
  <si>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</si>
  <si>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</si>
  <si>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</si>
  <si>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</si>
  <si>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</si>
  <si>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</si>
  <si>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</si>
  <si>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</si>
  <si>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</si>
  <si>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</si>
  <si>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</si>
  <si>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</si>
  <si>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</si>
  <si>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</si>
  <si>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</si>
  <si>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</si>
  <si>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</si>
  <si>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</si>
  <si>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</si>
  <si>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</si>
  <si>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</si>
  <si>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</si>
  <si>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</si>
  <si>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</si>
  <si>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</si>
  <si>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</si>
  <si>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</si>
  <si>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</si>
  <si>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</si>
  <si>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</si>
  <si>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</si>
  <si>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</si>
  <si>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</si>
  <si>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</si>
  <si>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</si>
  <si>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</si>
  <si>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</si>
  <si>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</si>
  <si>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</si>
  <si>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</si>
  <si>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</si>
  <si>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</si>
  <si>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</si>
  <si>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</si>
  <si>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</si>
  <si>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</si>
  <si>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</si>
  <si>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</si>
  <si>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</si>
  <si>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</si>
  <si>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</si>
  <si>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</si>
  <si>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</si>
  <si>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</si>
  <si>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</si>
  <si>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</si>
  <si>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</si>
  <si>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</si>
  <si>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</si>
  <si>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</si>
  <si>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</si>
  <si>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</si>
  <si>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</si>
  <si>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</si>
  <si>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</si>
  <si>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</si>
  <si>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</si>
  <si>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</si>
  <si>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</si>
  <si>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</si>
  <si>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</si>
  <si>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</si>
  <si>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</si>
  <si>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</si>
  <si>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</si>
  <si>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</si>
  <si>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</si>
  <si>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</si>
  <si>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</si>
  <si>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</si>
  <si>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</si>
  <si>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</si>
  <si>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</si>
  <si>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</si>
  <si>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</si>
  <si>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</si>
  <si>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</si>
  <si>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</si>
  <si>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</si>
  <si>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</si>
  <si>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</si>
  <si>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</si>
  <si>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</si>
  <si>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</si>
  <si>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</si>
  <si>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</si>
  <si>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</si>
  <si>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</si>
  <si>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</si>
  <si>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</si>
  <si>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</si>
  <si>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</si>
  <si>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</si>
  <si>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</si>
  <si>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</si>
  <si>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</si>
  <si>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</si>
  <si>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</si>
  <si>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</si>
  <si>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</si>
  <si>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</si>
  <si>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</si>
  <si>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</si>
  <si>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</si>
  <si>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</si>
  <si>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</si>
  <si>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</si>
  <si>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</si>
  <si>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</si>
  <si>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</si>
  <si>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</si>
  <si>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</si>
  <si>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</si>
  <si>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</si>
  <si>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</si>
  <si>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</si>
  <si>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</si>
  <si>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</si>
  <si>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</si>
  <si>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</si>
  <si>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</si>
  <si>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</si>
  <si>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</si>
  <si>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</si>
  <si>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</si>
  <si>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</si>
  <si>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</si>
  <si>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</si>
  <si>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</si>
  <si>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</si>
  <si>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</si>
  <si>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</si>
  <si>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</si>
  <si>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</si>
  <si>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</si>
  <si>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</si>
  <si>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</si>
  <si>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</si>
  <si>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</si>
  <si>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</si>
  <si>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</si>
  <si>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</si>
  <si>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</si>
  <si>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</si>
  <si>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</si>
  <si>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</si>
  <si>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</si>
  <si>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</si>
  <si>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</si>
  <si>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</si>
  <si>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</si>
  <si>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</si>
  <si>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</si>
  <si>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</si>
  <si>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</si>
  <si>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</si>
  <si>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</si>
  <si>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</si>
  <si>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</si>
  <si>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</si>
  <si>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</si>
  <si>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</si>
  <si>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</si>
  <si>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</si>
  <si>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</si>
  <si>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</si>
  <si>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</si>
  <si>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</si>
  <si>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</si>
  <si>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</si>
  <si>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</si>
  <si>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</si>
  <si>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</si>
  <si>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</si>
  <si>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</si>
  <si>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</si>
  <si>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</si>
  <si>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</si>
  <si>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</si>
  <si>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</si>
  <si>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</si>
  <si>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</si>
  <si>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</si>
  <si>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</si>
  <si>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</si>
  <si>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</si>
  <si>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</si>
  <si>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</si>
  <si>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</si>
  <si>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</si>
  <si>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</si>
  <si>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</si>
  <si>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</si>
  <si>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</si>
  <si>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</si>
  <si>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</si>
  <si>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</si>
  <si>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</si>
  <si>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</si>
  <si>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</si>
  <si>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</si>
  <si>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</si>
  <si>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</si>
  <si>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</si>
  <si>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</si>
  <si>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</si>
  <si>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</si>
  <si>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</si>
  <si>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</si>
  <si>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</si>
  <si>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</si>
  <si>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</si>
  <si>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</si>
  <si>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</si>
  <si>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</si>
  <si>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</si>
  <si>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</si>
  <si>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</si>
  <si>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</si>
  <si>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</si>
  <si>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</si>
  <si>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</si>
  <si>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</si>
  <si>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</si>
  <si>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</si>
  <si>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</si>
  <si>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</si>
  <si>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</si>
  <si>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</si>
  <si>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</si>
  <si>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</si>
  <si>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</si>
  <si>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</si>
  <si>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</si>
  <si>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</si>
  <si>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</si>
  <si>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</si>
  <si>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</si>
  <si>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</si>
  <si>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</si>
  <si>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</si>
  <si>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</si>
  <si>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</si>
  <si>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</si>
  <si>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</si>
  <si>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</si>
  <si>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</si>
  <si>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</si>
  <si>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</si>
  <si>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</si>
  <si>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</si>
  <si>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</si>
  <si>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</si>
  <si>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</si>
  <si>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</si>
  <si>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</si>
  <si>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</si>
  <si>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</si>
  <si>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</si>
  <si>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</si>
  <si>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</si>
  <si>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</si>
  <si>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</si>
  <si>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</si>
  <si>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</si>
  <si>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</si>
  <si>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</si>
  <si>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</si>
  <si>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</si>
  <si>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</si>
  <si>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</si>
  <si>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</si>
  <si>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</si>
  <si>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</si>
  <si>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</si>
  <si>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</si>
  <si>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</si>
  <si>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</si>
  <si>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</si>
  <si>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</si>
  <si>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</si>
  <si>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</si>
  <si>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</si>
  <si>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</si>
  <si>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</si>
  <si>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</si>
  <si>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</si>
  <si>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</si>
  <si>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</si>
  <si>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</si>
  <si>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</si>
  <si>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</si>
  <si>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</si>
  <si>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</si>
  <si>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</si>
  <si>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</si>
  <si>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</si>
  <si>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</si>
  <si>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</si>
  <si>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</si>
  <si>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</si>
  <si>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</si>
  <si>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</si>
  <si>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</si>
  <si>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</si>
  <si>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</si>
  <si>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</si>
  <si>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</si>
  <si>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</si>
  <si>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</si>
  <si>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</si>
  <si>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</si>
  <si>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</si>
  <si>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</si>
  <si>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</si>
  <si>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</si>
  <si>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</si>
  <si>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</si>
  <si>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</si>
  <si>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</si>
  <si>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</si>
  <si>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</si>
  <si>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</si>
  <si>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</si>
  <si>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</si>
  <si>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</si>
  <si>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</si>
  <si>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</si>
  <si>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</si>
  <si>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</si>
  <si>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</si>
  <si>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</si>
  <si>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</si>
  <si>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</si>
  <si>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</si>
  <si>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</si>
  <si>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</si>
  <si>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</si>
  <si>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</si>
  <si>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</si>
  <si>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</si>
  <si>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</si>
  <si>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</si>
  <si>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</si>
  <si>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</si>
  <si>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</si>
  <si>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</si>
  <si>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</si>
  <si>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</si>
  <si>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</si>
  <si>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</si>
  <si>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</si>
  <si>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</si>
  <si>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</si>
  <si>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</si>
  <si>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</si>
  <si>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</si>
  <si>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</si>
  <si>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</si>
  <si>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</si>
  <si>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</si>
  <si>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</si>
  <si>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</si>
  <si>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</si>
  <si>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</si>
  <si>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</si>
  <si>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</si>
  <si>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</si>
  <si>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</si>
  <si>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</si>
  <si>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</si>
  <si>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</si>
  <si>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</si>
  <si>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</si>
  <si>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</si>
  <si>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</si>
  <si>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</si>
  <si>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</si>
  <si>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</si>
  <si>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</si>
  <si>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</si>
  <si>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</si>
  <si>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</si>
  <si>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</si>
  <si>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</si>
  <si>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</si>
  <si>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</si>
  <si>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</si>
  <si>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</si>
  <si>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</si>
  <si>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</si>
  <si>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</si>
  <si>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</si>
  <si>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</si>
  <si>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</si>
  <si>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</si>
  <si>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</si>
  <si>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</si>
  <si>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</si>
  <si>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</si>
  <si>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</si>
  <si>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</si>
  <si>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</si>
  <si>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</si>
  <si>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</si>
  <si>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</si>
  <si>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</si>
  <si>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</si>
  <si>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</si>
  <si>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</si>
  <si>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</si>
  <si>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</si>
  <si>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</si>
  <si>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</si>
  <si>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</si>
  <si>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</si>
  <si>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</si>
  <si>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</si>
  <si>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</si>
  <si>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</si>
  <si>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</si>
  <si>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</si>
  <si>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</si>
  <si>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</si>
  <si>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</si>
  <si>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</si>
  <si>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</si>
  <si>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</si>
  <si>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</si>
  <si>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</si>
  <si>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</si>
  <si>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</si>
  <si>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</si>
  <si>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</si>
  <si>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</si>
  <si>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</si>
  <si>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</si>
  <si>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</si>
  <si>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</si>
  <si>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</si>
  <si>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</si>
  <si>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</si>
  <si>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</si>
  <si>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</si>
  <si>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</si>
  <si>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</si>
  <si>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</si>
  <si>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</si>
  <si>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</si>
  <si>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</si>
  <si>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</si>
  <si>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</si>
  <si>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</si>
  <si>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</si>
  <si>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</si>
  <si>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</si>
  <si>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</si>
  <si>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</si>
  <si>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</si>
  <si>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</si>
  <si>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</si>
  <si>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</si>
  <si>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</si>
  <si>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</si>
  <si>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</si>
  <si>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</si>
  <si>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</si>
  <si>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</si>
  <si>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</si>
  <si>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</si>
  <si>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</si>
  <si>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</si>
  <si>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</si>
  <si>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</si>
  <si>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</si>
  <si>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</si>
  <si>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</si>
  <si>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</si>
  <si>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</si>
  <si>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</si>
  <si>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</si>
  <si>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</si>
  <si>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</si>
  <si>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</si>
  <si>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</si>
  <si>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</si>
  <si>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</si>
  <si>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</si>
  <si>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</si>
  <si>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</si>
  <si>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</si>
  <si>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</si>
  <si>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</si>
  <si>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</si>
  <si>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</si>
  <si>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</si>
  <si>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</si>
  <si>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</si>
  <si>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</si>
  <si>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</si>
  <si>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</si>
  <si>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</si>
  <si>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</si>
  <si>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</si>
  <si>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</si>
  <si>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</si>
  <si>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</si>
  <si>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</si>
  <si>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</si>
  <si>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</si>
  <si>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</si>
  <si>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</si>
  <si>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</si>
  <si>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</si>
  <si>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</si>
  <si>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</si>
  <si>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</si>
  <si>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</si>
  <si>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</si>
  <si>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</si>
  <si>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</si>
  <si>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</si>
  <si>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</si>
  <si>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</si>
  <si>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</si>
  <si>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</si>
  <si>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</si>
  <si>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</si>
  <si>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</si>
  <si>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</si>
  <si>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</si>
  <si>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</si>
  <si>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</si>
  <si>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</si>
  <si>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</si>
  <si>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</si>
  <si>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</si>
  <si>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</si>
  <si>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</si>
  <si>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</si>
  <si>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</si>
  <si>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</si>
  <si>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</si>
  <si>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</si>
  <si>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</si>
  <si>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</si>
  <si>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</si>
  <si>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</si>
  <si>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</si>
  <si>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</si>
  <si>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</si>
  <si>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</si>
  <si>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</si>
  <si>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</si>
  <si>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</si>
  <si>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</si>
  <si>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</si>
  <si>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</si>
  <si>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</si>
  <si>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</si>
  <si>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</si>
  <si>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</si>
  <si>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</si>
  <si>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</si>
  <si>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</si>
  <si>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</si>
  <si>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</si>
  <si>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</si>
  <si>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</si>
  <si>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</si>
  <si>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</si>
  <si>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</si>
  <si>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</si>
  <si>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</si>
  <si>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</si>
  <si>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</si>
  <si>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</si>
  <si>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</si>
  <si>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</si>
  <si>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</si>
  <si>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</si>
  <si>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</si>
  <si>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</si>
  <si>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</si>
  <si>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</si>
  <si>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</si>
  <si>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</si>
  <si>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</si>
  <si>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</si>
  <si>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</si>
  <si>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</si>
  <si>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</si>
  <si>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</si>
  <si>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</si>
  <si>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</si>
  <si>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</si>
  <si>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</si>
  <si>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</si>
  <si>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</si>
  <si>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</si>
  <si>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</si>
  <si>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</si>
  <si>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</si>
  <si>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</si>
  <si>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</si>
  <si>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</si>
  <si>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</si>
  <si>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</si>
  <si>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</si>
  <si>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</si>
  <si>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</si>
  <si>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</si>
  <si>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</si>
  <si>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</si>
  <si>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</si>
  <si>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</si>
  <si>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</si>
  <si>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</si>
  <si>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</si>
  <si>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</si>
  <si>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</si>
  <si>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</si>
  <si>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</si>
  <si>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</si>
  <si>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</si>
  <si>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</si>
  <si>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</si>
  <si>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</si>
  <si>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</si>
  <si>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</si>
  <si>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</si>
  <si>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</si>
  <si>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</si>
  <si>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</si>
  <si>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</si>
  <si>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</si>
  <si>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</si>
  <si>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</si>
  <si>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</si>
  <si>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</si>
  <si>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</si>
  <si>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</si>
  <si>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</si>
  <si>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</si>
  <si>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</si>
  <si>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</si>
  <si>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</si>
  <si>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</si>
  <si>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</si>
  <si>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</si>
  <si>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</si>
  <si>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</si>
  <si>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</si>
  <si>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</si>
  <si>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</si>
  <si>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</si>
  <si>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</si>
  <si>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</si>
  <si>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</si>
  <si>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</si>
  <si>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</si>
  <si>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</si>
  <si>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</si>
  <si>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</si>
  <si>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</si>
  <si>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</si>
  <si>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</si>
  <si>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</si>
  <si>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</si>
  <si>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</si>
  <si>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</si>
  <si>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</si>
  <si>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</si>
  <si>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</si>
  <si>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</si>
  <si>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</si>
  <si>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</si>
  <si>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</si>
  <si>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</si>
  <si>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</si>
  <si>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</si>
  <si>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</si>
  <si>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</si>
  <si>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</si>
  <si>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</si>
  <si>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</si>
  <si>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</si>
  <si>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</si>
  <si>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</si>
  <si>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</si>
  <si>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</si>
  <si>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</si>
  <si>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</si>
  <si>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</si>
  <si>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</si>
  <si>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</si>
  <si>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</si>
  <si>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</si>
  <si>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</si>
  <si>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</si>
  <si>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</si>
  <si>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</si>
  <si>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</si>
  <si>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</si>
  <si>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</si>
  <si>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</si>
  <si>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</si>
  <si>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</si>
  <si>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</si>
  <si>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</si>
  <si>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</si>
  <si>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</si>
  <si>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</si>
  <si>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</si>
  <si>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</si>
  <si>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</si>
  <si>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</si>
  <si>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</si>
  <si>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</si>
  <si>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</si>
  <si>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</si>
  <si>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</si>
  <si>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</si>
  <si>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</si>
  <si>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</si>
  <si>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</si>
  <si>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</si>
  <si>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</si>
  <si>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</si>
  <si>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</si>
  <si>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</si>
  <si>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</si>
  <si>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</si>
  <si>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</si>
  <si>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</si>
  <si>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</si>
  <si>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</si>
  <si>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</si>
  <si>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</si>
  <si>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</si>
  <si>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</si>
  <si>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</si>
  <si>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</si>
  <si>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</si>
  <si>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</si>
  <si>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</si>
  <si>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</si>
  <si>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</si>
  <si>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</si>
  <si>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</si>
  <si>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</si>
  <si>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</si>
  <si>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</si>
  <si>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</si>
  <si>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</si>
  <si>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</si>
  <si>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</si>
  <si>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</si>
  <si>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</si>
  <si>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</si>
  <si>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</si>
  <si>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</si>
  <si>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</si>
  <si>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</si>
  <si>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</si>
  <si>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</si>
  <si>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</si>
  <si>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</si>
  <si>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</si>
  <si>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</si>
  <si>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</si>
  <si>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</si>
  <si>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</si>
  <si>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</si>
  <si>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</si>
  <si>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</si>
  <si>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</si>
  <si>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</si>
  <si>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</si>
  <si>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</si>
  <si>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</si>
  <si>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</si>
  <si>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</si>
  <si>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</si>
  <si>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</si>
  <si>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</si>
  <si>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</si>
  <si>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</si>
  <si>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</si>
  <si>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</si>
  <si>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</si>
  <si>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</si>
  <si>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</si>
  <si>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</si>
  <si>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</si>
  <si>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</si>
  <si>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</si>
  <si>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</si>
  <si>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</si>
  <si>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</si>
  <si>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</si>
  <si>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</si>
  <si>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</si>
  <si>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</si>
  <si>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</si>
  <si>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</si>
  <si>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</si>
  <si>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</si>
  <si>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</si>
  <si>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</si>
  <si>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</si>
  <si>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</si>
  <si>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</si>
  <si>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</si>
  <si>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</si>
  <si>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</si>
  <si>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</si>
  <si>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</si>
  <si>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</si>
  <si>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</si>
  <si>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</si>
  <si>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</si>
  <si>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</si>
  <si>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</si>
  <si>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</si>
  <si>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</si>
  <si>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</si>
  <si>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</si>
  <si>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</si>
  <si>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</si>
  <si>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</si>
  <si>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</si>
  <si>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</si>
  <si>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</si>
  <si>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</si>
  <si>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</si>
  <si>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</si>
  <si>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</si>
  <si>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</si>
  <si>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</si>
  <si>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</si>
  <si>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</si>
  <si>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</si>
  <si>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</si>
  <si>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</si>
  <si>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</si>
  <si>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</si>
  <si>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</si>
  <si>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</si>
  <si>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</si>
  <si>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</si>
  <si>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</si>
  <si>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</si>
  <si>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</si>
  <si>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</si>
  <si>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</si>
  <si>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</si>
  <si>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</si>
  <si>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</si>
  <si>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</si>
  <si>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</si>
  <si>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</si>
  <si>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</si>
  <si>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</si>
  <si>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</si>
  <si>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</si>
  <si>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</si>
  <si>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</si>
  <si>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</si>
  <si>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</si>
  <si>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</si>
  <si>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</si>
  <si>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</si>
  <si>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</si>
  <si>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</si>
  <si>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</si>
  <si>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</si>
  <si>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</si>
  <si>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</si>
  <si>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</si>
  <si>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</si>
  <si>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</si>
  <si>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</si>
  <si>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</si>
  <si>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</si>
  <si>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</si>
  <si>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</si>
  <si>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</si>
  <si>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</si>
  <si>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</si>
  <si>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</si>
  <si>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</si>
  <si>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</si>
  <si>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</si>
  <si>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</si>
  <si>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</si>
  <si>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</si>
  <si>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</si>
  <si>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</si>
  <si>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</si>
  <si>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</si>
  <si>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</si>
  <si>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</si>
  <si>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</si>
  <si>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</si>
  <si>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</si>
  <si>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</si>
  <si>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</si>
  <si>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</si>
  <si>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</si>
  <si>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</si>
  <si>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</si>
  <si>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</si>
  <si>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</si>
  <si>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</si>
  <si>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</si>
  <si>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</si>
  <si>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</si>
  <si>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</si>
  <si>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</si>
  <si>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</si>
  <si>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</si>
  <si>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</si>
  <si>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</si>
  <si>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</si>
  <si>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</si>
  <si>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</si>
  <si>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</si>
  <si>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</si>
  <si>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</si>
  <si>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</si>
  <si>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</si>
  <si>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</si>
  <si>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</si>
  <si>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</si>
  <si>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</si>
  <si>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</si>
  <si>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</si>
  <si>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</si>
  <si>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</si>
  <si>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</si>
  <si>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</si>
  <si>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</si>
  <si>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</si>
  <si>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</si>
  <si>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</si>
  <si>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</si>
  <si>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</si>
  <si>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</si>
  <si>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</si>
  <si>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</si>
  <si>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</si>
  <si>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</si>
  <si>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</si>
  <si>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</si>
  <si>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</si>
  <si>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</si>
  <si>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</si>
  <si>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</si>
  <si>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</si>
  <si>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</si>
  <si>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</si>
  <si>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</si>
  <si>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</si>
  <si>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</si>
  <si>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</si>
  <si>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</si>
  <si>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</si>
  <si>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</si>
  <si>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</si>
  <si>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</si>
  <si>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</si>
  <si>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</si>
  <si>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</si>
  <si>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</si>
  <si>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</si>
  <si>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</si>
  <si>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</si>
  <si>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</si>
  <si>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</si>
  <si>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</si>
  <si>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</si>
  <si>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</si>
  <si>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</si>
  <si>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</si>
  <si>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</si>
  <si>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</si>
  <si>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</si>
  <si>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</si>
  <si>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</si>
  <si>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</si>
  <si>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</si>
  <si>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</si>
  <si>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</si>
  <si>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</si>
  <si>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</si>
  <si>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</si>
  <si>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</si>
  <si>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</si>
  <si>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</si>
  <si>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</si>
  <si>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</si>
  <si>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</si>
  <si>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</si>
  <si>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</si>
  <si>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</si>
  <si>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</si>
  <si>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</si>
  <si>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</si>
  <si>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</si>
  <si>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</si>
  <si>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</si>
  <si>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</si>
  <si>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</si>
  <si>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</si>
  <si>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</si>
  <si>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</si>
  <si>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</si>
  <si>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</si>
  <si>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</si>
  <si>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</si>
  <si>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</si>
  <si>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</si>
  <si>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</si>
  <si>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</si>
  <si>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</si>
  <si>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</si>
  <si>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</si>
  <si>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</si>
  <si>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</si>
  <si>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</si>
  <si>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</si>
  <si>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</si>
  <si>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</si>
  <si>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</si>
  <si>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</si>
  <si>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</si>
  <si>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</si>
  <si>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</si>
  <si>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</si>
  <si>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</si>
  <si>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</si>
  <si>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</si>
  <si>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</si>
  <si>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</si>
  <si>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</si>
  <si>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</si>
  <si>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</si>
  <si>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</si>
  <si>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</si>
  <si>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</si>
  <si>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</si>
  <si>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</si>
  <si>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</si>
  <si>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</si>
  <si>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</si>
  <si>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</si>
  <si>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</si>
  <si>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</si>
  <si>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</si>
  <si>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</si>
  <si>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</si>
  <si>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</si>
  <si>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</si>
  <si>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</si>
  <si>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</si>
  <si>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</si>
  <si>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</si>
  <si>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</si>
  <si>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</si>
  <si>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</si>
  <si>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</si>
  <si>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</si>
  <si>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</si>
  <si>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</si>
  <si>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</si>
  <si>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</si>
  <si>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</si>
  <si>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</si>
  <si>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</si>
  <si>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</si>
  <si>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</si>
  <si>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</si>
  <si>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</si>
  <si>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</si>
  <si>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</si>
  <si>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</si>
  <si>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</si>
  <si>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</si>
  <si>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</si>
  <si>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</si>
  <si>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</si>
  <si>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</si>
  <si>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</si>
  <si>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</si>
  <si>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</si>
  <si>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</si>
  <si>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</si>
  <si>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</si>
  <si>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</si>
  <si>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</si>
  <si>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</si>
  <si>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</si>
  <si>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</si>
  <si>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</si>
  <si>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</si>
  <si>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</si>
  <si>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</si>
  <si>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</si>
  <si>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</si>
  <si>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</si>
  <si>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</si>
  <si>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</si>
  <si>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</si>
  <si>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</si>
  <si>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</si>
  <si>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</si>
  <si>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</si>
  <si>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</si>
  <si>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</si>
  <si>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</si>
  <si>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</si>
  <si>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</si>
  <si>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</si>
  <si>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</si>
  <si>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</si>
  <si>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</si>
  <si>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</si>
  <si>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</si>
  <si>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</si>
  <si>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</si>
  <si>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</si>
  <si>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</si>
  <si>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</si>
  <si>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</si>
  <si>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</si>
  <si>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</si>
  <si>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</si>
  <si>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</si>
  <si>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</si>
  <si>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</si>
  <si>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</si>
  <si>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</si>
  <si>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</si>
  <si>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</si>
  <si>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</si>
  <si>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</si>
  <si>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</si>
  <si>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</si>
  <si>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</si>
  <si>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</si>
  <si>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</si>
  <si>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</si>
  <si>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</si>
  <si>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</si>
  <si>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</si>
  <si>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</si>
  <si>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</si>
  <si>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</si>
  <si>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</si>
  <si>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</si>
  <si>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</si>
  <si>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</si>
  <si>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</si>
  <si>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</si>
  <si>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</si>
  <si>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</si>
  <si>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</si>
  <si>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</si>
  <si>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</si>
  <si>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</si>
  <si>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</si>
  <si>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</si>
  <si>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</si>
  <si>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</si>
  <si>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</si>
  <si>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</si>
  <si>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</si>
  <si>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</si>
  <si>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</si>
  <si>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</si>
  <si>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</si>
  <si>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</si>
  <si>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</si>
  <si>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</si>
  <si>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</si>
  <si>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</si>
  <si>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</si>
  <si>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</si>
  <si>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</si>
  <si>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</si>
  <si>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</si>
  <si>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</si>
  <si>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</si>
  <si>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</si>
  <si>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</si>
  <si>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</si>
  <si>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</si>
  <si>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</si>
  <si>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</si>
  <si>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</si>
  <si>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</si>
  <si>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</si>
  <si>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</si>
  <si>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</si>
  <si>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</si>
  <si>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</si>
  <si>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</si>
  <si>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</si>
  <si>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</si>
  <si>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</si>
  <si>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</si>
  <si>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</si>
  <si>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</si>
  <si>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</si>
  <si>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</si>
  <si>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</si>
  <si>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</si>
  <si>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</si>
  <si>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</si>
  <si>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</si>
  <si>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</si>
  <si>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</si>
  <si>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</si>
  <si>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</si>
  <si>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</si>
  <si>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</si>
  <si>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</si>
  <si>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</si>
  <si>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</si>
  <si>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</si>
  <si>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</si>
  <si>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</si>
  <si>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</si>
  <si>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</si>
  <si>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</si>
  <si>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</si>
  <si>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</si>
  <si>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</si>
  <si>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</si>
  <si>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</si>
  <si>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</si>
  <si>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</si>
  <si>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</si>
  <si>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</si>
  <si>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</si>
  <si>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</si>
  <si>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</si>
  <si>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</si>
  <si>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</si>
  <si>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</si>
  <si>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</si>
  <si>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</si>
  <si>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</si>
  <si>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</si>
  <si>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</si>
  <si>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</si>
  <si>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</si>
  <si>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</si>
  <si>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</si>
  <si>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</si>
  <si>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</si>
  <si>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</si>
  <si>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</si>
  <si>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</si>
  <si>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</si>
  <si>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</si>
  <si>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</si>
  <si>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</si>
  <si>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</si>
  <si>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</si>
  <si>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</si>
  <si>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</si>
  <si>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</si>
  <si>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</si>
  <si>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</si>
  <si>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</si>
  <si>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</si>
  <si>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</si>
  <si>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</si>
  <si>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</si>
  <si>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</si>
  <si>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</si>
  <si>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</si>
  <si>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</si>
  <si>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</si>
  <si>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</si>
  <si>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</si>
  <si>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</si>
  <si>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</si>
  <si>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</si>
  <si>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</si>
  <si>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</si>
  <si>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</si>
  <si>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</si>
  <si>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</si>
  <si>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</si>
  <si>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</si>
  <si>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</si>
  <si>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</si>
  <si>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</si>
  <si>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</si>
  <si>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</si>
  <si>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</si>
  <si>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</si>
  <si>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</si>
  <si>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</si>
  <si>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</si>
  <si>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</si>
  <si>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</si>
  <si>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</si>
  <si>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</si>
  <si>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</si>
  <si>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</si>
  <si>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</si>
  <si>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</si>
  <si>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</si>
  <si>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</si>
  <si>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</si>
  <si>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</si>
  <si>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</si>
  <si>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</si>
  <si>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</si>
  <si>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</si>
  <si>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</si>
  <si>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</si>
  <si>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</si>
  <si>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</si>
  <si>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</si>
  <si>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</si>
  <si>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</si>
  <si>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</si>
  <si>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</si>
  <si>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</si>
  <si>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</si>
  <si>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</si>
  <si>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</si>
  <si>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</si>
  <si>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</si>
  <si>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</si>
  <si>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</si>
  <si>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</si>
  <si>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</si>
  <si>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</si>
  <si>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</si>
  <si>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</si>
  <si>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</si>
  <si>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</si>
  <si>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</si>
  <si>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</si>
  <si>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</si>
  <si>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</si>
  <si>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</si>
  <si>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</si>
  <si>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</si>
  <si>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</si>
  <si>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</si>
  <si>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</si>
  <si>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</si>
  <si>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</si>
  <si>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</si>
  <si>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</si>
  <si>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</si>
  <si>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</si>
  <si>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</si>
  <si>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</si>
  <si>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</si>
  <si>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</si>
  <si>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</si>
  <si>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</si>
  <si>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</si>
  <si>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</si>
  <si>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</si>
  <si>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</si>
  <si>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</si>
  <si>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</si>
  <si>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</si>
  <si>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</si>
  <si>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</si>
  <si>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</si>
  <si>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</si>
  <si>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</si>
  <si>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</si>
  <si>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</si>
  <si>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</si>
  <si>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</si>
  <si>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</si>
  <si>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</si>
  <si>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</si>
  <si>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</si>
  <si>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</si>
  <si>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</si>
  <si>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</si>
  <si>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</si>
  <si>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</si>
  <si>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</si>
  <si>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</si>
  <si>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</si>
  <si>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</si>
  <si>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</si>
  <si>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</si>
  <si>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</si>
  <si>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</si>
  <si>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</si>
  <si>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</si>
  <si>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</si>
  <si>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</si>
  <si>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</si>
  <si>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</si>
  <si>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</si>
  <si>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</si>
  <si>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</si>
  <si>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</si>
  <si>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</si>
  <si>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</si>
  <si>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</si>
  <si>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</si>
  <si>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</si>
  <si>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</si>
  <si>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</si>
  <si>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</si>
  <si>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</si>
  <si>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</si>
  <si>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</si>
  <si>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</si>
  <si>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</si>
  <si>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</si>
  <si>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</si>
  <si>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</si>
  <si>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</si>
  <si>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</si>
  <si>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</si>
  <si>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</si>
  <si>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</si>
  <si>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</si>
  <si>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</si>
  <si>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</si>
  <si>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</si>
  <si>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</si>
  <si>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</si>
  <si>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</si>
  <si>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</si>
  <si>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</si>
  <si>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</si>
  <si>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</si>
  <si>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</si>
  <si>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</si>
  <si>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</si>
  <si>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Botsch &amp; Associates, CPA's, LLC</t>
  </si>
  <si>
    <t>x</t>
  </si>
  <si>
    <t>White</t>
  </si>
  <si>
    <t>728 West North Street</t>
  </si>
  <si>
    <t>Grayville</t>
  </si>
  <si>
    <t>618-375-7114</t>
  </si>
  <si>
    <t>618-375-5202</t>
  </si>
  <si>
    <t>Botsch &amp; Associates, CPAs, LLC</t>
  </si>
  <si>
    <t>Arlynne Stroman, CPA</t>
  </si>
  <si>
    <t>113 East Main Street</t>
  </si>
  <si>
    <t>Carmi</t>
  </si>
  <si>
    <t>IL</t>
  </si>
  <si>
    <t>618-382-4151</t>
  </si>
  <si>
    <t>618-382-4153</t>
  </si>
  <si>
    <t>066-003657</t>
  </si>
  <si>
    <t>arlynne.stroman@botsch.com</t>
  </si>
  <si>
    <t>Series 2012 General Obligation Bonds</t>
  </si>
  <si>
    <t>Series 2015 Debt Certificates</t>
  </si>
  <si>
    <t>First National Bank - Suburban</t>
  </si>
  <si>
    <t>Farifield National Bank - Van</t>
  </si>
  <si>
    <t>First National Bank - Bus</t>
  </si>
  <si>
    <t>First National Bank - Van</t>
  </si>
  <si>
    <t>Capital Lease</t>
  </si>
  <si>
    <t>X</t>
  </si>
  <si>
    <t>None</t>
  </si>
  <si>
    <t>Regional Office of Education #20</t>
  </si>
  <si>
    <t>Ohio &amp; Wabash Valley Regional Vocational Cooperative</t>
  </si>
  <si>
    <t>Carmi-White County CUSD #5</t>
  </si>
  <si>
    <t>NO CONTRACTS</t>
  </si>
  <si>
    <t>Extra food sales</t>
  </si>
  <si>
    <t>Page 11; Line 106; Acct 1993 - Other Local Fees</t>
  </si>
  <si>
    <t>Student tech fees</t>
  </si>
  <si>
    <t>Page 12; Line 168; Acct 3999 - Other Restricted Revenue from State Sources</t>
  </si>
  <si>
    <t>State library grant $750 &amp; Gym roof grant match $50,000</t>
  </si>
  <si>
    <t xml:space="preserve">Page 15; Line 41; Acct 2190 - Other Support Services-Pupils </t>
  </si>
  <si>
    <t xml:space="preserve">Page 10; Line 72; Acct 1614 - Sales to Other Pupils-Other </t>
  </si>
  <si>
    <t>Detention, morning &amp; noon supervisor salaries and benefits, and</t>
  </si>
  <si>
    <t>class/club sponsor stipends</t>
  </si>
  <si>
    <t>Page 16; Line 73; Acct 2900 - Other Support Services</t>
  </si>
  <si>
    <t>Title I Homeless supplies</t>
  </si>
  <si>
    <t>Page 19; Line 207; Acct 5400 - Debt Services-Other</t>
  </si>
  <si>
    <t>Operating lease payments</t>
  </si>
  <si>
    <t>Page 19; Line 237; Acct 2190 - Other Support Services-Pupils</t>
  </si>
  <si>
    <t>Detention, morning, and noon supervisors</t>
  </si>
  <si>
    <t>Page 25; Line 10; Other Receipts-Special Education</t>
  </si>
  <si>
    <t>Special Ed IDEA Pre-school $968; Special Ed IDEA $458;</t>
  </si>
  <si>
    <t>Special Ed Transportation $51,789</t>
  </si>
  <si>
    <t>Page 25; Line 10; Other Receipts-School Facility Occupation Taxes</t>
  </si>
  <si>
    <t>Gym roof grant match</t>
  </si>
  <si>
    <t>Page 25; Line 22; Other Disbursements</t>
  </si>
  <si>
    <t>Bond payments</t>
  </si>
  <si>
    <t xml:space="preserve">Total Long-Term Debt Issued (P24, Cell F49) $28,860 must = Principal on </t>
  </si>
  <si>
    <t>Long-Term Debt Sold (P8, Cells C33:K33) $0.</t>
  </si>
  <si>
    <t>The difference is a new vehicle loan</t>
  </si>
  <si>
    <t xml:space="preserve">Total Long-Term Debt (Principal) Retired (P18, Cells H170) $0 must = </t>
  </si>
  <si>
    <t>Debt Service - Long-Term Debt (Principal) Retired (P24, Cells H49) $120,987.</t>
  </si>
  <si>
    <t xml:space="preserve">The difference is vehicle loans of $27,987 paid by the Transportation </t>
  </si>
  <si>
    <t>Fund and bond payments of $93,000 paid by the Capital Projects Fund</t>
  </si>
  <si>
    <t>Page 5; Line 12; Acct 190 - Other Current Assets</t>
  </si>
  <si>
    <t>Summer teacher retirement</t>
  </si>
  <si>
    <t>New Hope CCSD #6</t>
  </si>
  <si>
    <t>Julie Harrelson</t>
  </si>
  <si>
    <t>jharrelson@gcusd.com</t>
  </si>
  <si>
    <t xml:space="preserve"> Grayville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</si>
</sst>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1200150</xdr:colOff>
          <xdr:row>6</xdr:row>
          <xdr:rowOff>476250</xdr:rowOff>
        </xdr:from>
        <xdr:to>
          <xdr:col>5</xdr:col>
          <xdr:colOff>495300</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6</xdr:row>
          <xdr:rowOff>466725</xdr:rowOff>
        </xdr:from>
        <xdr:to>
          <xdr:col>5</xdr:col>
          <xdr:colOff>1466850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47625</xdr:rowOff>
        </xdr:from>
        <xdr:to>
          <xdr:col>1</xdr:col>
          <xdr:colOff>971550</xdr:colOff>
          <xdr:row>6</xdr:row>
          <xdr:rowOff>9525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7159AD93-2FFA-4973-99BF-5D6D78CA7EA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2052</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2052</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20097001026</v>
      </c>
      <c r="B13" s="2101"/>
      <c r="C13" s="2101"/>
      <c r="D13" s="2101"/>
      <c r="E13" s="2101"/>
      <c r="F13" s="2101"/>
      <c r="G13" s="2101"/>
      <c r="H13" s="2102"/>
      <c r="I13" s="31"/>
      <c r="J13" s="30"/>
      <c r="K13" s="28"/>
      <c r="L13" s="30"/>
      <c r="M13" s="30"/>
      <c r="N13" s="30"/>
      <c r="O13" s="30"/>
      <c r="P13" s="30"/>
      <c r="Q13" s="30"/>
      <c r="R13" s="30"/>
      <c r="S13" s="30"/>
      <c r="T13" s="2106" t="s">
        <v>2058</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2053</v>
      </c>
      <c r="B15" s="2104"/>
      <c r="C15" s="2104"/>
      <c r="D15" s="2104"/>
      <c r="E15" s="2104"/>
      <c r="F15" s="2104"/>
      <c r="G15" s="2104"/>
      <c r="H15" s="2105"/>
      <c r="T15" s="2110" t="s">
        <v>2059</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2114</v>
      </c>
      <c r="B17" s="2074"/>
      <c r="C17" s="2074"/>
      <c r="D17" s="2074"/>
      <c r="E17" s="2074"/>
      <c r="F17" s="2074"/>
      <c r="G17" s="2074"/>
      <c r="H17" s="2099"/>
      <c r="T17" s="2117" t="s">
        <v>2060</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2054</v>
      </c>
      <c r="B19" s="2059"/>
      <c r="C19" s="2059"/>
      <c r="D19" s="2059"/>
      <c r="E19" s="2059"/>
      <c r="F19" s="2059"/>
      <c r="G19" s="2059"/>
      <c r="H19" s="2039"/>
      <c r="I19" s="30"/>
      <c r="J19" s="96"/>
      <c r="K19" s="40"/>
      <c r="L19" s="38"/>
      <c r="M19" s="109" t="s">
        <v>312</v>
      </c>
      <c r="P19" s="27"/>
      <c r="Q19" s="27"/>
      <c r="R19" s="27"/>
      <c r="S19" s="31"/>
      <c r="T19" s="2103" t="s">
        <v>2061</v>
      </c>
      <c r="U19" s="2038"/>
      <c r="V19" s="2038"/>
      <c r="W19" s="2039"/>
      <c r="X19" s="2115" t="s">
        <v>2062</v>
      </c>
      <c r="Y19" s="2116"/>
      <c r="Z19" s="2113">
        <v>62821</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2055</v>
      </c>
      <c r="B21" s="2038"/>
      <c r="C21" s="2038"/>
      <c r="D21" s="2038"/>
      <c r="E21" s="2038"/>
      <c r="F21" s="2038"/>
      <c r="G21" s="2038"/>
      <c r="H21" s="2039"/>
      <c r="I21" s="2093" t="s">
        <v>673</v>
      </c>
      <c r="J21" s="2088"/>
      <c r="K21" s="2088"/>
      <c r="L21" s="2088"/>
      <c r="M21" s="2088"/>
      <c r="N21" s="2088"/>
      <c r="O21" s="2088"/>
      <c r="P21" s="2088"/>
      <c r="Q21" s="2088"/>
      <c r="R21" s="2088"/>
      <c r="S21" s="2094"/>
      <c r="T21" s="2128" t="s">
        <v>2063</v>
      </c>
      <c r="U21" s="2129"/>
      <c r="V21" s="2129"/>
      <c r="W21" s="2129"/>
      <c r="X21" s="2134" t="s">
        <v>2064</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2065</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62844</v>
      </c>
      <c r="B25" s="2038"/>
      <c r="C25" s="2038"/>
      <c r="D25" s="2038"/>
      <c r="E25" s="2038"/>
      <c r="F25" s="2038"/>
      <c r="G25" s="2038"/>
      <c r="H25" s="2039"/>
      <c r="I25" s="110"/>
      <c r="J25" s="2062"/>
      <c r="K25" s="2062"/>
      <c r="L25" s="2062"/>
      <c r="M25" s="2062"/>
      <c r="N25" s="2062"/>
      <c r="O25" s="2062"/>
      <c r="P25" s="2062"/>
      <c r="Q25" s="2062"/>
      <c r="R25" s="2062"/>
      <c r="S25" s="2063"/>
      <c r="T25" s="2124" t="s">
        <v>2066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2052</v>
      </c>
      <c r="M29" s="40" t="s">
        <v>99</v>
      </c>
      <c r="N29" s="32" t="s">
        <v>1506</v>
      </c>
      <c r="O29" s="32"/>
      <c r="P29" s="32"/>
      <c r="Q29" s="32"/>
      <c r="R29" s="32"/>
      <c r="S29" s="120"/>
      <c r="T29" s="6"/>
      <c r="U29" s="6"/>
      <c r="V29" s="6"/>
      <c r="W29" s="6"/>
      <c r="X29" s="6"/>
      <c r="Y29" s="6"/>
      <c r="Z29" s="6"/>
      <c r="AA29" s="129"/>
    </row>
    <row r="30" spans="1:27" ht="13.5" customHeight="1" x14ac:dyDescent="0.2">
      <c r="A30" s="149"/>
      <c r="B30" s="133" t="s">
        <v>2052</v>
      </c>
      <c r="C30" s="121" t="s">
        <v>1154</v>
      </c>
      <c r="D30" s="28"/>
      <c r="E30" s="28"/>
      <c r="F30" s="136"/>
      <c r="G30" s="111"/>
      <c r="H30" s="111"/>
      <c r="I30" s="51"/>
      <c r="J30" s="99"/>
      <c r="K30" s="28" t="s">
        <v>572</v>
      </c>
      <c r="L30" s="144" t="s">
        <v>2052</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2052</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2112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2113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2056</v>
      </c>
      <c r="B42" s="2057"/>
      <c r="C42" s="2058"/>
      <c r="D42" s="2056" t="s">
        <v>2057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H36"/>
  <sheetViews>
    <sheetView showGridLines="0" defaultGridColor="0" colorId="8" zoomScaleNormal="100" workbookViewId="0">
      <selection activeCell="F22" sqref="F2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622901</v>
      </c>
      <c r="C4" s="1722"/>
      <c r="D4" s="1723">
        <f>B4-C4</f>
        <v>622901</v>
      </c>
      <c r="E4" s="1722">
        <v>673175</v>
      </c>
      <c r="F4" s="1723">
        <f>E4-C4</f>
        <v>673175</v>
      </c>
    </row>
    <row r="5" spans="1:8" ht="13.7" customHeight="1" x14ac:dyDescent="0.2">
      <c r="A5" s="579" t="s">
        <v>865</v>
      </c>
      <c r="B5" s="1724">
        <f>'Revenues 9-14'!D5</f>
        <v>161714</v>
      </c>
      <c r="C5" s="1664"/>
      <c r="D5" s="1725">
        <f t="shared" ref="D5:D18" si="0">B5-C5</f>
        <v>161714</v>
      </c>
      <c r="E5" s="1664">
        <v>174767</v>
      </c>
      <c r="F5" s="1725">
        <f>E5-C5</f>
        <v>174767</v>
      </c>
    </row>
    <row r="6" spans="1:8" ht="13.7" customHeight="1" x14ac:dyDescent="0.2">
      <c r="A6" s="579" t="s">
        <v>408</v>
      </c>
      <c r="B6" s="1724">
        <f>'Revenues 9-14'!E5</f>
        <v>2</v>
      </c>
      <c r="C6" s="1664"/>
      <c r="D6" s="1725">
        <f t="shared" si="0"/>
        <v>2</v>
      </c>
      <c r="E6" s="1664">
        <v>88998</v>
      </c>
      <c r="F6" s="1725">
        <f t="shared" ref="F6:F18" si="1">E6-C6</f>
        <v>88998</v>
      </c>
    </row>
    <row r="7" spans="1:8" ht="13.7" customHeight="1" x14ac:dyDescent="0.2">
      <c r="A7" s="579" t="s">
        <v>154</v>
      </c>
      <c r="B7" s="1724">
        <f>'Revenues 9-14'!F5</f>
        <v>47915</v>
      </c>
      <c r="C7" s="1664"/>
      <c r="D7" s="1725">
        <f t="shared" si="0"/>
        <v>47915</v>
      </c>
      <c r="E7" s="1664">
        <v>51783</v>
      </c>
      <c r="F7" s="1725">
        <f t="shared" si="1"/>
        <v>51783</v>
      </c>
    </row>
    <row r="8" spans="1:8" ht="13.7" customHeight="1" x14ac:dyDescent="0.2">
      <c r="A8" s="579" t="s">
        <v>1169</v>
      </c>
      <c r="B8" s="1724">
        <f>'Revenues 9-14'!G5</f>
        <v>65066</v>
      </c>
      <c r="C8" s="1664"/>
      <c r="D8" s="1725">
        <f t="shared" si="0"/>
        <v>65066</v>
      </c>
      <c r="E8" s="1664">
        <v>66000</v>
      </c>
      <c r="F8" s="1725">
        <f t="shared" si="1"/>
        <v>66000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11978</v>
      </c>
      <c r="C10" s="1664"/>
      <c r="D10" s="1725">
        <f t="shared" si="0"/>
        <v>11978</v>
      </c>
      <c r="E10" s="1664">
        <v>12946</v>
      </c>
      <c r="F10" s="1725">
        <f t="shared" si="1"/>
        <v>12946</v>
      </c>
    </row>
    <row r="11" spans="1:8" x14ac:dyDescent="0.2">
      <c r="A11" s="579" t="s">
        <v>406</v>
      </c>
      <c r="B11" s="1724">
        <f>'Revenues 9-14'!J5</f>
        <v>240241</v>
      </c>
      <c r="C11" s="1664"/>
      <c r="D11" s="1725">
        <f t="shared" si="0"/>
        <v>240241</v>
      </c>
      <c r="E11" s="1664">
        <v>240000</v>
      </c>
      <c r="F11" s="1725">
        <f t="shared" si="1"/>
        <v>240000</v>
      </c>
    </row>
    <row r="12" spans="1:8" ht="13.7" customHeight="1" x14ac:dyDescent="0.2">
      <c r="A12" s="579" t="s">
        <v>156</v>
      </c>
      <c r="B12" s="1724">
        <f>'Revenues 9-14'!K5</f>
        <v>11978</v>
      </c>
      <c r="C12" s="1664"/>
      <c r="D12" s="1725">
        <f t="shared" si="0"/>
        <v>11978</v>
      </c>
      <c r="E12" s="1664">
        <v>12946</v>
      </c>
      <c r="F12" s="1725">
        <f t="shared" si="1"/>
        <v>12946</v>
      </c>
    </row>
    <row r="13" spans="1:8" ht="13.7" customHeight="1" x14ac:dyDescent="0.2">
      <c r="A13" s="579" t="s">
        <v>930</v>
      </c>
      <c r="B13" s="1724">
        <f>SUM('Revenues 9-14'!C6:D6)</f>
        <v>11991</v>
      </c>
      <c r="C13" s="1664"/>
      <c r="D13" s="1725">
        <f t="shared" si="0"/>
        <v>11991</v>
      </c>
      <c r="E13" s="1664">
        <v>12972</v>
      </c>
      <c r="F13" s="1725">
        <f t="shared" si="1"/>
        <v>12972</v>
      </c>
    </row>
    <row r="14" spans="1:8" ht="13.7" customHeight="1" x14ac:dyDescent="0.2">
      <c r="A14" s="579" t="s">
        <v>407</v>
      </c>
      <c r="B14" s="1724">
        <f>SUM('Revenues 9-14'!C7:D7,'Revenues 9-14'!F7:H7)</f>
        <v>9583</v>
      </c>
      <c r="C14" s="1664"/>
      <c r="D14" s="1725">
        <f t="shared" si="0"/>
        <v>9583</v>
      </c>
      <c r="E14" s="1664">
        <v>10357</v>
      </c>
      <c r="F14" s="1725">
        <f t="shared" si="1"/>
        <v>10357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55056</v>
      </c>
      <c r="C16" s="1664"/>
      <c r="D16" s="1725">
        <f t="shared" si="0"/>
        <v>55056</v>
      </c>
      <c r="E16" s="1664">
        <v>56000</v>
      </c>
      <c r="F16" s="1725">
        <f t="shared" si="1"/>
        <v>56000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1238425</v>
      </c>
      <c r="C19" s="1726">
        <f>SUM(C4:C18)</f>
        <v>0</v>
      </c>
      <c r="D19" s="1726">
        <f>SUM(D4:D18)</f>
        <v>1238425</v>
      </c>
      <c r="E19" s="1726">
        <f>SUM(E4:E18)</f>
        <v>1399944</v>
      </c>
      <c r="F19" s="1726">
        <f>SUM(F4:F18)</f>
        <v>1399944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1:K59"/>
  <sheetViews>
    <sheetView showGridLines="0" defaultGridColor="0" topLeftCell="A24" colorId="8" zoomScaleNormal="100" workbookViewId="0">
      <selection activeCell="I33" sqref="I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40975</v>
      </c>
      <c r="C31" s="1734">
        <v>1015000</v>
      </c>
      <c r="D31" s="1735">
        <v>2</v>
      </c>
      <c r="E31" s="1734">
        <v>620000</v>
      </c>
      <c r="F31" s="1734"/>
      <c r="G31" s="1734"/>
      <c r="H31" s="1734">
        <v>65000</v>
      </c>
      <c r="I31" s="1736">
        <f>((E31+F31)-H31)+G31</f>
        <v>555000</v>
      </c>
      <c r="J31" s="1734">
        <v>536769</v>
      </c>
      <c r="K31" s="596"/>
    </row>
    <row r="32" spans="1:11" ht="12" customHeight="1" x14ac:dyDescent="0.2">
      <c r="A32" s="594" t="s">
        <v>2068</v>
      </c>
      <c r="B32" s="595">
        <v>42320</v>
      </c>
      <c r="C32" s="1734">
        <v>229000</v>
      </c>
      <c r="D32" s="1735">
        <v>2</v>
      </c>
      <c r="E32" s="1734">
        <v>170000</v>
      </c>
      <c r="F32" s="1734"/>
      <c r="G32" s="1734"/>
      <c r="H32" s="1734">
        <v>28000</v>
      </c>
      <c r="I32" s="1736">
        <f>((E32+F32)-H32)+G32</f>
        <v>142000</v>
      </c>
      <c r="J32" s="1734">
        <v>142000</v>
      </c>
      <c r="K32" s="596"/>
    </row>
    <row r="33" spans="1:11" ht="12" customHeight="1" x14ac:dyDescent="0.2">
      <c r="A33" s="594" t="s">
        <v>2069</v>
      </c>
      <c r="B33" s="595">
        <v>41940</v>
      </c>
      <c r="C33" s="1734">
        <v>12221</v>
      </c>
      <c r="D33" s="1735">
        <v>7</v>
      </c>
      <c r="E33" s="1734">
        <v>894</v>
      </c>
      <c r="F33" s="1734"/>
      <c r="G33" s="1734"/>
      <c r="H33" s="1734">
        <v>894</v>
      </c>
      <c r="I33" s="1736">
        <f t="shared" ref="I33:I48" si="1">((E33+F33)-H33)+G33</f>
        <v>0</v>
      </c>
      <c r="J33" s="1734">
        <v>0</v>
      </c>
      <c r="K33" s="596"/>
    </row>
    <row r="34" spans="1:11" ht="12" customHeight="1" x14ac:dyDescent="0.2">
      <c r="A34" s="594" t="s">
        <v>2070</v>
      </c>
      <c r="B34" s="595">
        <v>42955</v>
      </c>
      <c r="C34" s="1734">
        <v>34371</v>
      </c>
      <c r="D34" s="1735">
        <v>7</v>
      </c>
      <c r="E34" s="1734">
        <v>22226</v>
      </c>
      <c r="F34" s="1734"/>
      <c r="G34" s="1734"/>
      <c r="H34" s="1734">
        <v>6856</v>
      </c>
      <c r="I34" s="1736">
        <f t="shared" si="1"/>
        <v>15370</v>
      </c>
      <c r="J34" s="1734">
        <v>15370</v>
      </c>
      <c r="K34" s="597"/>
    </row>
    <row r="35" spans="1:11" ht="12" customHeight="1" x14ac:dyDescent="0.2">
      <c r="A35" s="594" t="s">
        <v>2071</v>
      </c>
      <c r="B35" s="595">
        <v>43283</v>
      </c>
      <c r="C35" s="1737">
        <v>95138</v>
      </c>
      <c r="D35" s="1735">
        <v>7</v>
      </c>
      <c r="E35" s="1737">
        <v>77237</v>
      </c>
      <c r="F35" s="1737"/>
      <c r="G35" s="1737"/>
      <c r="H35" s="1737">
        <v>18442</v>
      </c>
      <c r="I35" s="1736">
        <f t="shared" si="1"/>
        <v>58795</v>
      </c>
      <c r="J35" s="1737">
        <v>58795</v>
      </c>
      <c r="K35" s="597"/>
    </row>
    <row r="36" spans="1:11" ht="12" customHeight="1" x14ac:dyDescent="0.2">
      <c r="A36" s="594" t="s">
        <v>2072</v>
      </c>
      <c r="B36" s="595">
        <v>43888</v>
      </c>
      <c r="C36" s="1734">
        <v>28860</v>
      </c>
      <c r="D36" s="1735">
        <v>7</v>
      </c>
      <c r="E36" s="1734"/>
      <c r="F36" s="1734">
        <v>28860</v>
      </c>
      <c r="G36" s="1734"/>
      <c r="H36" s="1734">
        <v>1795</v>
      </c>
      <c r="I36" s="1736">
        <f t="shared" si="1"/>
        <v>27065</v>
      </c>
      <c r="J36" s="1734">
        <v>27065</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1414590</v>
      </c>
      <c r="D49" s="1742"/>
      <c r="E49" s="1736">
        <f t="shared" ref="E49:J49" si="2">SUM(E31:E48)</f>
        <v>890357</v>
      </c>
      <c r="F49" s="1736">
        <f t="shared" si="2"/>
        <v>28860</v>
      </c>
      <c r="G49" s="1736">
        <f t="shared" si="2"/>
        <v>0</v>
      </c>
      <c r="H49" s="1736">
        <f t="shared" si="2"/>
        <v>120987</v>
      </c>
      <c r="I49" s="1736">
        <f t="shared" si="2"/>
        <v>798230</v>
      </c>
      <c r="J49" s="1736">
        <f t="shared" si="2"/>
        <v>779999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2073</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O48"/>
  <sheetViews>
    <sheetView showGridLines="0" defaultGridColor="0" topLeftCell="A4" colorId="8" zoomScaleNormal="100" workbookViewId="0">
      <selection activeCell="F22" sqref="F2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294666</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9583</v>
      </c>
      <c r="I5" s="1750"/>
      <c r="J5" s="1751"/>
      <c r="K5" s="1751"/>
    </row>
    <row r="6" spans="1:11" x14ac:dyDescent="0.2">
      <c r="A6" s="625" t="s">
        <v>715</v>
      </c>
      <c r="B6" s="626"/>
      <c r="C6" s="626"/>
      <c r="D6" s="626"/>
      <c r="E6" s="627"/>
      <c r="F6" s="628" t="s">
        <v>844</v>
      </c>
      <c r="G6" s="1744"/>
      <c r="H6" s="1744"/>
      <c r="I6" s="1744"/>
      <c r="J6" s="1745">
        <v>1938</v>
      </c>
      <c r="K6" s="1745"/>
    </row>
    <row r="7" spans="1:11" x14ac:dyDescent="0.2">
      <c r="A7" s="629" t="s">
        <v>244</v>
      </c>
      <c r="B7" s="630"/>
      <c r="C7" s="630"/>
      <c r="D7" s="630"/>
      <c r="E7" s="631"/>
      <c r="F7" s="622" t="s">
        <v>845</v>
      </c>
      <c r="G7" s="1746"/>
      <c r="H7" s="1746"/>
      <c r="I7" s="1746"/>
      <c r="J7" s="1752"/>
      <c r="K7" s="1745">
        <v>1430</v>
      </c>
    </row>
    <row r="8" spans="1:11" x14ac:dyDescent="0.2">
      <c r="A8" s="629" t="s">
        <v>342</v>
      </c>
      <c r="B8" s="630"/>
      <c r="C8" s="630"/>
      <c r="D8" s="630"/>
      <c r="E8" s="631"/>
      <c r="F8" s="622" t="s">
        <v>846</v>
      </c>
      <c r="G8" s="1753"/>
      <c r="H8" s="1753"/>
      <c r="I8" s="1753"/>
      <c r="J8" s="1745">
        <v>126624</v>
      </c>
      <c r="K8" s="1748"/>
    </row>
    <row r="9" spans="1:11" x14ac:dyDescent="0.2">
      <c r="A9" s="629" t="s">
        <v>137</v>
      </c>
      <c r="B9" s="630"/>
      <c r="C9" s="630"/>
      <c r="D9" s="630"/>
      <c r="E9" s="631"/>
      <c r="F9" s="628" t="s">
        <v>848</v>
      </c>
      <c r="G9" s="1753"/>
      <c r="H9" s="1749"/>
      <c r="I9" s="1749"/>
      <c r="J9" s="1752"/>
      <c r="K9" s="1745">
        <v>1258</v>
      </c>
    </row>
    <row r="10" spans="1:11" x14ac:dyDescent="0.2">
      <c r="A10" s="2322" t="s">
        <v>1790</v>
      </c>
      <c r="B10" s="2323"/>
      <c r="C10" s="2323"/>
      <c r="D10" s="2323"/>
      <c r="E10" s="2325"/>
      <c r="F10" s="633" t="s">
        <v>857</v>
      </c>
      <c r="G10" s="1753"/>
      <c r="H10" s="1754">
        <v>53215</v>
      </c>
      <c r="I10" s="1744"/>
      <c r="J10" s="1745">
        <v>50000</v>
      </c>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62798</v>
      </c>
      <c r="I12" s="1755">
        <f>SUM(I5:I11)</f>
        <v>0</v>
      </c>
      <c r="J12" s="1755">
        <f>SUM(J5:J11)</f>
        <v>178562</v>
      </c>
      <c r="K12" s="1755">
        <f>SUM(K5:K11)</f>
        <v>2688</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62798</v>
      </c>
      <c r="I14" s="1749"/>
      <c r="J14" s="1751"/>
      <c r="K14" s="1745">
        <v>2688</v>
      </c>
    </row>
    <row r="15" spans="1:11" x14ac:dyDescent="0.2">
      <c r="A15" s="2323" t="s">
        <v>4</v>
      </c>
      <c r="B15" s="2323"/>
      <c r="C15" s="2323"/>
      <c r="D15" s="2323"/>
      <c r="E15" s="2324"/>
      <c r="F15" s="635" t="s">
        <v>850</v>
      </c>
      <c r="G15" s="1749"/>
      <c r="H15" s="1744"/>
      <c r="I15" s="1744"/>
      <c r="J15" s="1745">
        <v>10212</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v>118538</v>
      </c>
      <c r="K22" s="1745"/>
    </row>
    <row r="23" spans="1:15" ht="13.5" thickBot="1" x14ac:dyDescent="0.25">
      <c r="A23" s="2353" t="s">
        <v>900</v>
      </c>
      <c r="B23" s="2352"/>
      <c r="C23" s="2352"/>
      <c r="D23" s="2352"/>
      <c r="E23" s="2352"/>
      <c r="F23" s="1436"/>
      <c r="G23" s="1755">
        <f>SUM(G14:G16,G21,G22)</f>
        <v>0</v>
      </c>
      <c r="H23" s="1755">
        <f>SUM(H14:H16,H21,H22)</f>
        <v>62798</v>
      </c>
      <c r="I23" s="1755">
        <f>SUM(I14:I16,I21,I22)</f>
        <v>0</v>
      </c>
      <c r="J23" s="1755">
        <f>SUM(J14:J16,J21,J22)</f>
        <v>128750</v>
      </c>
      <c r="K23" s="1755">
        <f>SUM(K14:K16,K21,K22)</f>
        <v>2688</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344478</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344478</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topLeftCell="A2" colorId="8" zoomScaleNormal="100" workbookViewId="0">
      <selection activeCell="F22" sqref="F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25000</v>
      </c>
      <c r="D5" s="1770">
        <v>8009</v>
      </c>
      <c r="E5" s="1770"/>
      <c r="F5" s="1765">
        <f>(C5+D5)-E5</f>
        <v>33009</v>
      </c>
      <c r="G5" s="676"/>
      <c r="H5" s="680"/>
      <c r="I5" s="680"/>
      <c r="J5" s="680"/>
      <c r="K5" s="637"/>
      <c r="L5" s="1442">
        <f>F5-K5</f>
        <v>33009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4979903</v>
      </c>
      <c r="D8" s="1771"/>
      <c r="E8" s="1771"/>
      <c r="F8" s="1765">
        <f>(C8+D8)-E8</f>
        <v>4979903</v>
      </c>
      <c r="G8" s="681">
        <v>50</v>
      </c>
      <c r="H8" s="619">
        <v>2026751</v>
      </c>
      <c r="I8" s="619">
        <v>99598</v>
      </c>
      <c r="J8" s="619"/>
      <c r="K8" s="1442">
        <f>(H8+I8)-J8</f>
        <v>2126349</v>
      </c>
      <c r="L8" s="1442">
        <f>F8-K8</f>
        <v>2853554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66853</v>
      </c>
      <c r="D10" s="1772">
        <v>13263</v>
      </c>
      <c r="E10" s="1772"/>
      <c r="F10" s="1773">
        <f>(C10+D10)-E10</f>
        <v>80116</v>
      </c>
      <c r="G10" s="681">
        <v>20</v>
      </c>
      <c r="H10" s="683">
        <v>54323</v>
      </c>
      <c r="I10" s="683">
        <v>1461</v>
      </c>
      <c r="J10" s="683"/>
      <c r="K10" s="1442">
        <f>(H10+I10)-J10</f>
        <v>55784</v>
      </c>
      <c r="L10" s="1442">
        <f>F10-K10</f>
        <v>24332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757849</v>
      </c>
      <c r="D12" s="1771"/>
      <c r="E12" s="1771"/>
      <c r="F12" s="1765">
        <f>(C12+D12)-E12</f>
        <v>757849</v>
      </c>
      <c r="G12" s="681">
        <v>10</v>
      </c>
      <c r="H12" s="619">
        <v>746410</v>
      </c>
      <c r="I12" s="619">
        <v>1700</v>
      </c>
      <c r="J12" s="619"/>
      <c r="K12" s="1442">
        <f>(H12+I12)-J12</f>
        <v>748110</v>
      </c>
      <c r="L12" s="1442">
        <f>F12-K12</f>
        <v>9739</v>
      </c>
    </row>
    <row r="13" spans="1:14" ht="14.25" thickTop="1" thickBot="1" x14ac:dyDescent="0.25">
      <c r="A13" s="684" t="s">
        <v>1112</v>
      </c>
      <c r="B13" s="679">
        <v>252</v>
      </c>
      <c r="C13" s="1771">
        <v>356095</v>
      </c>
      <c r="D13" s="1771">
        <v>28860</v>
      </c>
      <c r="E13" s="1771"/>
      <c r="F13" s="1765">
        <f>(C13+D13)-E13</f>
        <v>384955</v>
      </c>
      <c r="G13" s="681">
        <v>5</v>
      </c>
      <c r="H13" s="619">
        <v>248881</v>
      </c>
      <c r="I13" s="619">
        <v>38186</v>
      </c>
      <c r="J13" s="619"/>
      <c r="K13" s="1442">
        <f>(H13+I13)-J13</f>
        <v>287067</v>
      </c>
      <c r="L13" s="1442">
        <f>F13-K13</f>
        <v>97888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6185700</v>
      </c>
      <c r="D16" s="1765">
        <f>SUM(D3,D5:D6,D8:D10,D12:D15)</f>
        <v>50132</v>
      </c>
      <c r="E16" s="1765">
        <f>SUM(E3,E5:E6,E8:E10,E12:E15)</f>
        <v>0</v>
      </c>
      <c r="F16" s="1765">
        <f>SUM(F3,F5:F6,F8:F10,F12:F15)</f>
        <v>6235832</v>
      </c>
      <c r="G16" s="681"/>
      <c r="H16" s="1435">
        <f>SUM(H3,H6,H8:H10,H12:H14,)</f>
        <v>3076365</v>
      </c>
      <c r="I16" s="1435">
        <f>SUM(I3,I6,I8:I10,I12:I14,)</f>
        <v>140945</v>
      </c>
      <c r="J16" s="1435">
        <f>SUM(J3,J6,J8:J10,J12:J14,)</f>
        <v>0</v>
      </c>
      <c r="K16" s="1435">
        <f>(H16+I16)-J16</f>
        <v>3217310</v>
      </c>
      <c r="L16" s="1435">
        <f>F16-K16</f>
        <v>3018522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14688</v>
      </c>
      <c r="G17" s="676">
        <v>10</v>
      </c>
      <c r="H17" s="621"/>
      <c r="I17" s="1442">
        <f>F17/G17</f>
        <v>1468.8</v>
      </c>
      <c r="J17" s="621"/>
      <c r="K17" s="638"/>
      <c r="L17" s="638"/>
    </row>
    <row r="18" spans="1:12" ht="14.25" thickTop="1" thickBot="1" x14ac:dyDescent="0.25">
      <c r="A18" s="1440" t="s">
        <v>680</v>
      </c>
      <c r="B18" s="1441"/>
      <c r="C18" s="623"/>
      <c r="D18" s="623"/>
      <c r="E18" s="623"/>
      <c r="F18" s="686"/>
      <c r="G18" s="687"/>
      <c r="H18" s="624"/>
      <c r="I18" s="1435">
        <f>SUM(I16,I17)</f>
        <v>142413.79999999999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I203"/>
  <sheetViews>
    <sheetView showGridLines="0" defaultGridColor="0" topLeftCell="A162" colorId="8" zoomScaleNormal="100" workbookViewId="0">
      <selection activeCell="F22" sqref="F2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2542720</v>
      </c>
      <c r="G8" s="701"/>
    </row>
    <row r="9" spans="1:9" x14ac:dyDescent="0.2">
      <c r="A9" s="705" t="s">
        <v>457</v>
      </c>
      <c r="B9" s="706" t="s">
        <v>1848</v>
      </c>
      <c r="C9" s="707"/>
      <c r="D9" s="705" t="s">
        <v>498</v>
      </c>
      <c r="E9" s="704"/>
      <c r="F9" s="1775">
        <f>'Expenditures 15-22'!K151</f>
        <v>172152</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191449</v>
      </c>
      <c r="G11" s="708"/>
    </row>
    <row r="12" spans="1:9" x14ac:dyDescent="0.2">
      <c r="A12" s="705" t="s">
        <v>459</v>
      </c>
      <c r="B12" s="706" t="s">
        <v>1851</v>
      </c>
      <c r="C12" s="707"/>
      <c r="D12" s="705" t="s">
        <v>498</v>
      </c>
      <c r="E12" s="704"/>
      <c r="F12" s="1775">
        <f>'Expenditures 15-22'!K295</f>
        <v>124516</v>
      </c>
      <c r="G12" s="708"/>
    </row>
    <row r="13" spans="1:9" x14ac:dyDescent="0.2">
      <c r="A13" s="705" t="s">
        <v>106</v>
      </c>
      <c r="B13" s="706" t="s">
        <v>1852</v>
      </c>
      <c r="C13" s="707"/>
      <c r="D13" s="705" t="s">
        <v>498</v>
      </c>
      <c r="E13" s="704"/>
      <c r="F13" s="1775">
        <f>'Expenditures 15-22'!K342</f>
        <v>243070</v>
      </c>
      <c r="G13" s="709"/>
    </row>
    <row r="14" spans="1:9" ht="12" customHeight="1" thickBot="1" x14ac:dyDescent="0.25">
      <c r="A14" s="1443"/>
      <c r="B14" s="1444"/>
      <c r="C14" s="1445"/>
      <c r="D14" s="1446" t="s">
        <v>498</v>
      </c>
      <c r="E14" s="1447" t="s">
        <v>952</v>
      </c>
      <c r="F14" s="1776">
        <f>SUM(F8:F13)</f>
        <v>3273907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102976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37462</v>
      </c>
      <c r="G52" s="701"/>
    </row>
    <row r="53" spans="1:7" x14ac:dyDescent="0.2">
      <c r="A53" s="705" t="s">
        <v>456</v>
      </c>
      <c r="B53" s="705" t="s">
        <v>1458</v>
      </c>
      <c r="C53" s="724">
        <f>'Expenditures 15-22'!B102</f>
        <v>4000</v>
      </c>
      <c r="D53" s="723" t="str">
        <f>'Expenditures 15-22'!A102</f>
        <v>Total Payments to Other Govt Units</v>
      </c>
      <c r="E53" s="704"/>
      <c r="F53" s="1782">
        <f>'Expenditures 15-22'!K102</f>
        <v>185902</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4113</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13263</v>
      </c>
      <c r="G58" s="701"/>
    </row>
    <row r="59" spans="1:7" x14ac:dyDescent="0.2">
      <c r="A59" s="728" t="s">
        <v>457</v>
      </c>
      <c r="B59" s="692" t="s">
        <v>1855</v>
      </c>
      <c r="C59" s="729" t="s">
        <v>975</v>
      </c>
      <c r="D59" s="692" t="s">
        <v>288</v>
      </c>
      <c r="F59" s="1785">
        <f>'Expenditures 15-22'!I151</f>
        <v>10575</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27987</v>
      </c>
      <c r="G64" s="701"/>
    </row>
    <row r="65" spans="1:9" x14ac:dyDescent="0.2">
      <c r="A65" s="705" t="s">
        <v>458</v>
      </c>
      <c r="B65" s="705" t="s">
        <v>1861</v>
      </c>
      <c r="C65" s="721" t="s">
        <v>975</v>
      </c>
      <c r="D65" s="720" t="s">
        <v>1086</v>
      </c>
      <c r="E65" s="704"/>
      <c r="F65" s="1782">
        <f>'Expenditures 15-22'!G210</f>
        <v>28860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2583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4840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418561</v>
      </c>
      <c r="G77" s="701"/>
    </row>
    <row r="78" spans="1:9" s="728" customFormat="1" ht="12" customHeight="1" thickTop="1" thickBot="1" x14ac:dyDescent="0.25">
      <c r="A78" s="1450"/>
      <c r="B78" s="1448"/>
      <c r="C78" s="1445"/>
      <c r="D78" s="1449" t="s">
        <v>2012</v>
      </c>
      <c r="E78" s="1447"/>
      <c r="F78" s="1788">
        <f>(F14-F77)</f>
        <v>2855346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272.7</v>
      </c>
      <c r="G79" s="733"/>
      <c r="H79" s="705"/>
      <c r="I79" s="705"/>
    </row>
    <row r="80" spans="1:9" s="728" customFormat="1" ht="12" customHeight="1" thickBot="1" x14ac:dyDescent="0.25">
      <c r="A80" s="1452"/>
      <c r="B80" s="1448"/>
      <c r="C80" s="1445"/>
      <c r="D80" s="1449" t="s">
        <v>2013</v>
      </c>
      <c r="E80" s="1447" t="s">
        <v>952</v>
      </c>
      <c r="F80" s="1790">
        <f>IF(F79&gt;0,F78/F79," Complete Line 79")</f>
        <v>10470.649064906491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23347</v>
      </c>
      <c r="G95" s="745"/>
    </row>
    <row r="96" spans="1:7" x14ac:dyDescent="0.2">
      <c r="A96" s="741" t="s">
        <v>139</v>
      </c>
      <c r="B96" s="741" t="s">
        <v>174</v>
      </c>
      <c r="C96" s="743">
        <v>1700</v>
      </c>
      <c r="D96" s="751" t="str">
        <f>'Revenues 9-14'!A82</f>
        <v>Total District/School Activity Income</v>
      </c>
      <c r="E96" s="739"/>
      <c r="F96" s="1793">
        <f>SUM('Revenues 9-14'!C82,'Revenues 9-14'!D82)</f>
        <v>11677</v>
      </c>
      <c r="G96" s="745"/>
    </row>
    <row r="97" spans="1:7" x14ac:dyDescent="0.2">
      <c r="A97" s="741" t="s">
        <v>456</v>
      </c>
      <c r="B97" s="741" t="s">
        <v>175</v>
      </c>
      <c r="C97" s="743">
        <f>'Revenues 9-14'!B84</f>
        <v>1811</v>
      </c>
      <c r="D97" s="744" t="str">
        <f>'Revenues 9-14'!A84</f>
        <v>Rentals - Regular Textbooks</v>
      </c>
      <c r="E97" s="739"/>
      <c r="F97" s="1793">
        <f>'Revenues 9-14'!C84</f>
        <v>5244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2605</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10620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939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1258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75108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14748</v>
      </c>
      <c r="G125" s="763"/>
    </row>
    <row r="126" spans="1:7" x14ac:dyDescent="0.2">
      <c r="A126" s="760" t="s">
        <v>659</v>
      </c>
      <c r="B126" s="760" t="s">
        <v>1930</v>
      </c>
      <c r="C126" s="765">
        <v>4200</v>
      </c>
      <c r="D126" s="762" t="str">
        <f>'Revenues 9-14'!A198</f>
        <v>Total Food Service</v>
      </c>
      <c r="E126" s="739"/>
      <c r="F126" s="1793">
        <f>SUM('Revenues 9-14'!C198,'Revenues 9-14'!G198)</f>
        <v>122714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104493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43971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458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18249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16933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101930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555044</v>
      </c>
    </row>
    <row r="176" spans="1:7" ht="12" customHeight="1" x14ac:dyDescent="0.2">
      <c r="A176" s="1443"/>
      <c r="B176" s="1453"/>
      <c r="C176" s="1454"/>
      <c r="D176" s="1455" t="s">
        <v>2014</v>
      </c>
      <c r="E176" s="1456"/>
      <c r="F176" s="1793">
        <f>'PCTC-OEPP 27-28'!F78-F175</f>
        <v>2300302</v>
      </c>
    </row>
    <row r="177" spans="1:9" ht="12" customHeight="1" x14ac:dyDescent="0.2">
      <c r="A177" s="1443"/>
      <c r="B177" s="1453"/>
      <c r="C177" s="1454"/>
      <c r="D177" s="1455" t="s">
        <v>1794</v>
      </c>
      <c r="E177" s="1456"/>
      <c r="F177" s="1793">
        <f>'Cap Outlay Deprec 26'!I18</f>
        <v>142413.79999999999</v>
      </c>
    </row>
    <row r="178" spans="1:9" ht="12" customHeight="1" x14ac:dyDescent="0.2">
      <c r="A178" s="1443"/>
      <c r="B178" s="1453"/>
      <c r="C178" s="1454"/>
      <c r="D178" s="1455" t="s">
        <v>2015</v>
      </c>
      <c r="E178" s="1456"/>
      <c r="F178" s="1793">
        <f>F176+F177</f>
        <v>2442715.7999999998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272.7</v>
      </c>
      <c r="G179" s="763"/>
      <c r="I179" s="701"/>
    </row>
    <row r="180" spans="1:9" ht="12" customHeight="1" thickBot="1" x14ac:dyDescent="0.25">
      <c r="A180" s="1443"/>
      <c r="B180" s="1457"/>
      <c r="C180" s="1454"/>
      <c r="D180" s="1455" t="s">
        <v>2017</v>
      </c>
      <c r="E180" s="1456" t="s">
        <v>1528</v>
      </c>
      <c r="F180" s="1798">
        <f>F178/F179</f>
        <v>8957.5203520352024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G142"/>
  <sheetViews>
    <sheetView showGridLines="0" zoomScaleNormal="100" workbookViewId="0">
      <selection activeCell="F22" sqref="F2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2079</v>
      </c>
      <c r="B18" s="1908"/>
      <c r="C18" s="2036"/>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1200150</xdr:colOff>
                <xdr:row>6</xdr:row>
                <xdr:rowOff>476250</xdr:rowOff>
              </from>
              <to>
                <xdr:col>5</xdr:col>
                <xdr:colOff>495300</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600075</xdr:colOff>
                <xdr:row>6</xdr:row>
                <xdr:rowOff>466725</xdr:rowOff>
              </from>
              <to>
                <xdr:col>5</xdr:col>
                <xdr:colOff>1466850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M46"/>
  <sheetViews>
    <sheetView showGridLines="0" defaultGridColor="0" topLeftCell="A2" colorId="8" zoomScaleNormal="100" workbookViewId="0">
      <selection activeCell="F22" sqref="F2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35497</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14911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1684554</v>
      </c>
      <c r="F19" s="1802"/>
      <c r="G19" s="1804">
        <f>'Expenditures 15-22'!K33-SUM('Expenditures 15-22'!G33,'Expenditures 15-22'!I33)+'Expenditures 15-22'!D229</f>
        <v>1684554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89713</v>
      </c>
      <c r="F21" s="1805"/>
      <c r="G21" s="1808">
        <f>'Expenditures 15-22'!K42-SUM('Expenditures 15-22'!G42,'Expenditures 15-22'!I42)+'Expenditures 15-22'!K120-SUM('Expenditures 15-22'!G120,'Expenditures 15-22'!I120)+'Expenditures 15-22'!K180-SUM('Expenditures 15-22'!G180,'Expenditures 15-22'!I180)+'Expenditures 15-22'!D238</f>
        <v>89713</v>
      </c>
      <c r="H21" s="817"/>
      <c r="I21" s="157"/>
    </row>
    <row r="22" spans="1:9" s="542" customFormat="1" ht="12" customHeight="1" x14ac:dyDescent="0.2">
      <c r="A22" s="824" t="s">
        <v>560</v>
      </c>
      <c r="B22" s="825"/>
      <c r="C22" s="823">
        <v>2200</v>
      </c>
      <c r="D22" s="1805"/>
      <c r="E22" s="1807">
        <f>'Expenditures 15-22'!K47-SUM('Expenditures 15-22'!G47,'Expenditures 15-22'!I47)+'Expenditures 15-22'!D243</f>
        <v>49244</v>
      </c>
      <c r="F22" s="1805"/>
      <c r="G22" s="1808">
        <f>'Expenditures 15-22'!K47-SUM('Expenditures 15-22'!G47,'Expenditures 15-22'!I47)+'Expenditures 15-22'!D243</f>
        <v>49244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286566</v>
      </c>
      <c r="F23" s="1805"/>
      <c r="G23" s="1807">
        <f>'Expenditures 15-22'!K53-SUM('Expenditures 15-22'!G53,'Expenditures 15-22'!I53)+'Expenditures 15-22'!D257+'Expenditures 15-22'!K330-SUM('Expenditures 15-22'!G330,'Expenditures 15-22'!I330)</f>
        <v>286566</v>
      </c>
      <c r="H23" s="817"/>
      <c r="I23" s="157"/>
    </row>
    <row r="24" spans="1:9" s="542" customFormat="1" ht="12" customHeight="1" x14ac:dyDescent="0.2">
      <c r="A24" s="824" t="s">
        <v>562</v>
      </c>
      <c r="B24" s="825"/>
      <c r="C24" s="823">
        <v>2400</v>
      </c>
      <c r="D24" s="1805"/>
      <c r="E24" s="1807">
        <f>'Expenditures 15-22'!K57-SUM('Expenditures 15-22'!G57,'Expenditures 15-22'!I57)+'Expenditures 15-22'!D261</f>
        <v>240930</v>
      </c>
      <c r="F24" s="1805"/>
      <c r="G24" s="1808">
        <f>'Expenditures 15-22'!K57-SUM('Expenditures 15-22'!G57,'Expenditures 15-22'!I57)+'Expenditures 15-22'!D261</f>
        <v>240930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75953</v>
      </c>
      <c r="E27" s="1807">
        <f>E8</f>
        <v>0</v>
      </c>
      <c r="F27" s="1807">
        <f>'Expenditures 15-22'!K60-SUM('Expenditures 15-22'!G60,'Expenditures 15-22'!I60)+'Expenditures 15-22'!D264-E8</f>
        <v>75953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227249</v>
      </c>
      <c r="F28" s="1809">
        <f>'Expenditures 15-22'!K61-SUM('Expenditures 15-22'!G61,'Expenditures 15-22'!I61)+'Expenditures 15-22'!K124-SUM('Expenditures 15-22'!G124,'Expenditures 15-22'!I124)+'Expenditures 15-22'!D266-E9</f>
        <v>227249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132498</v>
      </c>
      <c r="F29" s="1805"/>
      <c r="G29" s="1808">
        <f>'Expenditures 15-22'!K62-SUM('Expenditures 15-22'!G62,'Expenditures 15-22'!I62)+'Expenditures 15-22'!K125-SUM('Expenditures 15-22'!G125,'Expenditures 15-22'!I125)+'Expenditures 15-22'!K182-SUM('Expenditures 15-22'!G182,'Expenditures 15-22'!I182)+'Expenditures 15-22'!D267</f>
        <v>132498</v>
      </c>
      <c r="H29" s="815"/>
    </row>
    <row r="30" spans="1:9" ht="12" customHeight="1" x14ac:dyDescent="0.2">
      <c r="A30" s="824" t="s">
        <v>100</v>
      </c>
      <c r="B30" s="827"/>
      <c r="C30" s="823">
        <v>2560</v>
      </c>
      <c r="D30" s="1805"/>
      <c r="E30" s="1807">
        <f>'Expenditures 15-22'!K63-SUM('Expenditures 15-22'!G63,'Expenditures 15-22'!I63)+'Expenditures 15-22'!D268-E10</f>
        <v>122714</v>
      </c>
      <c r="F30" s="1805"/>
      <c r="G30" s="1807">
        <f>'Expenditures 15-22'!K63-SUM('Expenditures 15-22'!G63,'Expenditures 15-22'!I63)+'Expenditures 15-22'!D268-E10</f>
        <v>122714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684</v>
      </c>
      <c r="F38" s="1805"/>
      <c r="G38" s="1807">
        <f>'Expenditures 15-22'!K73-SUM('Expenditures 15-22'!G73,'Expenditures 15-22'!I73)+'Expenditures 15-22'!K128-SUM('Expenditures 15-22'!G128,'Expenditures 15-22'!I128)+'Expenditures 15-22'!K183-SUM('Expenditures 15-22'!G183,'Expenditures 15-22'!I183)+'Expenditures 15-22'!D278</f>
        <v>684</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42302</v>
      </c>
      <c r="F39" s="1805"/>
      <c r="G39" s="1807">
        <f>'Expenditures 15-22'!K75-SUM('Expenditures 15-22'!G75,'Expenditures 15-22'!I75)+'Expenditures 15-22'!K130-SUM('Expenditures 15-22'!G130,'Expenditures 15-22'!I130)+'Expenditures 15-22'!K185-SUM('Expenditures 15-22'!G185,'Expenditures 15-22'!I185)+'Expenditures 15-22'!D280</f>
        <v>42302</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75953</v>
      </c>
      <c r="E41" s="1809">
        <f>SUM(E19:E40)</f>
        <v>2876454</v>
      </c>
      <c r="F41" s="1809">
        <f>SUM(F19:F39)</f>
        <v>303202</v>
      </c>
      <c r="G41" s="1809">
        <f>SUM(G19:G40)</f>
        <v>2649205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75953</v>
      </c>
      <c r="F43" s="1458" t="s">
        <v>470</v>
      </c>
      <c r="G43" s="1810">
        <f>F41</f>
        <v>303202</v>
      </c>
    </row>
    <row r="44" spans="1:7" ht="12" customHeight="1" x14ac:dyDescent="0.2">
      <c r="A44" s="817"/>
      <c r="B44" s="157"/>
      <c r="C44" s="831"/>
      <c r="D44" s="1458" t="s">
        <v>471</v>
      </c>
      <c r="E44" s="1810">
        <f>E41</f>
        <v>2876454</v>
      </c>
      <c r="F44" s="1458" t="s">
        <v>471</v>
      </c>
      <c r="G44" s="1810">
        <f>G41</f>
        <v>2649205</v>
      </c>
    </row>
    <row r="45" spans="1:7" ht="12" customHeight="1" x14ac:dyDescent="0.2">
      <c r="A45" s="817"/>
      <c r="B45" s="157"/>
      <c r="C45" s="157"/>
      <c r="D45" s="1459" t="s">
        <v>999</v>
      </c>
      <c r="E45" s="1811">
        <f>(E43/E44)</f>
        <v>2.6405080700056389E-2</v>
      </c>
      <c r="F45" s="1459" t="s">
        <v>999</v>
      </c>
      <c r="G45" s="1811">
        <f>(G43/G44)</f>
        <v>0.11445018411183733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N83"/>
  <sheetViews>
    <sheetView showGridLines="0" topLeftCell="A62" zoomScaleNormal="100" workbookViewId="0">
      <selection activeCell="F22" sqref="F2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15" t="str">
        <f>COVER!A17</f>
        <v xml:space="preserve"> Grayville CUSD 1</v>
      </c>
      <c r="K6" s="2415"/>
      <c r="L6" s="2429"/>
      <c r="M6" s="838"/>
      <c r="N6" s="1998"/>
    </row>
    <row r="7" spans="1:14" x14ac:dyDescent="0.2">
      <c r="A7" s="2430" t="s">
        <v>864</v>
      </c>
      <c r="B7" s="2431"/>
      <c r="C7" s="2431"/>
      <c r="D7" s="2431"/>
      <c r="E7" s="2432"/>
      <c r="F7" s="839"/>
      <c r="G7" s="838"/>
      <c r="H7" s="838"/>
      <c r="I7" s="1924" t="s">
        <v>369</v>
      </c>
      <c r="J7" s="2417">
        <f>COVER!A13</f>
        <v>20097001026</v>
      </c>
      <c r="K7" s="2417"/>
      <c r="L7" s="241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3" t="s">
        <v>478</v>
      </c>
      <c r="B11" s="2434"/>
      <c r="C11" s="2435"/>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28034</v>
      </c>
      <c r="F12" s="1942"/>
      <c r="G12" s="1968">
        <f>G68</f>
        <v>43061</v>
      </c>
      <c r="H12" s="1944">
        <f t="shared" ref="H12:H18" si="0">SUM(E12:G12)</f>
        <v>71095</v>
      </c>
      <c r="I12" s="1943">
        <v>31050</v>
      </c>
      <c r="J12" s="1942"/>
      <c r="K12" s="1943"/>
      <c r="L12" s="1944">
        <f t="shared" ref="L12:L18" si="1">SUM(I12:K12)</f>
        <v>31050</v>
      </c>
      <c r="M12" s="838"/>
      <c r="N12" s="1998"/>
    </row>
    <row r="13" spans="1:14" x14ac:dyDescent="0.2">
      <c r="A13" s="2003">
        <v>2</v>
      </c>
      <c r="B13" s="1940" t="s">
        <v>42</v>
      </c>
      <c r="C13" s="842"/>
      <c r="D13" s="1941">
        <v>2330</v>
      </c>
      <c r="E13" s="1944">
        <f>'Expenditures 15-22'!K51</f>
        <v>2059</v>
      </c>
      <c r="F13" s="1942"/>
      <c r="G13" s="1968">
        <f>H68</f>
        <v>0</v>
      </c>
      <c r="H13" s="1944">
        <f t="shared" si="0"/>
        <v>2059</v>
      </c>
      <c r="I13" s="1943">
        <v>600</v>
      </c>
      <c r="J13" s="1942"/>
      <c r="K13" s="1943"/>
      <c r="L13" s="1944">
        <f t="shared" si="1"/>
        <v>600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6" t="s">
        <v>7</v>
      </c>
      <c r="C18" s="2437"/>
      <c r="D18" s="2438"/>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30093</v>
      </c>
      <c r="F19" s="1950">
        <f t="shared" si="2"/>
        <v>0</v>
      </c>
      <c r="G19" s="1950">
        <f t="shared" ref="G19" si="3">SUM(G12:G17)-G18</f>
        <v>43061</v>
      </c>
      <c r="H19" s="1950">
        <f t="shared" si="2"/>
        <v>73154</v>
      </c>
      <c r="I19" s="1950">
        <f t="shared" si="2"/>
        <v>31650</v>
      </c>
      <c r="J19" s="1950">
        <f t="shared" si="2"/>
        <v>0</v>
      </c>
      <c r="K19" s="1950">
        <f t="shared" si="2"/>
        <v>0</v>
      </c>
      <c r="L19" s="1950">
        <f t="shared" si="2"/>
        <v>31650</v>
      </c>
      <c r="M19" s="838"/>
      <c r="N19" s="1998"/>
    </row>
    <row r="20" spans="1:14" ht="13.5" thickTop="1" x14ac:dyDescent="0.2">
      <c r="A20" s="2003">
        <v>9</v>
      </c>
      <c r="B20" s="2439" t="s">
        <v>2021</v>
      </c>
      <c r="C20" s="2439"/>
      <c r="D20" s="2440"/>
      <c r="E20" s="1951"/>
      <c r="F20" s="1951"/>
      <c r="G20" s="1951"/>
      <c r="H20" s="1951"/>
      <c r="I20" s="1951"/>
      <c r="J20" s="1951"/>
      <c r="K20" s="1951"/>
      <c r="L20" s="1952">
        <f>IF(AND(H19&gt;0,L19&gt;0),(((L19-H19)/H19)),"Enter Budget Data")</f>
        <v>-0.56735106761079368</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1"/>
      <c r="D27" s="2441"/>
      <c r="E27" s="843"/>
      <c r="F27" s="2442"/>
      <c r="G27" s="2442"/>
      <c r="H27" s="2442"/>
      <c r="I27" s="838"/>
      <c r="J27" s="838"/>
      <c r="K27" s="838"/>
      <c r="L27" s="838"/>
      <c r="M27" s="838"/>
      <c r="N27" s="1998"/>
    </row>
    <row r="28" spans="1:14" x14ac:dyDescent="0.2">
      <c r="A28" s="1997"/>
      <c r="B28" s="2007"/>
      <c r="C28" s="1957" t="s">
        <v>1026</v>
      </c>
      <c r="D28" s="844"/>
      <c r="E28" s="1958"/>
      <c r="F28" s="2443" t="s">
        <v>1492</v>
      </c>
      <c r="G28" s="2443"/>
      <c r="H28" s="2443"/>
      <c r="I28" s="838"/>
      <c r="J28" s="838"/>
      <c r="K28" s="838"/>
      <c r="L28" s="838"/>
      <c r="M28" s="838"/>
      <c r="N28" s="1998"/>
    </row>
    <row r="29" spans="1:14" x14ac:dyDescent="0.2">
      <c r="A29" s="1997"/>
      <c r="B29" s="2007"/>
      <c r="C29" s="2444"/>
      <c r="D29" s="2444"/>
      <c r="E29" s="845"/>
      <c r="F29" s="2444"/>
      <c r="G29" s="2444"/>
      <c r="H29" s="2444"/>
      <c r="I29" s="838"/>
      <c r="J29" s="838"/>
      <c r="K29" s="838"/>
      <c r="L29" s="838"/>
      <c r="M29" s="838"/>
      <c r="N29" s="1998"/>
    </row>
    <row r="30" spans="1:14" x14ac:dyDescent="0.2">
      <c r="A30" s="1997"/>
      <c r="B30" s="2007"/>
      <c r="C30" s="1960" t="s">
        <v>1544</v>
      </c>
      <c r="D30" s="838"/>
      <c r="E30" s="1959"/>
      <c r="F30" s="2428" t="s">
        <v>1493</v>
      </c>
      <c r="G30" s="2428"/>
      <c r="H30" s="242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05" t="s">
        <v>2024</v>
      </c>
      <c r="D34" s="2406"/>
      <c r="E34" s="2406"/>
      <c r="F34" s="2406"/>
      <c r="G34" s="2406"/>
      <c r="H34" s="2406"/>
      <c r="I34" s="2406"/>
      <c r="J34" s="2406"/>
      <c r="K34" s="2016"/>
      <c r="L34" s="838"/>
      <c r="M34" s="838"/>
      <c r="N34" s="1998"/>
    </row>
    <row r="35" spans="1:14" x14ac:dyDescent="0.2">
      <c r="A35" s="1997"/>
      <c r="B35" s="838"/>
      <c r="C35" s="2406"/>
      <c r="D35" s="2406"/>
      <c r="E35" s="2406"/>
      <c r="F35" s="2406"/>
      <c r="G35" s="2406"/>
      <c r="H35" s="2406"/>
      <c r="I35" s="2406"/>
      <c r="J35" s="2406"/>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05" t="s">
        <v>2025</v>
      </c>
      <c r="D37" s="2406"/>
      <c r="E37" s="2406"/>
      <c r="F37" s="2406"/>
      <c r="G37" s="2406"/>
      <c r="H37" s="2406"/>
      <c r="I37" s="2406"/>
      <c r="J37" s="2406"/>
      <c r="K37" s="2016"/>
      <c r="L37" s="2018"/>
      <c r="M37" s="838"/>
      <c r="N37" s="1998"/>
    </row>
    <row r="38" spans="1:14" x14ac:dyDescent="0.2">
      <c r="A38" s="1997"/>
      <c r="B38" s="838"/>
      <c r="C38" s="2406"/>
      <c r="D38" s="2406"/>
      <c r="E38" s="2406"/>
      <c r="F38" s="2406"/>
      <c r="G38" s="2406"/>
      <c r="H38" s="2406"/>
      <c r="I38" s="2406"/>
      <c r="J38" s="2406"/>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07" t="s">
        <v>2026</v>
      </c>
      <c r="D40" s="2408"/>
      <c r="E40" s="2408"/>
      <c r="F40" s="2408"/>
      <c r="G40" s="2408"/>
      <c r="H40" s="2408"/>
      <c r="I40" s="2408"/>
      <c r="J40" s="2408"/>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09" t="s">
        <v>2027</v>
      </c>
      <c r="B43" s="2410"/>
      <c r="C43" s="2410"/>
      <c r="D43" s="2410"/>
      <c r="E43" s="2410"/>
      <c r="F43" s="2410"/>
      <c r="G43" s="2410"/>
      <c r="H43" s="2410"/>
      <c r="I43" s="2410"/>
      <c r="J43" s="2410"/>
      <c r="K43" s="2410"/>
      <c r="L43" s="2410"/>
      <c r="M43" s="2410"/>
      <c r="N43" s="2411"/>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12" t="s">
        <v>2029</v>
      </c>
      <c r="B46" s="2413"/>
      <c r="C46" s="2413"/>
      <c r="D46" s="2413"/>
      <c r="E46" s="2413"/>
      <c r="F46" s="2413"/>
      <c r="G46" s="2413"/>
      <c r="H46" s="2413"/>
      <c r="I46" s="2413"/>
      <c r="J46" s="2413"/>
      <c r="K46" s="2413"/>
      <c r="L46" s="2413"/>
      <c r="M46" s="2413"/>
      <c r="N46" s="2414"/>
    </row>
    <row r="47" spans="1:14" x14ac:dyDescent="0.2">
      <c r="A47" s="2412"/>
      <c r="B47" s="2413"/>
      <c r="C47" s="2413"/>
      <c r="D47" s="2413"/>
      <c r="E47" s="2413"/>
      <c r="F47" s="2413"/>
      <c r="G47" s="2413"/>
      <c r="H47" s="2413"/>
      <c r="I47" s="2413"/>
      <c r="J47" s="2413"/>
      <c r="K47" s="2413"/>
      <c r="L47" s="2413"/>
      <c r="M47" s="2413"/>
      <c r="N47" s="2414"/>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15" t="str">
        <f>J6</f>
        <v xml:space="preserve"> Grayville CUSD 1</v>
      </c>
      <c r="M52" s="2415"/>
      <c r="N52" s="2416"/>
    </row>
    <row r="53" spans="1:14" x14ac:dyDescent="0.2">
      <c r="A53" s="1982"/>
      <c r="B53" s="1983"/>
      <c r="C53" s="1983"/>
      <c r="D53" s="1983"/>
      <c r="E53" s="1983"/>
      <c r="F53" s="1983"/>
      <c r="G53" s="1983"/>
      <c r="H53" s="1983"/>
      <c r="I53" s="1983"/>
      <c r="J53" s="1983"/>
      <c r="K53" s="1924" t="s">
        <v>369</v>
      </c>
      <c r="L53" s="2417">
        <f>J7</f>
        <v>20097001026</v>
      </c>
      <c r="M53" s="2417"/>
      <c r="N53" s="2418"/>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19"/>
      <c r="B55" s="2420"/>
      <c r="C55" s="2420"/>
      <c r="D55" s="1970"/>
      <c r="E55" s="1970"/>
      <c r="F55" s="1970"/>
      <c r="G55" s="2421" t="s">
        <v>2030</v>
      </c>
      <c r="H55" s="2421"/>
      <c r="I55" s="2421"/>
      <c r="J55" s="2421"/>
      <c r="K55" s="2421"/>
      <c r="L55" s="2421"/>
      <c r="M55" s="2421"/>
      <c r="N55" s="2422"/>
    </row>
    <row r="56" spans="1:14" ht="63.75" x14ac:dyDescent="0.2">
      <c r="A56" s="2423" t="s">
        <v>2031</v>
      </c>
      <c r="B56" s="2424"/>
      <c r="C56" s="2425"/>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26" t="s">
        <v>296</v>
      </c>
      <c r="B57" s="2427"/>
      <c r="C57" s="2427"/>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03" t="s">
        <v>2041</v>
      </c>
      <c r="B58" s="2404"/>
      <c r="C58" s="2404"/>
      <c r="D58" s="1967">
        <v>2362</v>
      </c>
      <c r="E58" s="1977">
        <f>'Expenditures 15-22'!K320</f>
        <v>16587</v>
      </c>
      <c r="F58" s="1972"/>
      <c r="G58" s="2031"/>
      <c r="H58" s="2032"/>
      <c r="I58" s="2032"/>
      <c r="J58" s="2032"/>
      <c r="K58" s="2032"/>
      <c r="L58" s="2032"/>
      <c r="M58" s="2032">
        <v>16587</v>
      </c>
      <c r="N58" s="1975">
        <f>IF((SUM(G58:M58))=E58,SUM(G58:M58),"Column N does not agree with Column E")</f>
        <v>16587</v>
      </c>
    </row>
    <row r="59" spans="1:14" ht="24.75" customHeight="1" x14ac:dyDescent="0.2">
      <c r="A59" s="2397" t="s">
        <v>297</v>
      </c>
      <c r="B59" s="2398"/>
      <c r="C59" s="239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397" t="s">
        <v>236</v>
      </c>
      <c r="B60" s="2398"/>
      <c r="C60" s="2398"/>
      <c r="D60" s="1967">
        <v>2364</v>
      </c>
      <c r="E60" s="1977">
        <f>'Expenditures 15-22'!K322</f>
        <v>3869</v>
      </c>
      <c r="F60" s="1972"/>
      <c r="G60" s="2031"/>
      <c r="H60" s="2032"/>
      <c r="I60" s="2032"/>
      <c r="J60" s="2032"/>
      <c r="K60" s="2032"/>
      <c r="L60" s="2032"/>
      <c r="M60" s="2032">
        <v>3869</v>
      </c>
      <c r="N60" s="1975">
        <f t="shared" ref="N60:N67" si="4">IF((SUM(G60:M60))=E60,SUM(G60:M60),"Column N does not agree with Column E")</f>
        <v>3869</v>
      </c>
    </row>
    <row r="61" spans="1:14" ht="24.75" customHeight="1" x14ac:dyDescent="0.2">
      <c r="A61" s="2397" t="s">
        <v>697</v>
      </c>
      <c r="B61" s="2398"/>
      <c r="C61" s="2398"/>
      <c r="D61" s="1967">
        <v>2365</v>
      </c>
      <c r="E61" s="1977">
        <f>'Expenditures 15-22'!K323</f>
        <v>173480</v>
      </c>
      <c r="F61" s="1972"/>
      <c r="G61" s="2031">
        <v>43061</v>
      </c>
      <c r="H61" s="2032"/>
      <c r="I61" s="2032"/>
      <c r="J61" s="2032"/>
      <c r="K61" s="2032"/>
      <c r="L61" s="2032"/>
      <c r="M61" s="2032">
        <v>130419</v>
      </c>
      <c r="N61" s="1975">
        <f t="shared" si="4"/>
        <v>173480</v>
      </c>
    </row>
    <row r="62" spans="1:14" ht="24" customHeight="1" x14ac:dyDescent="0.2">
      <c r="A62" s="2397" t="s">
        <v>237</v>
      </c>
      <c r="B62" s="2398"/>
      <c r="C62" s="2398"/>
      <c r="D62" s="1967">
        <v>2366</v>
      </c>
      <c r="E62" s="1977">
        <f>'Expenditures 15-22'!K324</f>
        <v>0</v>
      </c>
      <c r="F62" s="1972"/>
      <c r="G62" s="2031"/>
      <c r="H62" s="2032"/>
      <c r="I62" s="2032"/>
      <c r="J62" s="2032"/>
      <c r="K62" s="2032"/>
      <c r="L62" s="2032"/>
      <c r="M62" s="2032"/>
      <c r="N62" s="1975">
        <f t="shared" si="4"/>
        <v>0</v>
      </c>
    </row>
    <row r="63" spans="1:14" ht="24" customHeight="1" x14ac:dyDescent="0.2">
      <c r="A63" s="2403" t="s">
        <v>1022</v>
      </c>
      <c r="B63" s="2404"/>
      <c r="C63" s="2404"/>
      <c r="D63" s="1967">
        <v>2367</v>
      </c>
      <c r="E63" s="1977">
        <f>'Expenditures 15-22'!K325</f>
        <v>950</v>
      </c>
      <c r="F63" s="1972"/>
      <c r="G63" s="2031"/>
      <c r="H63" s="2032"/>
      <c r="I63" s="2032"/>
      <c r="J63" s="2032"/>
      <c r="K63" s="2032"/>
      <c r="L63" s="2032"/>
      <c r="M63" s="2032">
        <v>950</v>
      </c>
      <c r="N63" s="1975">
        <f t="shared" si="4"/>
        <v>950</v>
      </c>
    </row>
    <row r="64" spans="1:14" ht="24" customHeight="1" x14ac:dyDescent="0.2">
      <c r="A64" s="2397" t="s">
        <v>1023</v>
      </c>
      <c r="B64" s="2398"/>
      <c r="C64" s="2398"/>
      <c r="D64" s="1967">
        <v>2368</v>
      </c>
      <c r="E64" s="1977">
        <f>'Expenditures 15-22'!K326</f>
        <v>0</v>
      </c>
      <c r="F64" s="1972"/>
      <c r="G64" s="2031"/>
      <c r="H64" s="2032"/>
      <c r="I64" s="2032"/>
      <c r="J64" s="2032"/>
      <c r="K64" s="2032"/>
      <c r="L64" s="2032"/>
      <c r="M64" s="2032"/>
      <c r="N64" s="1975">
        <f t="shared" si="4"/>
        <v>0</v>
      </c>
    </row>
    <row r="65" spans="1:14" ht="24" customHeight="1" x14ac:dyDescent="0.2">
      <c r="A65" s="2397" t="s">
        <v>965</v>
      </c>
      <c r="B65" s="2398"/>
      <c r="C65" s="2398"/>
      <c r="D65" s="1967">
        <v>2369</v>
      </c>
      <c r="E65" s="1977">
        <f>'Expenditures 15-22'!K327</f>
        <v>12987</v>
      </c>
      <c r="F65" s="1972"/>
      <c r="G65" s="2031"/>
      <c r="H65" s="2032"/>
      <c r="I65" s="2032"/>
      <c r="J65" s="2032"/>
      <c r="K65" s="2032"/>
      <c r="L65" s="2032"/>
      <c r="M65" s="2032">
        <v>12987</v>
      </c>
      <c r="N65" s="1975">
        <f t="shared" si="4"/>
        <v>12987</v>
      </c>
    </row>
    <row r="66" spans="1:14" ht="24" customHeight="1" x14ac:dyDescent="0.2">
      <c r="A66" s="2397" t="s">
        <v>469</v>
      </c>
      <c r="B66" s="2398"/>
      <c r="C66" s="2398"/>
      <c r="D66" s="1967">
        <v>2371</v>
      </c>
      <c r="E66" s="1977">
        <f>'Expenditures 15-22'!K328</f>
        <v>35197</v>
      </c>
      <c r="F66" s="1972"/>
      <c r="G66" s="2031"/>
      <c r="H66" s="2032"/>
      <c r="I66" s="2032"/>
      <c r="J66" s="2032"/>
      <c r="K66" s="2032"/>
      <c r="L66" s="2032"/>
      <c r="M66" s="2032">
        <v>35197</v>
      </c>
      <c r="N66" s="1975">
        <f t="shared" si="4"/>
        <v>35197</v>
      </c>
    </row>
    <row r="67" spans="1:14" ht="24.75" customHeight="1" x14ac:dyDescent="0.2">
      <c r="A67" s="2399" t="s">
        <v>2042</v>
      </c>
      <c r="B67" s="2400"/>
      <c r="C67" s="2400"/>
      <c r="D67" s="1969">
        <v>2372</v>
      </c>
      <c r="E67" s="1978">
        <f>'Expenditures 15-22'!K329</f>
        <v>0</v>
      </c>
      <c r="F67" s="1972"/>
      <c r="G67" s="2033"/>
      <c r="H67" s="2034"/>
      <c r="I67" s="2034"/>
      <c r="J67" s="2034"/>
      <c r="K67" s="2034"/>
      <c r="L67" s="2034"/>
      <c r="M67" s="2034"/>
      <c r="N67" s="1975">
        <f t="shared" si="4"/>
        <v>0</v>
      </c>
    </row>
    <row r="68" spans="1:14" x14ac:dyDescent="0.2">
      <c r="A68" s="2401" t="s">
        <v>1151</v>
      </c>
      <c r="B68" s="2402"/>
      <c r="C68" s="2402"/>
      <c r="D68" s="1970"/>
      <c r="E68" s="1974">
        <f>SUM(E57:E67)</f>
        <v>243070</v>
      </c>
      <c r="F68" s="1973"/>
      <c r="G68" s="1974">
        <f t="shared" ref="G68:N68" si="5">SUM(G57:G67)</f>
        <v>43061</v>
      </c>
      <c r="H68" s="1974">
        <f t="shared" si="5"/>
        <v>0</v>
      </c>
      <c r="I68" s="1974">
        <f t="shared" si="5"/>
        <v>0</v>
      </c>
      <c r="J68" s="1974">
        <f t="shared" si="5"/>
        <v>0</v>
      </c>
      <c r="K68" s="1974">
        <f t="shared" si="5"/>
        <v>0</v>
      </c>
      <c r="L68" s="1974">
        <f t="shared" si="5"/>
        <v>0</v>
      </c>
      <c r="M68" s="1974">
        <f t="shared" si="5"/>
        <v>200009</v>
      </c>
      <c r="N68" s="1988">
        <f t="shared" si="5"/>
        <v>243070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pageSetUpPr fitToPage="1"/>
  </sheetPr>
  <dimension ref="A1:O97"/>
  <sheetViews>
    <sheetView showGridLines="0" topLeftCell="A7" zoomScaleNormal="100" workbookViewId="0">
      <selection activeCell="F22" sqref="F2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59" t="s">
        <v>1363</v>
      </c>
      <c r="B1" s="2459"/>
      <c r="C1" s="2459"/>
      <c r="D1" s="2459"/>
      <c r="E1" s="2459"/>
      <c r="F1" s="245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60" t="s">
        <v>1529</v>
      </c>
      <c r="B5" s="2461"/>
      <c r="C5" s="2462"/>
      <c r="D5" s="2462"/>
      <c r="E5" s="2462"/>
      <c r="F5" s="2462"/>
      <c r="G5" s="1507"/>
      <c r="L5" s="1507"/>
      <c r="M5" s="1855"/>
      <c r="N5" s="1855"/>
      <c r="O5" s="1855"/>
    </row>
    <row r="6" spans="1:15" ht="12" customHeight="1" x14ac:dyDescent="0.25">
      <c r="A6" s="1480"/>
      <c r="B6" s="1481"/>
      <c r="C6" s="2463" t="str">
        <f>COVER!A17</f>
        <v xml:space="preserve"> Grayville CUSD 1</v>
      </c>
      <c r="D6" s="2463"/>
      <c r="E6" s="2463"/>
      <c r="F6" s="1482"/>
      <c r="G6" s="1507"/>
      <c r="L6" s="1507"/>
      <c r="M6" s="1855"/>
      <c r="N6" s="1855"/>
      <c r="O6" s="1855"/>
    </row>
    <row r="7" spans="1:15" ht="11.25" customHeight="1" thickBot="1" x14ac:dyDescent="0.3">
      <c r="A7" s="1480"/>
      <c r="B7" s="1481"/>
      <c r="C7" s="2464">
        <f>COVER!A13</f>
        <v>20097001026</v>
      </c>
      <c r="D7" s="2464"/>
      <c r="E7" s="246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2074</v>
      </c>
      <c r="D11" s="1495"/>
      <c r="E11" s="1496" t="s">
        <v>2075</v>
      </c>
      <c r="F11" s="1497" t="s">
        <v>2076</v>
      </c>
      <c r="G11" s="1507"/>
      <c r="H11" s="1507">
        <f>IF(C11="X",5,0)</f>
        <v>5</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2052</v>
      </c>
      <c r="D24" s="1495" t="s">
        <v>2052</v>
      </c>
      <c r="E24" s="1498" t="s">
        <v>2075</v>
      </c>
      <c r="F24" s="1497" t="s">
        <v>2076</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t="s">
        <v>2052</v>
      </c>
      <c r="E25" s="1498" t="s">
        <v>2075</v>
      </c>
      <c r="F25" s="1497" t="s">
        <v>2111</v>
      </c>
      <c r="G25" s="1507"/>
      <c r="H25" s="1507">
        <f t="shared" si="0"/>
        <v>0</v>
      </c>
      <c r="I25" s="1507">
        <f t="shared" si="1"/>
        <v>5</v>
      </c>
      <c r="J25" s="1507">
        <f t="shared" si="2"/>
        <v>0</v>
      </c>
      <c r="L25" s="1507"/>
      <c r="M25" s="1855"/>
      <c r="N25" s="1855"/>
      <c r="O25" s="1855"/>
    </row>
    <row r="26" spans="1:15" ht="12" customHeight="1" x14ac:dyDescent="0.2">
      <c r="A26" s="1493" t="s">
        <v>1517</v>
      </c>
      <c r="B26" s="1494"/>
      <c r="C26" s="1495" t="s">
        <v>2052</v>
      </c>
      <c r="D26" s="1495" t="s">
        <v>2052</v>
      </c>
      <c r="E26" s="1498" t="s">
        <v>2075</v>
      </c>
      <c r="F26" s="1497" t="s">
        <v>2077</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2052</v>
      </c>
      <c r="D31" s="1495" t="s">
        <v>2052</v>
      </c>
      <c r="E31" s="1498" t="s">
        <v>2075</v>
      </c>
      <c r="F31" s="1497" t="s">
        <v>2077</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2052</v>
      </c>
      <c r="D32" s="1495" t="s">
        <v>2052</v>
      </c>
      <c r="E32" s="1498" t="s">
        <v>2075</v>
      </c>
      <c r="F32" s="1497" t="s">
        <v>2078</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65"/>
      <c r="D35" s="2465"/>
      <c r="E35" s="2465"/>
      <c r="F35" s="2466"/>
    </row>
    <row r="36" spans="1:15" ht="12" customHeight="1" x14ac:dyDescent="0.2">
      <c r="A36" s="2448"/>
      <c r="B36" s="2449"/>
      <c r="C36" s="2449"/>
      <c r="D36" s="2449"/>
      <c r="E36" s="2449"/>
      <c r="F36" s="2450"/>
    </row>
    <row r="37" spans="1:15" ht="12" customHeight="1" x14ac:dyDescent="0.2">
      <c r="A37" s="2448"/>
      <c r="B37" s="2449"/>
      <c r="C37" s="2449"/>
      <c r="D37" s="2449"/>
      <c r="E37" s="2449"/>
      <c r="F37" s="2450"/>
    </row>
    <row r="38" spans="1:15" ht="12" customHeight="1" x14ac:dyDescent="0.2">
      <c r="A38" s="2451"/>
      <c r="B38" s="2452"/>
      <c r="C38" s="2452"/>
      <c r="D38" s="2452"/>
      <c r="E38" s="2452"/>
      <c r="F38" s="2453"/>
    </row>
    <row r="39" spans="1:15" ht="4.5" hidden="1" customHeight="1" x14ac:dyDescent="0.2">
      <c r="A39" s="1502"/>
      <c r="B39" s="1502"/>
      <c r="C39" s="1502"/>
      <c r="D39" s="1502"/>
      <c r="E39" s="1502"/>
      <c r="F39" s="1502"/>
    </row>
    <row r="40" spans="1:15" s="1499" customFormat="1" ht="12" customHeight="1" x14ac:dyDescent="0.25">
      <c r="A40" s="1503" t="s">
        <v>1375</v>
      </c>
      <c r="B40" s="1504"/>
      <c r="C40" s="2454"/>
      <c r="D40" s="2454"/>
      <c r="E40" s="2454"/>
      <c r="F40" s="2455"/>
      <c r="H40" s="1508"/>
      <c r="I40" s="1508"/>
      <c r="J40" s="1508"/>
      <c r="K40" s="1508"/>
    </row>
    <row r="41" spans="1:15" s="1499" customFormat="1" ht="12" customHeight="1" x14ac:dyDescent="0.25">
      <c r="A41" s="2456"/>
      <c r="B41" s="2457"/>
      <c r="C41" s="2457"/>
      <c r="D41" s="2457"/>
      <c r="E41" s="2457"/>
      <c r="F41" s="2458"/>
      <c r="H41" s="1508"/>
      <c r="I41" s="1508"/>
      <c r="J41" s="1508"/>
      <c r="K41" s="1508"/>
    </row>
    <row r="42" spans="1:15" s="1499" customFormat="1" ht="12" customHeight="1" x14ac:dyDescent="0.25">
      <c r="A42" s="2456"/>
      <c r="B42" s="2457"/>
      <c r="C42" s="2457"/>
      <c r="D42" s="2457"/>
      <c r="E42" s="2457"/>
      <c r="F42" s="2458"/>
      <c r="H42" s="1508"/>
      <c r="I42" s="1508"/>
      <c r="J42" s="1508"/>
      <c r="K42" s="1508"/>
    </row>
    <row r="43" spans="1:15" s="1499" customFormat="1" ht="15" x14ac:dyDescent="0.25">
      <c r="A43" s="2445"/>
      <c r="B43" s="2446"/>
      <c r="C43" s="2446"/>
      <c r="D43" s="2446"/>
      <c r="E43" s="2446"/>
      <c r="F43" s="2447"/>
      <c r="H43" s="1508"/>
      <c r="I43" s="1508"/>
      <c r="J43" s="1508"/>
      <c r="K43" s="1508"/>
    </row>
    <row r="44" spans="1:15" s="1499" customFormat="1" ht="12" hidden="1" customHeight="1" x14ac:dyDescent="0.25">
      <c r="A44" s="2445"/>
      <c r="B44" s="2446"/>
      <c r="C44" s="2446"/>
      <c r="D44" s="2446"/>
      <c r="E44" s="2446"/>
      <c r="F44" s="244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sheetPr>
  <dimension ref="A2:C65"/>
  <sheetViews>
    <sheetView showGridLines="0" topLeftCell="A10" zoomScaleNormal="100" workbookViewId="0">
      <selection activeCell="F22" sqref="F22"/>
    </sheetView>
  </sheetViews>
  <sheetFormatPr defaultRowHeight="12.75" x14ac:dyDescent="0.2"/>
  <cols>
    <col min="1" max="1" width="3.42578125" style="307" customWidth="1"/>
    <col min="2" max="2" width="67.5703125" style="307" customWidth="1"/>
    <col min="3" max="7" width="9.140625" style="307"/>
    <col min="8" max="8" width="9.85546875" style="307" customWidth="1"/>
    <col min="9" max="16384" width="9.140625" style="307"/>
  </cols>
  <sheetData>
    <row r="2" spans="1:3" x14ac:dyDescent="0.2">
      <c r="A2" s="366" t="s">
        <v>256</v>
      </c>
    </row>
    <row r="3" spans="1:3" x14ac:dyDescent="0.2">
      <c r="A3" s="307" t="s">
        <v>257</v>
      </c>
    </row>
    <row r="5" spans="1:3" x14ac:dyDescent="0.2">
      <c r="A5" s="847">
        <v>1</v>
      </c>
      <c r="B5" s="307" t="s">
        <v>2109</v>
      </c>
      <c r="C5" s="307" t="s">
        <v>2110</v>
      </c>
    </row>
    <row r="6" spans="1:3" x14ac:dyDescent="0.2">
      <c r="A6" s="847"/>
    </row>
    <row r="7" spans="1:3" x14ac:dyDescent="0.2">
      <c r="A7" s="847">
        <v>2</v>
      </c>
      <c r="B7" s="307" t="s">
        <v>2086</v>
      </c>
      <c r="C7" s="307" t="s">
        <v>2080</v>
      </c>
    </row>
    <row r="8" spans="1:3" x14ac:dyDescent="0.2">
      <c r="A8" s="847"/>
    </row>
    <row r="9" spans="1:3" x14ac:dyDescent="0.2">
      <c r="A9" s="848">
        <v>3</v>
      </c>
      <c r="B9" s="307" t="s">
        <v>2081</v>
      </c>
      <c r="C9" s="307" t="s">
        <v>2082</v>
      </c>
    </row>
    <row r="10" spans="1:3" x14ac:dyDescent="0.2">
      <c r="A10" s="848"/>
    </row>
    <row r="11" spans="1:3" x14ac:dyDescent="0.2">
      <c r="A11" s="848">
        <v>4</v>
      </c>
      <c r="B11" s="307" t="s">
        <v>2083</v>
      </c>
      <c r="C11" s="307" t="s">
        <v>2084</v>
      </c>
    </row>
    <row r="12" spans="1:3" x14ac:dyDescent="0.2">
      <c r="A12" s="848"/>
    </row>
    <row r="13" spans="1:3" x14ac:dyDescent="0.2">
      <c r="A13" s="848">
        <v>5</v>
      </c>
      <c r="B13" s="307" t="s">
        <v>2085</v>
      </c>
      <c r="C13" s="307" t="s">
        <v>2087</v>
      </c>
    </row>
    <row r="14" spans="1:3" x14ac:dyDescent="0.2">
      <c r="C14" s="307" t="s">
        <v>2088</v>
      </c>
    </row>
    <row r="15" spans="1:3" x14ac:dyDescent="0.2">
      <c r="A15" s="848"/>
    </row>
    <row r="16" spans="1:3" x14ac:dyDescent="0.2">
      <c r="A16" s="848">
        <v>6</v>
      </c>
      <c r="B16" s="307" t="s">
        <v>2089</v>
      </c>
      <c r="C16" s="307" t="s">
        <v>2090</v>
      </c>
    </row>
    <row r="17" spans="1:3" x14ac:dyDescent="0.2">
      <c r="A17" s="848"/>
    </row>
    <row r="18" spans="1:3" x14ac:dyDescent="0.2">
      <c r="A18" s="848">
        <v>7</v>
      </c>
      <c r="B18" s="307" t="s">
        <v>2091</v>
      </c>
      <c r="C18" s="307" t="s">
        <v>2092</v>
      </c>
    </row>
    <row r="19" spans="1:3" x14ac:dyDescent="0.2">
      <c r="A19" s="848"/>
    </row>
    <row r="20" spans="1:3" x14ac:dyDescent="0.2">
      <c r="A20" s="848">
        <v>8</v>
      </c>
      <c r="B20" s="307" t="s">
        <v>2093</v>
      </c>
      <c r="C20" s="307" t="s">
        <v>2094</v>
      </c>
    </row>
    <row r="21" spans="1:3" x14ac:dyDescent="0.2">
      <c r="A21" s="848"/>
    </row>
    <row r="22" spans="1:3" x14ac:dyDescent="0.2">
      <c r="A22" s="848">
        <v>9</v>
      </c>
      <c r="B22" s="307" t="s">
        <v>2095</v>
      </c>
      <c r="C22" s="307" t="s">
        <v>2096</v>
      </c>
    </row>
    <row r="23" spans="1:3" x14ac:dyDescent="0.2">
      <c r="C23" s="307" t="s">
        <v>2097</v>
      </c>
    </row>
    <row r="24" spans="1:3" x14ac:dyDescent="0.2">
      <c r="A24" s="848"/>
    </row>
    <row r="25" spans="1:3" x14ac:dyDescent="0.2">
      <c r="A25" s="848">
        <v>10</v>
      </c>
      <c r="B25" s="307" t="s">
        <v>2098</v>
      </c>
      <c r="C25" s="307" t="s">
        <v>2099</v>
      </c>
    </row>
    <row r="26" spans="1:3" x14ac:dyDescent="0.2">
      <c r="A26" s="848"/>
    </row>
    <row r="27" spans="1:3" x14ac:dyDescent="0.2">
      <c r="A27" s="848">
        <v>11</v>
      </c>
      <c r="B27" s="307" t="s">
        <v>2100</v>
      </c>
      <c r="C27" s="307" t="s">
        <v>2101</v>
      </c>
    </row>
    <row r="28" spans="1:3" x14ac:dyDescent="0.2">
      <c r="A28" s="848"/>
    </row>
    <row r="29" spans="1:3" x14ac:dyDescent="0.2">
      <c r="A29" s="848">
        <v>12</v>
      </c>
      <c r="B29" s="541" t="s">
        <v>2102</v>
      </c>
      <c r="C29" s="307" t="s">
        <v>2104</v>
      </c>
    </row>
    <row r="30" spans="1:3" x14ac:dyDescent="0.2">
      <c r="A30" s="848"/>
      <c r="B30" s="307" t="s">
        <v>2103</v>
      </c>
    </row>
    <row r="31" spans="1:3" x14ac:dyDescent="0.2">
      <c r="A31" s="848"/>
    </row>
    <row r="32" spans="1:3" x14ac:dyDescent="0.2">
      <c r="A32" s="848">
        <v>13</v>
      </c>
      <c r="B32" s="541" t="s">
        <v>2105</v>
      </c>
      <c r="C32" s="307" t="s">
        <v>2107</v>
      </c>
    </row>
    <row r="33" spans="1:3" x14ac:dyDescent="0.2">
      <c r="B33" s="307" t="s">
        <v>2106</v>
      </c>
      <c r="C33" s="307" t="s">
        <v>2108</v>
      </c>
    </row>
    <row r="34" spans="1:3" x14ac:dyDescent="0.2">
      <c r="A34" s="848"/>
    </row>
    <row r="37" spans="1:3" x14ac:dyDescent="0.2">
      <c r="A37" s="848"/>
    </row>
    <row r="38" spans="1:3" x14ac:dyDescent="0.2">
      <c r="A38" s="848"/>
    </row>
    <row r="39" spans="1:3" x14ac:dyDescent="0.2">
      <c r="A39" s="848"/>
    </row>
    <row r="40" spans="1:3" x14ac:dyDescent="0.2">
      <c r="A40" s="848"/>
    </row>
    <row r="41" spans="1:3" x14ac:dyDescent="0.2">
      <c r="A41" s="848"/>
    </row>
    <row r="42" spans="1:3" x14ac:dyDescent="0.2">
      <c r="A42" s="848"/>
    </row>
    <row r="43" spans="1:3" x14ac:dyDescent="0.2">
      <c r="A43" s="848"/>
    </row>
    <row r="44" spans="1:3" x14ac:dyDescent="0.2">
      <c r="A44" s="848"/>
    </row>
    <row r="45" spans="1:3" x14ac:dyDescent="0.2">
      <c r="A45" s="848"/>
    </row>
    <row r="46" spans="1:3" x14ac:dyDescent="0.2">
      <c r="A46" s="848"/>
    </row>
    <row r="47" spans="1:3" x14ac:dyDescent="0.2">
      <c r="A47" s="848"/>
    </row>
    <row r="48" spans="1:3"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Grayville CUSD 1</v>
      </c>
    </row>
    <row r="65" spans="2:2" x14ac:dyDescent="0.2">
      <c r="B65" s="849">
        <f>COVER!A13</f>
        <v>20097001026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I84"/>
  <sheetViews>
    <sheetView showGridLines="0" zoomScaleNormal="100" workbookViewId="0">
      <selection activeCell="F22" sqref="F2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7030A0"/>
  </sheetPr>
  <dimension ref="A1:D19"/>
  <sheetViews>
    <sheetView showGridLines="0" defaultGridColor="0" colorId="8" zoomScaleNormal="100" workbookViewId="0">
      <selection activeCell="F22" sqref="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7030A0"/>
  </sheetPr>
  <dimension ref="A11:F18"/>
  <sheetViews>
    <sheetView showGridLines="0" zoomScaleNormal="100" workbookViewId="0">
      <selection activeCell="F22" sqref="F2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57150</xdr:colOff>
                <xdr:row>1</xdr:row>
                <xdr:rowOff>47625</xdr:rowOff>
              </from>
              <to>
                <xdr:col>1</xdr:col>
                <xdr:colOff>971550</xdr:colOff>
                <xdr:row>6</xdr:row>
                <xdr:rowOff>9525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7030A0"/>
    <pageSetUpPr fitToPage="1"/>
  </sheetPr>
  <dimension ref="A1:H48"/>
  <sheetViews>
    <sheetView showGridLines="0" showZeros="0" zoomScaleNormal="100" workbookViewId="0">
      <selection activeCell="F22" sqref="F2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2786409</v>
      </c>
      <c r="C8" s="1813">
        <f>'Acct Summary 7-8'!D8</f>
        <v>198433</v>
      </c>
      <c r="D8" s="1813">
        <f>'Acct Summary 7-8'!F8</f>
        <v>165610</v>
      </c>
      <c r="E8" s="1813">
        <f>'Acct Summary 7-8'!I8</f>
        <v>12163</v>
      </c>
      <c r="F8" s="1813">
        <f>SUM(B8:E8)</f>
        <v>3162615</v>
      </c>
    </row>
    <row r="9" spans="1:8" s="858" customFormat="1" ht="14.25" customHeight="1" thickBot="1" x14ac:dyDescent="0.25">
      <c r="A9" s="857" t="s">
        <v>1353</v>
      </c>
      <c r="B9" s="1814">
        <f>'Acct Summary 7-8'!C17</f>
        <v>2542720</v>
      </c>
      <c r="C9" s="1814">
        <f>'Acct Summary 7-8'!D17</f>
        <v>172152</v>
      </c>
      <c r="D9" s="1814">
        <f>'Acct Summary 7-8'!F17</f>
        <v>191449</v>
      </c>
      <c r="E9" s="1813"/>
      <c r="F9" s="1813">
        <f>SUM(B9:E9)</f>
        <v>2906321</v>
      </c>
    </row>
    <row r="10" spans="1:8" s="858" customFormat="1" ht="14.25" thickTop="1" thickBot="1" x14ac:dyDescent="0.25">
      <c r="A10" s="859" t="s">
        <v>1354</v>
      </c>
      <c r="B10" s="1815">
        <f>(B8-B9)</f>
        <v>243689</v>
      </c>
      <c r="C10" s="1815">
        <f>(C8-C9)</f>
        <v>26281</v>
      </c>
      <c r="D10" s="1815">
        <f>(D8-D9)</f>
        <v>-25839</v>
      </c>
      <c r="E10" s="1814">
        <f>(E8-E9)</f>
        <v>12163</v>
      </c>
      <c r="F10" s="1816">
        <f>SUM(F8-F9)</f>
        <v>256294</v>
      </c>
    </row>
    <row r="11" spans="1:8" s="858" customFormat="1" ht="14.25" thickTop="1" thickBot="1" x14ac:dyDescent="0.25">
      <c r="A11" s="860" t="s">
        <v>1903</v>
      </c>
      <c r="B11" s="1817">
        <f>'Acct Summary 7-8'!C81</f>
        <v>1279860</v>
      </c>
      <c r="C11" s="1817">
        <f>'Acct Summary 7-8'!D81</f>
        <v>169187</v>
      </c>
      <c r="D11" s="1817">
        <f>'Acct Summary 7-8'!F81</f>
        <v>82255</v>
      </c>
      <c r="E11" s="1817">
        <f>'Acct Summary 7-8'!I81</f>
        <v>117474</v>
      </c>
      <c r="F11" s="1818">
        <f>SUM(B11:E11)</f>
        <v>1648776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Normal="100" workbookViewId="0">
      <selection activeCell="F22" sqref="F2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20097001026</v>
      </c>
      <c r="E2" s="1542">
        <v>2020</v>
      </c>
      <c r="F2" s="1542">
        <v>1</v>
      </c>
      <c r="G2" s="1899">
        <v>101000300</v>
      </c>
    </row>
    <row r="3" spans="1:7" ht="15" x14ac:dyDescent="0.25">
      <c r="A3" t="s">
        <v>950</v>
      </c>
      <c r="B3" s="135" t="str">
        <f>COVER!A15</f>
        <v>White</v>
      </c>
      <c r="E3" s="1830" t="s">
        <v>1971</v>
      </c>
      <c r="F3" s="1830" t="s">
        <v>1970</v>
      </c>
      <c r="G3" s="1899">
        <v>101000400</v>
      </c>
    </row>
    <row r="4" spans="1:7" ht="15" x14ac:dyDescent="0.25">
      <c r="A4" t="s">
        <v>1000</v>
      </c>
      <c r="B4" s="135" t="str">
        <f>COVER!A17</f>
        <v xml:space="preserve"> Grayville CUSD 1</v>
      </c>
      <c r="E4" s="1828">
        <v>44119</v>
      </c>
      <c r="F4" s="1829">
        <v>44151</v>
      </c>
      <c r="G4" s="1899">
        <v>101000600</v>
      </c>
    </row>
    <row r="5" spans="1:7" ht="15" x14ac:dyDescent="0.25">
      <c r="A5" t="s">
        <v>699</v>
      </c>
      <c r="B5" s="135" t="str">
        <f>COVER!A38</f>
        <v>Julie Harrelson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066-003657</v>
      </c>
      <c r="G15" s="1899">
        <v>402100400</v>
      </c>
    </row>
    <row r="16" spans="1:7" ht="15" x14ac:dyDescent="0.25">
      <c r="A16" t="s">
        <v>419</v>
      </c>
      <c r="B16" s="135" t="str">
        <f>COVER!T13</f>
        <v>Botsch &amp; Associates, CPAs, LLC</v>
      </c>
      <c r="G16" s="1899">
        <v>402100600</v>
      </c>
    </row>
    <row r="17" spans="1:7" ht="15" x14ac:dyDescent="0.25">
      <c r="A17" t="s">
        <v>878</v>
      </c>
      <c r="B17" s="135" t="str">
        <f>COVER!T15</f>
        <v>Arlynne Stroman, CPA</v>
      </c>
      <c r="G17" s="1899">
        <v>402100800</v>
      </c>
    </row>
    <row r="18" spans="1:7" ht="15" x14ac:dyDescent="0.25">
      <c r="A18" t="s">
        <v>1140</v>
      </c>
      <c r="B18" s="135" t="str">
        <f>COVER!T17</f>
        <v>113 East Main Street</v>
      </c>
      <c r="G18" s="1899">
        <v>102200300</v>
      </c>
    </row>
    <row r="19" spans="1:7" ht="15" x14ac:dyDescent="0.25">
      <c r="A19" t="s">
        <v>880</v>
      </c>
      <c r="B19" s="135" t="str">
        <f>COVER!T25</f>
        <v>arlynne.stroman@botsch.com</v>
      </c>
      <c r="G19" s="1899">
        <v>102200400</v>
      </c>
    </row>
    <row r="20" spans="1:7" ht="15" x14ac:dyDescent="0.25">
      <c r="A20" t="s">
        <v>881</v>
      </c>
      <c r="B20" s="135" t="str">
        <f>COVER!T19</f>
        <v>Carmi</v>
      </c>
      <c r="G20" s="1899">
        <v>102200600</v>
      </c>
    </row>
    <row r="21" spans="1:7" ht="15" x14ac:dyDescent="0.25">
      <c r="A21" t="s">
        <v>476</v>
      </c>
      <c r="B21" s="135" t="str">
        <f>COVER!X19</f>
        <v>IL</v>
      </c>
      <c r="G21" s="1899">
        <v>102200800</v>
      </c>
    </row>
    <row r="22" spans="1:7" ht="15" x14ac:dyDescent="0.25">
      <c r="A22" t="s">
        <v>882</v>
      </c>
      <c r="B22" s="135">
        <f>COVER!Z19</f>
        <v>62821</v>
      </c>
      <c r="G22" s="1899">
        <v>102300300</v>
      </c>
    </row>
    <row r="23" spans="1:7" ht="15" x14ac:dyDescent="0.25">
      <c r="A23" t="s">
        <v>1142</v>
      </c>
      <c r="B23" s="135" t="str">
        <f>COVER!T21</f>
        <v>618-382-4151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866211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20050</v>
      </c>
      <c r="D76" s="2" t="str">
        <f t="shared" si="0"/>
        <v>Error?</v>
      </c>
      <c r="G76" s="1899">
        <v>102570600</v>
      </c>
    </row>
    <row r="77" spans="1:7" ht="15" x14ac:dyDescent="0.25">
      <c r="A77" s="5">
        <v>16</v>
      </c>
      <c r="B77" s="1832">
        <f>'Assets-Liab 5-6'!C13</f>
        <v>1280974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1114</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1114</v>
      </c>
      <c r="C91" s="2" t="s">
        <v>569</v>
      </c>
      <c r="D91" s="2" t="str">
        <f t="shared" si="0"/>
        <v>Error?</v>
      </c>
      <c r="G91" s="1899">
        <v>102640400</v>
      </c>
    </row>
    <row r="92" spans="1:7" ht="15" x14ac:dyDescent="0.25">
      <c r="A92" s="5">
        <v>31</v>
      </c>
      <c r="B92" s="1832">
        <f>'Assets-Liab 5-6'!C39</f>
        <v>1279860</v>
      </c>
      <c r="D92" s="2" t="str">
        <f t="shared" si="0"/>
        <v>Error?</v>
      </c>
      <c r="G92" s="1899">
        <v>102640600</v>
      </c>
    </row>
    <row r="93" spans="1:7" ht="15" x14ac:dyDescent="0.25">
      <c r="A93" s="5">
        <v>32</v>
      </c>
      <c r="B93" s="1832">
        <f>'Assets-Liab 5-6'!C41</f>
        <v>1280974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106551</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169228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41</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41</v>
      </c>
      <c r="C122" s="2" t="s">
        <v>569</v>
      </c>
      <c r="D122" s="2" t="str">
        <f t="shared" si="0"/>
        <v>Error?</v>
      </c>
      <c r="G122" s="1899">
        <v>203000300</v>
      </c>
    </row>
    <row r="123" spans="1:7" ht="15" x14ac:dyDescent="0.25">
      <c r="A123" s="5">
        <v>62</v>
      </c>
      <c r="B123" s="1832">
        <f>'Assets-Liab 5-6'!D39</f>
        <v>169187</v>
      </c>
      <c r="D123" s="2" t="str">
        <f t="shared" si="0"/>
        <v>Error?</v>
      </c>
      <c r="G123" s="1899">
        <v>203000400</v>
      </c>
    </row>
    <row r="124" spans="1:7" ht="15" x14ac:dyDescent="0.25">
      <c r="A124" s="5">
        <v>63</v>
      </c>
      <c r="B124" s="1832">
        <f>'Assets-Liab 5-6'!D41</f>
        <v>169228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18231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18231</v>
      </c>
      <c r="D140" s="2" t="str">
        <f t="shared" si="1"/>
        <v>Error?</v>
      </c>
    </row>
    <row r="141" spans="1:7" x14ac:dyDescent="0.2">
      <c r="A141" s="5">
        <v>80</v>
      </c>
      <c r="B141" s="1832">
        <f>'Assets-Liab 5-6'!E41</f>
        <v>18231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35608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82258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3</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v>
      </c>
      <c r="C169" s="2" t="s">
        <v>569</v>
      </c>
      <c r="D169" s="2" t="str">
        <f t="shared" si="1"/>
        <v>Error?</v>
      </c>
    </row>
    <row r="170" spans="1:4" x14ac:dyDescent="0.2">
      <c r="A170" s="5">
        <v>109</v>
      </c>
      <c r="B170" s="1832">
        <f>'Assets-Liab 5-6'!F39</f>
        <v>82255</v>
      </c>
      <c r="D170" s="2" t="str">
        <f t="shared" si="1"/>
        <v>Error?</v>
      </c>
    </row>
    <row r="171" spans="1:4" x14ac:dyDescent="0.2">
      <c r="A171" s="5">
        <v>110</v>
      </c>
      <c r="B171" s="1832">
        <f>'Assets-Liab 5-6'!F41</f>
        <v>82258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104035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113020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113020</v>
      </c>
      <c r="D189" s="2" t="str">
        <f t="shared" si="1"/>
        <v>Error?</v>
      </c>
    </row>
    <row r="190" spans="1:4" x14ac:dyDescent="0.2">
      <c r="A190" s="5">
        <v>129</v>
      </c>
      <c r="B190" s="1832">
        <f>'Assets-Liab 5-6'!G41</f>
        <v>113020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104035</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344478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344478</v>
      </c>
      <c r="D212" s="2" t="str">
        <f t="shared" si="2"/>
        <v>Error?</v>
      </c>
    </row>
    <row r="213" spans="1:4" x14ac:dyDescent="0.2">
      <c r="A213" s="12">
        <v>152</v>
      </c>
      <c r="B213" s="1832">
        <f>'Assets-Liab 5-6'!H41</f>
        <v>344478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33009</v>
      </c>
      <c r="D273" s="2" t="str">
        <f t="shared" si="3"/>
        <v>Error?</v>
      </c>
    </row>
    <row r="274" spans="1:4" x14ac:dyDescent="0.2">
      <c r="A274" s="5">
        <v>213</v>
      </c>
      <c r="B274" s="1832">
        <f>'Assets-Liab 5-6'!M17</f>
        <v>2853554</v>
      </c>
      <c r="D274" s="2" t="str">
        <f t="shared" si="3"/>
        <v>Error?</v>
      </c>
    </row>
    <row r="275" spans="1:4" x14ac:dyDescent="0.2">
      <c r="A275" s="5">
        <v>214</v>
      </c>
      <c r="B275" s="1832">
        <f>'Assets-Liab 5-6'!M18</f>
        <v>24332</v>
      </c>
      <c r="D275" s="2" t="str">
        <f t="shared" si="3"/>
        <v>Error?</v>
      </c>
    </row>
    <row r="276" spans="1:4" x14ac:dyDescent="0.2">
      <c r="A276" s="5">
        <v>215</v>
      </c>
      <c r="B276" s="1832">
        <f>'Assets-Liab 5-6'!M19</f>
        <v>107627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3018522</v>
      </c>
      <c r="C279" s="2" t="s">
        <v>569</v>
      </c>
      <c r="D279" s="2" t="str">
        <f t="shared" si="3"/>
        <v>Error?</v>
      </c>
    </row>
    <row r="280" spans="1:4" x14ac:dyDescent="0.2">
      <c r="A280" s="5">
        <v>219</v>
      </c>
      <c r="B280" s="1832">
        <f>'Assets-Liab 5-6'!M40</f>
        <v>3018522</v>
      </c>
      <c r="D280" s="2" t="str">
        <f t="shared" si="3"/>
        <v>Error?</v>
      </c>
    </row>
    <row r="281" spans="1:4" x14ac:dyDescent="0.2">
      <c r="A281" s="5">
        <v>220</v>
      </c>
      <c r="B281" s="1832">
        <f>'Assets-Liab 5-6'!M41</f>
        <v>3018522</v>
      </c>
      <c r="C281" s="2" t="s">
        <v>569</v>
      </c>
      <c r="D281" s="2" t="str">
        <f t="shared" si="3"/>
        <v>Error?</v>
      </c>
    </row>
    <row r="282" spans="1:4" x14ac:dyDescent="0.2">
      <c r="A282" s="5">
        <v>221</v>
      </c>
      <c r="B282" s="1832">
        <f>'Assets-Liab 5-6'!N21</f>
        <v>18231</v>
      </c>
      <c r="D282" s="2" t="str">
        <f t="shared" si="3"/>
        <v>Error?</v>
      </c>
    </row>
    <row r="283" spans="1:4" x14ac:dyDescent="0.2">
      <c r="A283" s="5">
        <v>222</v>
      </c>
      <c r="B283" s="1832">
        <f>'Assets-Liab 5-6'!N22</f>
        <v>779999</v>
      </c>
      <c r="D283" s="2" t="str">
        <f t="shared" si="3"/>
        <v>Error?</v>
      </c>
    </row>
    <row r="284" spans="1:4" x14ac:dyDescent="0.2">
      <c r="A284" s="5">
        <v>223</v>
      </c>
      <c r="B284" s="1832">
        <f>'Assets-Liab 5-6'!N23</f>
        <v>798230</v>
      </c>
      <c r="C284" s="2" t="s">
        <v>569</v>
      </c>
      <c r="D284" s="2" t="str">
        <f t="shared" si="3"/>
        <v>Error?</v>
      </c>
    </row>
    <row r="285" spans="1:4" x14ac:dyDescent="0.2">
      <c r="A285" s="5">
        <v>224</v>
      </c>
      <c r="B285" s="1832">
        <f>'Assets-Liab 5-6'!N36</f>
        <v>798230</v>
      </c>
      <c r="D285" s="2" t="str">
        <f t="shared" si="3"/>
        <v>Error?</v>
      </c>
    </row>
    <row r="286" spans="1:4" x14ac:dyDescent="0.2">
      <c r="A286" s="10">
        <v>225</v>
      </c>
      <c r="B286" s="1832"/>
      <c r="D286" s="2" t="str">
        <f t="shared" si="3"/>
        <v>OK</v>
      </c>
    </row>
    <row r="287" spans="1:4" x14ac:dyDescent="0.2">
      <c r="A287" s="5">
        <v>226</v>
      </c>
      <c r="B287" s="1832">
        <f>'Assets-Liab 5-6'!N37</f>
        <v>798230</v>
      </c>
      <c r="C287" s="2" t="s">
        <v>569</v>
      </c>
      <c r="D287" s="2" t="str">
        <f t="shared" si="3"/>
        <v>Error?</v>
      </c>
    </row>
    <row r="288" spans="1:4" x14ac:dyDescent="0.2">
      <c r="A288" s="5">
        <v>227</v>
      </c>
      <c r="B288" s="1832">
        <f>'Assets-Liab 5-6'!N41</f>
        <v>798230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807887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43839</v>
      </c>
      <c r="D717" s="2" t="str">
        <f t="shared" si="10"/>
        <v>Error?</v>
      </c>
    </row>
    <row r="718" spans="1:4" x14ac:dyDescent="0.2">
      <c r="A718" s="5">
        <v>657</v>
      </c>
      <c r="B718" s="1832">
        <f>'Expenditures 15-22'!C14</f>
        <v>75674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1356005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72441</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10975</v>
      </c>
      <c r="D726" s="2" t="str">
        <f t="shared" si="10"/>
        <v>Error?</v>
      </c>
    </row>
    <row r="727" spans="1:4" x14ac:dyDescent="0.2">
      <c r="A727" s="5">
        <v>666</v>
      </c>
      <c r="B727" s="1832">
        <f>'Expenditures 15-22'!C42</f>
        <v>83416</v>
      </c>
      <c r="C727" s="2" t="s">
        <v>569</v>
      </c>
      <c r="D727" s="2" t="str">
        <f t="shared" si="10"/>
        <v>Error?</v>
      </c>
    </row>
    <row r="728" spans="1:4" x14ac:dyDescent="0.2">
      <c r="A728" s="5">
        <v>667</v>
      </c>
      <c r="B728" s="1832">
        <f>'Expenditures 15-22'!C44</f>
        <v>30213</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30213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25443</v>
      </c>
      <c r="D733" s="2" t="str">
        <f t="shared" si="10"/>
        <v>Error?</v>
      </c>
    </row>
    <row r="734" spans="1:4" x14ac:dyDescent="0.2">
      <c r="A734" s="5">
        <v>673</v>
      </c>
      <c r="B734" s="1832">
        <f>'Expenditures 15-22'!C53</f>
        <v>25443</v>
      </c>
      <c r="C734" s="2" t="s">
        <v>569</v>
      </c>
      <c r="D734" s="2" t="str">
        <f t="shared" si="10"/>
        <v>Error?</v>
      </c>
    </row>
    <row r="735" spans="1:4" x14ac:dyDescent="0.2">
      <c r="A735" s="5">
        <v>674</v>
      </c>
      <c r="B735" s="1832">
        <f>'Expenditures 15-22'!C55</f>
        <v>210646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210646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53115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53560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106675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456393</v>
      </c>
      <c r="C755" s="2" t="s">
        <v>569</v>
      </c>
      <c r="D755" s="2" t="str">
        <f t="shared" si="10"/>
        <v>Error?</v>
      </c>
    </row>
    <row r="756" spans="1:4" x14ac:dyDescent="0.2">
      <c r="A756" s="5">
        <v>695</v>
      </c>
      <c r="B756" s="1832">
        <f>'Expenditures 15-22'!C75</f>
        <v>31158</v>
      </c>
      <c r="D756" s="2" t="str">
        <f t="shared" si="10"/>
        <v>Error?</v>
      </c>
    </row>
    <row r="757" spans="1:4" x14ac:dyDescent="0.2">
      <c r="A757" s="5">
        <v>696</v>
      </c>
      <c r="B757" s="1832">
        <f>'Expenditures 15-22'!C114</f>
        <v>1843556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79973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608</v>
      </c>
      <c r="D775" s="2" t="str">
        <f t="shared" si="11"/>
        <v>Error?</v>
      </c>
    </row>
    <row r="776" spans="1:4" x14ac:dyDescent="0.2">
      <c r="A776" s="5">
        <v>715</v>
      </c>
      <c r="B776" s="1832">
        <f>'Expenditures 15-22'!D14</f>
        <v>874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122750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1022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563</v>
      </c>
      <c r="D784" s="2" t="str">
        <f t="shared" si="11"/>
        <v>Error?</v>
      </c>
    </row>
    <row r="785" spans="1:4" x14ac:dyDescent="0.2">
      <c r="A785" s="5">
        <v>724</v>
      </c>
      <c r="B785" s="1832">
        <f>'Expenditures 15-22'!D42</f>
        <v>1585</v>
      </c>
      <c r="C785" s="2" t="s">
        <v>569</v>
      </c>
      <c r="D785" s="2" t="str">
        <f t="shared" si="11"/>
        <v>Error?</v>
      </c>
    </row>
    <row r="786" spans="1:4" x14ac:dyDescent="0.2">
      <c r="A786" s="5">
        <v>725</v>
      </c>
      <c r="B786" s="1832">
        <f>'Expenditures 15-22'!D44</f>
        <v>1550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1550</v>
      </c>
      <c r="C789" s="2" t="s">
        <v>569</v>
      </c>
      <c r="D789" s="2" t="str">
        <f t="shared" si="11"/>
        <v>Error?</v>
      </c>
    </row>
    <row r="790" spans="1:4" x14ac:dyDescent="0.2">
      <c r="A790" s="5">
        <v>729</v>
      </c>
      <c r="B790" s="1832">
        <f>'Expenditures 15-22'!D49</f>
        <v>2038</v>
      </c>
      <c r="D790" s="2" t="str">
        <f t="shared" si="11"/>
        <v>Error?</v>
      </c>
    </row>
    <row r="791" spans="1:4" x14ac:dyDescent="0.2">
      <c r="A791" s="5">
        <v>730</v>
      </c>
      <c r="B791" s="1832">
        <f>'Expenditures 15-22'!D50</f>
        <v>697</v>
      </c>
      <c r="D791" s="2" t="str">
        <f t="shared" si="11"/>
        <v>Error?</v>
      </c>
    </row>
    <row r="792" spans="1:4" x14ac:dyDescent="0.2">
      <c r="A792" s="5">
        <v>731</v>
      </c>
      <c r="B792" s="1832">
        <f>'Expenditures 15-22'!D53</f>
        <v>2735</v>
      </c>
      <c r="C792" s="2" t="s">
        <v>569</v>
      </c>
      <c r="D792" s="2" t="str">
        <f t="shared" si="11"/>
        <v>Error?</v>
      </c>
    </row>
    <row r="793" spans="1:4" x14ac:dyDescent="0.2">
      <c r="A793" s="5">
        <v>732</v>
      </c>
      <c r="B793" s="1832">
        <f>'Expenditures 15-22'!D55</f>
        <v>15669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15669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7285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6483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13768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35307</v>
      </c>
      <c r="C813" s="2" t="s">
        <v>569</v>
      </c>
      <c r="D813" s="2" t="str">
        <f t="shared" si="11"/>
        <v>Error?</v>
      </c>
    </row>
    <row r="814" spans="1:4" x14ac:dyDescent="0.2">
      <c r="A814" s="5">
        <v>753</v>
      </c>
      <c r="B814" s="1832">
        <f>'Expenditures 15-22'!D75</f>
        <v>6304</v>
      </c>
      <c r="D814" s="2" t="str">
        <f t="shared" si="11"/>
        <v>Error?</v>
      </c>
    </row>
    <row r="815" spans="1:4" x14ac:dyDescent="0.2">
      <c r="A815" s="5">
        <v>754</v>
      </c>
      <c r="B815" s="1832">
        <f>'Expenditures 15-22'!D114</f>
        <v>164361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62684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180</v>
      </c>
      <c r="D833" s="2" t="str">
        <f t="shared" si="12"/>
        <v>Error?</v>
      </c>
    </row>
    <row r="834" spans="1:4" x14ac:dyDescent="0.2">
      <c r="A834" s="5">
        <v>773</v>
      </c>
      <c r="B834" s="1832">
        <f>'Expenditures 15-22'!E14</f>
        <v>7420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77374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910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910</v>
      </c>
      <c r="C843" s="2" t="s">
        <v>569</v>
      </c>
      <c r="D843" s="2" t="str">
        <f t="shared" si="12"/>
        <v>Error?</v>
      </c>
    </row>
    <row r="844" spans="1:4" x14ac:dyDescent="0.2">
      <c r="A844" s="5">
        <v>783</v>
      </c>
      <c r="B844" s="1832">
        <f>'Expenditures 15-22'!E44</f>
        <v>8264</v>
      </c>
      <c r="D844" s="2" t="str">
        <f t="shared" si="12"/>
        <v>Error?</v>
      </c>
    </row>
    <row r="845" spans="1:4" x14ac:dyDescent="0.2">
      <c r="A845" s="5">
        <v>784</v>
      </c>
      <c r="B845" s="1832">
        <f>'Expenditures 15-22'!E45</f>
        <v>780</v>
      </c>
      <c r="D845" s="2" t="str">
        <f t="shared" si="12"/>
        <v>Error?</v>
      </c>
    </row>
    <row r="846" spans="1:4" x14ac:dyDescent="0.2">
      <c r="A846" s="5">
        <v>785</v>
      </c>
      <c r="B846" s="1832">
        <f>'Expenditures 15-22'!E46</f>
        <v>6500</v>
      </c>
      <c r="D846" s="2" t="str">
        <f t="shared" si="12"/>
        <v>Error?</v>
      </c>
    </row>
    <row r="847" spans="1:4" x14ac:dyDescent="0.2">
      <c r="A847" s="5">
        <v>786</v>
      </c>
      <c r="B847" s="1832">
        <f>'Expenditures 15-22'!E47</f>
        <v>15544</v>
      </c>
      <c r="C847" s="2" t="s">
        <v>569</v>
      </c>
      <c r="D847" s="2" t="str">
        <f t="shared" si="12"/>
        <v>Error?</v>
      </c>
    </row>
    <row r="848" spans="1:4" x14ac:dyDescent="0.2">
      <c r="A848" s="5">
        <v>787</v>
      </c>
      <c r="B848" s="1832">
        <f>'Expenditures 15-22'!E49</f>
        <v>924</v>
      </c>
      <c r="D848" s="2" t="str">
        <f t="shared" si="12"/>
        <v>Error?</v>
      </c>
    </row>
    <row r="849" spans="1:4" x14ac:dyDescent="0.2">
      <c r="A849" s="5">
        <v>788</v>
      </c>
      <c r="B849" s="1832">
        <f>'Expenditures 15-22'!E50</f>
        <v>1894</v>
      </c>
      <c r="D849" s="2" t="str">
        <f t="shared" si="12"/>
        <v>Error?</v>
      </c>
    </row>
    <row r="850" spans="1:4" x14ac:dyDescent="0.2">
      <c r="A850" s="5">
        <v>789</v>
      </c>
      <c r="B850" s="1832">
        <f>'Expenditures 15-22'!E53</f>
        <v>3377</v>
      </c>
      <c r="C850" s="2" t="s">
        <v>569</v>
      </c>
      <c r="D850" s="2" t="str">
        <f t="shared" si="12"/>
        <v>Error?</v>
      </c>
    </row>
    <row r="851" spans="1:4" x14ac:dyDescent="0.2">
      <c r="A851" s="5">
        <v>790</v>
      </c>
      <c r="B851" s="1832">
        <f>'Expenditures 15-22'!E55</f>
        <v>1279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1279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6572</v>
      </c>
      <c r="D855" s="2" t="str">
        <f t="shared" si="12"/>
        <v>Error?</v>
      </c>
    </row>
    <row r="856" spans="1:4" x14ac:dyDescent="0.2">
      <c r="A856" s="5">
        <v>795</v>
      </c>
      <c r="B856" s="1832">
        <f>'Expenditures 15-22'!E61</f>
        <v>15672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8359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30603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51713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211769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42123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2073</v>
      </c>
      <c r="D891" s="2" t="str">
        <f t="shared" si="12"/>
        <v>Error?</v>
      </c>
    </row>
    <row r="892" spans="1:4" x14ac:dyDescent="0.2">
      <c r="A892" s="5">
        <v>831</v>
      </c>
      <c r="B892" s="1832">
        <f>'Expenditures 15-22'!F14</f>
        <v>1696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77222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859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695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1554</v>
      </c>
      <c r="C901" s="2" t="s">
        <v>569</v>
      </c>
      <c r="D901" s="2" t="str">
        <f t="shared" si="13"/>
        <v>Error?</v>
      </c>
    </row>
    <row r="902" spans="1:4" x14ac:dyDescent="0.2">
      <c r="A902" s="5">
        <v>841</v>
      </c>
      <c r="B902" s="1832">
        <f>'Expenditures 15-22'!F44</f>
        <v>1360</v>
      </c>
      <c r="D902" s="2" t="str">
        <f t="shared" si="13"/>
        <v>Error?</v>
      </c>
    </row>
    <row r="903" spans="1:4" x14ac:dyDescent="0.2">
      <c r="A903" s="5">
        <v>842</v>
      </c>
      <c r="B903" s="1832">
        <f>'Expenditures 15-22'!F45</f>
        <v>195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1555</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1500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142</v>
      </c>
      <c r="D913" s="2" t="str">
        <f t="shared" si="13"/>
        <v>Error?</v>
      </c>
    </row>
    <row r="914" spans="1:4" x14ac:dyDescent="0.2">
      <c r="A914" s="5">
        <v>853</v>
      </c>
      <c r="B914" s="1832">
        <f>'Expenditures 15-22'!F61</f>
        <v>47404</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81284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128830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684</v>
      </c>
      <c r="D928" s="2" t="str">
        <f t="shared" si="13"/>
        <v>Error?</v>
      </c>
    </row>
    <row r="929" spans="1:4" x14ac:dyDescent="0.2">
      <c r="A929" s="5">
        <v>868</v>
      </c>
      <c r="B929" s="1832">
        <f>'Expenditures 15-22'!F74</f>
        <v>134123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211345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1334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1042</v>
      </c>
      <c r="D1007" s="2" t="str">
        <f t="shared" si="14"/>
        <v>Error?</v>
      </c>
    </row>
    <row r="1008" spans="1:4" x14ac:dyDescent="0.2">
      <c r="A1008" s="5">
        <v>947</v>
      </c>
      <c r="B1008" s="1832">
        <f>'Expenditures 15-22'!H14</f>
        <v>1135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3511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385</v>
      </c>
      <c r="D1016" s="2" t="str">
        <f t="shared" si="14"/>
        <v>Error?</v>
      </c>
    </row>
    <row r="1017" spans="1:4" x14ac:dyDescent="0.2">
      <c r="A1017" s="5">
        <v>956</v>
      </c>
      <c r="B1017" s="1832">
        <f>'Expenditures 15-22'!H42</f>
        <v>385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35</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35</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425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425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845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103220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107576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994001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51855</v>
      </c>
      <c r="C1105" s="2" t="s">
        <v>569</v>
      </c>
      <c r="D1105" s="2" t="str">
        <f t="shared" si="16"/>
        <v>Error?</v>
      </c>
    </row>
    <row r="1106" spans="1:4" x14ac:dyDescent="0.2">
      <c r="A1106" s="5">
        <v>1045</v>
      </c>
      <c r="B1106" s="1832">
        <f>'Expenditures 15-22'!K14</f>
        <v>86799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1640975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73463</v>
      </c>
      <c r="C1110" s="2" t="s">
        <v>569</v>
      </c>
      <c r="D1110" s="2" t="str">
        <f t="shared" si="16"/>
        <v>Error?</v>
      </c>
    </row>
    <row r="1111" spans="1:4" x14ac:dyDescent="0.2">
      <c r="A1111" s="5">
        <v>1050</v>
      </c>
      <c r="B1111" s="1832">
        <f>'Expenditures 15-22'!K38</f>
        <v>1769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695</v>
      </c>
      <c r="C1113" s="2" t="s">
        <v>569</v>
      </c>
      <c r="D1113" s="2" t="str">
        <f t="shared" si="16"/>
        <v>Error?</v>
      </c>
    </row>
    <row r="1114" spans="1:4" x14ac:dyDescent="0.2">
      <c r="A1114" s="5">
        <v>1053</v>
      </c>
      <c r="B1114" s="1832">
        <f>'Expenditures 15-22'!K41</f>
        <v>11923</v>
      </c>
      <c r="C1114" s="2" t="s">
        <v>569</v>
      </c>
      <c r="D1114" s="2" t="str">
        <f t="shared" si="16"/>
        <v>Error?</v>
      </c>
    </row>
    <row r="1115" spans="1:4" x14ac:dyDescent="0.2">
      <c r="A1115" s="5">
        <v>1054</v>
      </c>
      <c r="B1115" s="1832">
        <f>'Expenditures 15-22'!K42</f>
        <v>87850</v>
      </c>
      <c r="C1115" s="2" t="s">
        <v>569</v>
      </c>
      <c r="D1115" s="2" t="str">
        <f t="shared" si="16"/>
        <v>Error?</v>
      </c>
    </row>
    <row r="1116" spans="1:4" x14ac:dyDescent="0.2">
      <c r="A1116" s="5">
        <v>1055</v>
      </c>
      <c r="B1116" s="1832">
        <f>'Expenditures 15-22'!K44</f>
        <v>41387</v>
      </c>
      <c r="C1116" s="2" t="s">
        <v>569</v>
      </c>
      <c r="D1116" s="2" t="str">
        <f t="shared" si="16"/>
        <v>Error?</v>
      </c>
    </row>
    <row r="1117" spans="1:4" x14ac:dyDescent="0.2">
      <c r="A1117" s="5">
        <v>1056</v>
      </c>
      <c r="B1117" s="1832">
        <f>'Expenditures 15-22'!K45</f>
        <v>975</v>
      </c>
      <c r="C1117" s="2" t="s">
        <v>569</v>
      </c>
      <c r="D1117" s="2" t="str">
        <f t="shared" si="16"/>
        <v>Error?</v>
      </c>
    </row>
    <row r="1118" spans="1:4" x14ac:dyDescent="0.2">
      <c r="A1118" s="5">
        <v>1057</v>
      </c>
      <c r="B1118" s="1832">
        <f>'Expenditures 15-22'!K46</f>
        <v>6500</v>
      </c>
      <c r="C1118" s="2" t="s">
        <v>569</v>
      </c>
      <c r="D1118" s="2" t="str">
        <f t="shared" si="16"/>
        <v>Error?</v>
      </c>
    </row>
    <row r="1119" spans="1:4" x14ac:dyDescent="0.2">
      <c r="A1119" s="5">
        <v>1058</v>
      </c>
      <c r="B1119" s="1832">
        <f>'Expenditures 15-22'!K47</f>
        <v>48862</v>
      </c>
      <c r="C1119" s="2" t="s">
        <v>569</v>
      </c>
      <c r="D1119" s="2" t="str">
        <f t="shared" si="16"/>
        <v>Error?</v>
      </c>
    </row>
    <row r="1120" spans="1:4" x14ac:dyDescent="0.2">
      <c r="A1120" s="5">
        <v>1059</v>
      </c>
      <c r="B1120" s="1832">
        <f>'Expenditures 15-22'!K49</f>
        <v>2997</v>
      </c>
      <c r="C1120" s="2" t="s">
        <v>569</v>
      </c>
      <c r="D1120" s="2" t="str">
        <f t="shared" si="16"/>
        <v>Error?</v>
      </c>
    </row>
    <row r="1121" spans="1:4" x14ac:dyDescent="0.2">
      <c r="A1121" s="5">
        <v>1060</v>
      </c>
      <c r="B1121" s="1832">
        <f>'Expenditures 15-22'!K50</f>
        <v>28034</v>
      </c>
      <c r="C1121" s="2" t="s">
        <v>569</v>
      </c>
      <c r="D1121" s="2" t="str">
        <f t="shared" si="16"/>
        <v>Error?</v>
      </c>
    </row>
    <row r="1122" spans="1:4" x14ac:dyDescent="0.2">
      <c r="A1122" s="5">
        <v>1061</v>
      </c>
      <c r="B1122" s="1832">
        <f>'Expenditures 15-22'!K53</f>
        <v>33090</v>
      </c>
      <c r="C1122" s="2" t="s">
        <v>569</v>
      </c>
      <c r="D1122" s="2" t="str">
        <f t="shared" si="16"/>
        <v>Error?</v>
      </c>
    </row>
    <row r="1123" spans="1:4" x14ac:dyDescent="0.2">
      <c r="A1123" s="5">
        <v>1062</v>
      </c>
      <c r="B1123" s="1832">
        <f>'Expenditures 15-22'!K55</f>
        <v>227594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227594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67539</v>
      </c>
      <c r="C1127" s="2" t="s">
        <v>569</v>
      </c>
      <c r="D1127" s="2" t="str">
        <f t="shared" si="16"/>
        <v>Error?</v>
      </c>
    </row>
    <row r="1128" spans="1:4" x14ac:dyDescent="0.2">
      <c r="A1128" s="5">
        <v>1067</v>
      </c>
      <c r="B1128" s="1832">
        <f>'Expenditures 15-22'!K61</f>
        <v>63076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149686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280301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684</v>
      </c>
      <c r="C1142" s="2" t="s">
        <v>569</v>
      </c>
      <c r="D1142" s="2" t="str">
        <f t="shared" si="16"/>
        <v>Error?</v>
      </c>
    </row>
    <row r="1143" spans="1:4" x14ac:dyDescent="0.2">
      <c r="A1143" s="5">
        <v>1082</v>
      </c>
      <c r="B1143" s="1832">
        <f>'Expenditures 15-22'!K74</f>
        <v>678381</v>
      </c>
      <c r="C1143" s="2" t="s">
        <v>569</v>
      </c>
      <c r="D1143" s="2" t="str">
        <f t="shared" si="16"/>
        <v>Error?</v>
      </c>
    </row>
    <row r="1144" spans="1:4" x14ac:dyDescent="0.2">
      <c r="A1144" s="5">
        <v>1083</v>
      </c>
      <c r="B1144" s="1832">
        <f>'Expenditures 15-22'!K75</f>
        <v>37462</v>
      </c>
      <c r="C1144" s="2" t="s">
        <v>569</v>
      </c>
      <c r="D1144" s="2" t="str">
        <f t="shared" si="16"/>
        <v>Error?</v>
      </c>
    </row>
    <row r="1145" spans="1:4" x14ac:dyDescent="0.2">
      <c r="A1145" s="5">
        <v>1084</v>
      </c>
      <c r="B1145" s="1832">
        <f>'Expenditures 15-22'!K102</f>
        <v>185902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2542720</v>
      </c>
      <c r="C1152" s="2" t="s">
        <v>569</v>
      </c>
      <c r="D1152" s="2" t="str">
        <f t="shared" si="17"/>
        <v>Error?</v>
      </c>
    </row>
    <row r="1153" spans="1:4" x14ac:dyDescent="0.2">
      <c r="A1153" s="5">
        <v>1092</v>
      </c>
      <c r="B1153" s="1832">
        <f>'Expenditures 15-22'!K115</f>
        <v>243689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99807</v>
      </c>
      <c r="D1221" s="2" t="str">
        <f t="shared" si="18"/>
        <v>Error?</v>
      </c>
    </row>
    <row r="1222" spans="1:4" x14ac:dyDescent="0.2">
      <c r="A1222" s="10">
        <v>1161</v>
      </c>
      <c r="B1222" s="1832"/>
      <c r="D1222" s="2" t="str">
        <f t="shared" si="18"/>
        <v>OK</v>
      </c>
    </row>
    <row r="1223" spans="1:4" x14ac:dyDescent="0.2">
      <c r="A1223" s="5">
        <v>1162</v>
      </c>
      <c r="B1223" s="1832">
        <f>'Expenditures 15-22'!C127</f>
        <v>99807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99807</v>
      </c>
      <c r="C1225" s="2" t="s">
        <v>569</v>
      </c>
      <c r="D1225" s="2" t="str">
        <f t="shared" si="18"/>
        <v>Error?</v>
      </c>
    </row>
    <row r="1226" spans="1:4" x14ac:dyDescent="0.2">
      <c r="A1226" s="5">
        <v>1165</v>
      </c>
      <c r="B1226" s="1832">
        <f>'Expenditures 15-22'!C151</f>
        <v>99807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9609</v>
      </c>
      <c r="D1229" s="2" t="str">
        <f t="shared" si="18"/>
        <v>Error?</v>
      </c>
    </row>
    <row r="1230" spans="1:4" x14ac:dyDescent="0.2">
      <c r="A1230" s="10">
        <v>1169</v>
      </c>
      <c r="B1230" s="1832"/>
      <c r="D1230" s="2" t="str">
        <f t="shared" si="18"/>
        <v>OK</v>
      </c>
    </row>
    <row r="1231" spans="1:4" x14ac:dyDescent="0.2">
      <c r="A1231" s="5">
        <v>1170</v>
      </c>
      <c r="B1231" s="1832">
        <f>'Expenditures 15-22'!D127</f>
        <v>9609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9609</v>
      </c>
      <c r="C1233" s="2" t="s">
        <v>569</v>
      </c>
      <c r="D1233" s="2" t="str">
        <f t="shared" si="18"/>
        <v>Error?</v>
      </c>
    </row>
    <row r="1234" spans="1:4" x14ac:dyDescent="0.2">
      <c r="A1234" s="5">
        <v>1173</v>
      </c>
      <c r="B1234" s="1832">
        <f>'Expenditures 15-22'!D151</f>
        <v>9609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16892</v>
      </c>
      <c r="D1237" s="2" t="str">
        <f t="shared" si="18"/>
        <v>Error?</v>
      </c>
    </row>
    <row r="1238" spans="1:4" x14ac:dyDescent="0.2">
      <c r="A1238" s="10">
        <v>1177</v>
      </c>
      <c r="B1238" s="1832"/>
      <c r="D1238" s="2" t="str">
        <f t="shared" si="18"/>
        <v>OK</v>
      </c>
    </row>
    <row r="1239" spans="1:4" x14ac:dyDescent="0.2">
      <c r="A1239" s="5">
        <v>1178</v>
      </c>
      <c r="B1239" s="1832">
        <f>'Expenditures 15-22'!E127</f>
        <v>16892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16892</v>
      </c>
      <c r="C1241" s="2" t="s">
        <v>569</v>
      </c>
      <c r="D1241" s="2" t="str">
        <f t="shared" si="18"/>
        <v>Error?</v>
      </c>
    </row>
    <row r="1242" spans="1:4" x14ac:dyDescent="0.2">
      <c r="A1242" s="5">
        <v>1181</v>
      </c>
      <c r="B1242" s="1832">
        <f>'Expenditures 15-22'!E151</f>
        <v>16892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22006</v>
      </c>
      <c r="D1245" s="2" t="str">
        <f t="shared" si="18"/>
        <v>Error?</v>
      </c>
    </row>
    <row r="1246" spans="1:4" x14ac:dyDescent="0.2">
      <c r="A1246" s="10">
        <v>1185</v>
      </c>
      <c r="B1246" s="1832"/>
      <c r="D1246" s="2" t="str">
        <f t="shared" si="18"/>
        <v>OK</v>
      </c>
    </row>
    <row r="1247" spans="1:4" x14ac:dyDescent="0.2">
      <c r="A1247" s="5">
        <v>1186</v>
      </c>
      <c r="B1247" s="1832">
        <f>'Expenditures 15-22'!F127</f>
        <v>22006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22006</v>
      </c>
      <c r="C1249" s="2" t="s">
        <v>569</v>
      </c>
      <c r="D1249" s="2" t="str">
        <f t="shared" si="18"/>
        <v>Error?</v>
      </c>
    </row>
    <row r="1250" spans="1:4" x14ac:dyDescent="0.2">
      <c r="A1250" s="5">
        <v>1189</v>
      </c>
      <c r="B1250" s="1832">
        <f>'Expenditures 15-22'!F151</f>
        <v>22006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13263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13263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13263</v>
      </c>
      <c r="C1258" s="2" t="s">
        <v>569</v>
      </c>
      <c r="D1258" s="2" t="str">
        <f t="shared" si="18"/>
        <v>Error?</v>
      </c>
    </row>
    <row r="1259" spans="1:4" x14ac:dyDescent="0.2">
      <c r="A1259" s="5">
        <v>1198</v>
      </c>
      <c r="B1259" s="1832">
        <f>'Expenditures 15-22'!G151</f>
        <v>13263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172152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172152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172152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172152</v>
      </c>
      <c r="C1288" s="2" t="s">
        <v>569</v>
      </c>
      <c r="D1288" s="2" t="str">
        <f t="shared" si="19"/>
        <v>Error?</v>
      </c>
    </row>
    <row r="1289" spans="1:4" x14ac:dyDescent="0.2">
      <c r="A1289" s="5">
        <v>1228</v>
      </c>
      <c r="B1289" s="1832">
        <f>'Expenditures 15-22'!K152</f>
        <v>26281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30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92586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92586</v>
      </c>
      <c r="C1339" s="2" t="s">
        <v>569</v>
      </c>
      <c r="D1339" s="2" t="str">
        <f t="shared" si="19"/>
        <v>Error?</v>
      </c>
    </row>
    <row r="1340" spans="1:4" x14ac:dyDescent="0.2">
      <c r="A1340" s="5">
        <v>1279</v>
      </c>
      <c r="B1340" s="1832">
        <f>'Expenditures 15-22'!C210</f>
        <v>92586</v>
      </c>
      <c r="C1340" s="2" t="s">
        <v>569</v>
      </c>
      <c r="D1340" s="2" t="str">
        <f t="shared" si="19"/>
        <v>Error?</v>
      </c>
    </row>
    <row r="1341" spans="1:4" x14ac:dyDescent="0.2">
      <c r="A1341" s="5">
        <v>1280</v>
      </c>
      <c r="B1341" s="1832">
        <f>'Expenditures 15-22'!D182</f>
        <v>1335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1335</v>
      </c>
      <c r="C1345" s="2" t="s">
        <v>569</v>
      </c>
      <c r="D1345" s="2" t="str">
        <f t="shared" si="20"/>
        <v>Error?</v>
      </c>
    </row>
    <row r="1346" spans="1:4" x14ac:dyDescent="0.2">
      <c r="A1346" s="5">
        <v>1285</v>
      </c>
      <c r="B1346" s="1832">
        <f>'Expenditures 15-22'!D210</f>
        <v>1335</v>
      </c>
      <c r="C1346" s="2" t="s">
        <v>569</v>
      </c>
      <c r="D1346" s="2" t="str">
        <f t="shared" si="20"/>
        <v>Error?</v>
      </c>
    </row>
    <row r="1347" spans="1:4" x14ac:dyDescent="0.2">
      <c r="A1347" s="5">
        <v>1286</v>
      </c>
      <c r="B1347" s="1832">
        <f>'Expenditures 15-22'!E182</f>
        <v>8074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8074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8074</v>
      </c>
      <c r="C1353" s="2" t="s">
        <v>569</v>
      </c>
      <c r="D1353" s="2" t="str">
        <f t="shared" si="20"/>
        <v>Error?</v>
      </c>
    </row>
    <row r="1354" spans="1:4" x14ac:dyDescent="0.2">
      <c r="A1354" s="5">
        <v>1293</v>
      </c>
      <c r="B1354" s="1832">
        <f>'Expenditures 15-22'!F182</f>
        <v>16960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16960</v>
      </c>
      <c r="C1358" s="2" t="s">
        <v>569</v>
      </c>
      <c r="D1358" s="2" t="str">
        <f t="shared" si="20"/>
        <v>Error?</v>
      </c>
    </row>
    <row r="1359" spans="1:4" x14ac:dyDescent="0.2">
      <c r="A1359" s="5">
        <v>1298</v>
      </c>
      <c r="B1359" s="1832">
        <f>'Expenditures 15-22'!F210</f>
        <v>16960</v>
      </c>
      <c r="C1359" s="2" t="s">
        <v>569</v>
      </c>
      <c r="D1359" s="2" t="str">
        <f t="shared" si="20"/>
        <v>Error?</v>
      </c>
    </row>
    <row r="1360" spans="1:4" x14ac:dyDescent="0.2">
      <c r="A1360" s="5">
        <v>1299</v>
      </c>
      <c r="B1360" s="1832">
        <f>'Expenditures 15-22'!G182</f>
        <v>28860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28860</v>
      </c>
      <c r="C1364" s="2" t="s">
        <v>569</v>
      </c>
      <c r="D1364" s="2" t="str">
        <f t="shared" si="20"/>
        <v>Error?</v>
      </c>
    </row>
    <row r="1365" spans="1:4" x14ac:dyDescent="0.2">
      <c r="A1365" s="5">
        <v>1304</v>
      </c>
      <c r="B1365" s="1832">
        <f>'Expenditures 15-22'!G210</f>
        <v>28860</v>
      </c>
      <c r="C1365" s="2" t="s">
        <v>569</v>
      </c>
      <c r="D1365" s="2" t="str">
        <f t="shared" si="20"/>
        <v>Error?</v>
      </c>
    </row>
    <row r="1366" spans="1:4" x14ac:dyDescent="0.2">
      <c r="A1366" s="5">
        <v>1305</v>
      </c>
      <c r="B1366" s="1832">
        <f>'Expenditures 15-22'!H182</f>
        <v>344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344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43290</v>
      </c>
      <c r="C1375" s="2" t="s">
        <v>569</v>
      </c>
      <c r="D1375" s="2" t="str">
        <f t="shared" si="20"/>
        <v>Error?</v>
      </c>
    </row>
    <row r="1376" spans="1:4" x14ac:dyDescent="0.2">
      <c r="A1376" s="5">
        <v>1315</v>
      </c>
      <c r="B1376" s="1832">
        <f>'Expenditures 15-22'!H210</f>
        <v>43634</v>
      </c>
      <c r="C1376" s="2" t="s">
        <v>569</v>
      </c>
      <c r="D1376" s="2" t="str">
        <f t="shared" si="20"/>
        <v>Error?</v>
      </c>
    </row>
    <row r="1377" spans="1:4" x14ac:dyDescent="0.2">
      <c r="A1377" s="5">
        <v>1316</v>
      </c>
      <c r="B1377" s="1832">
        <f>'Expenditures 15-22'!K182</f>
        <v>148159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148159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43290</v>
      </c>
      <c r="C1387" s="2" t="s">
        <v>569</v>
      </c>
      <c r="D1387" s="2" t="str">
        <f t="shared" si="20"/>
        <v>Error?</v>
      </c>
    </row>
    <row r="1388" spans="1:4" x14ac:dyDescent="0.2">
      <c r="A1388" s="5">
        <v>1327</v>
      </c>
      <c r="B1388" s="1832">
        <f>'Expenditures 15-22'!K210</f>
        <v>191449</v>
      </c>
      <c r="C1388" s="2" t="s">
        <v>569</v>
      </c>
      <c r="D1388" s="2" t="str">
        <f t="shared" si="20"/>
        <v>Error?</v>
      </c>
    </row>
    <row r="1389" spans="1:4" x14ac:dyDescent="0.2">
      <c r="A1389" s="5">
        <v>1328</v>
      </c>
      <c r="B1389" s="1832">
        <f>'Expenditures 15-22'!K211</f>
        <v>-25839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963</v>
      </c>
      <c r="D1407" s="2" t="str">
        <f t="shared" ref="D1407:D1470" si="21">IF(ISBLANK(B1407),"OK",IF(A1407-B1407=0,"OK","Error?"))</f>
        <v>Error?</v>
      </c>
    </row>
    <row r="1408" spans="1:4" x14ac:dyDescent="0.2">
      <c r="A1408" s="5">
        <v>1347</v>
      </c>
      <c r="B1408" s="1832">
        <f>'Expenditures 15-22'!D223</f>
        <v>2396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47692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1707</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156</v>
      </c>
      <c r="D1416" s="2" t="str">
        <f t="shared" si="21"/>
        <v>Error?</v>
      </c>
    </row>
    <row r="1417" spans="1:4" x14ac:dyDescent="0.2">
      <c r="A1417" s="5">
        <v>1356</v>
      </c>
      <c r="B1417" s="1832">
        <f>'Expenditures 15-22'!D238</f>
        <v>1863</v>
      </c>
      <c r="C1417" s="2" t="s">
        <v>569</v>
      </c>
      <c r="D1417" s="2" t="str">
        <f t="shared" si="21"/>
        <v>Error?</v>
      </c>
    </row>
    <row r="1418" spans="1:4" x14ac:dyDescent="0.2">
      <c r="A1418" s="5">
        <v>1357</v>
      </c>
      <c r="B1418" s="1832">
        <f>'Expenditures 15-22'!D240</f>
        <v>382</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382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368</v>
      </c>
      <c r="D1423" s="2" t="str">
        <f t="shared" si="21"/>
        <v>Error?</v>
      </c>
    </row>
    <row r="1424" spans="1:4" x14ac:dyDescent="0.2">
      <c r="A1424" s="5">
        <v>1363</v>
      </c>
      <c r="B1424" s="1832">
        <f>'Expenditures 15-22'!D257</f>
        <v>10406</v>
      </c>
      <c r="C1424" s="2" t="s">
        <v>569</v>
      </c>
      <c r="D1424" s="2" t="str">
        <f t="shared" si="21"/>
        <v>Error?</v>
      </c>
    </row>
    <row r="1425" spans="1:4" x14ac:dyDescent="0.2">
      <c r="A1425" s="5">
        <v>1364</v>
      </c>
      <c r="B1425" s="1832">
        <f>'Expenditures 15-22'!D259</f>
        <v>13336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13336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8414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15859</v>
      </c>
      <c r="D1431" s="2" t="str">
        <f t="shared" si="21"/>
        <v>Error?</v>
      </c>
    </row>
    <row r="1432" spans="1:4" x14ac:dyDescent="0.2">
      <c r="A1432" s="5">
        <v>1371</v>
      </c>
      <c r="B1432" s="1832">
        <f>'Expenditures 15-22'!D267</f>
        <v>13199</v>
      </c>
      <c r="D1432" s="2" t="str">
        <f t="shared" si="21"/>
        <v>Error?</v>
      </c>
    </row>
    <row r="1433" spans="1:4" x14ac:dyDescent="0.2">
      <c r="A1433" s="5">
        <v>1372</v>
      </c>
      <c r="B1433" s="1832">
        <f>'Expenditures 15-22'!D268</f>
        <v>8525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45997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71984</v>
      </c>
      <c r="C1446" s="2" t="s">
        <v>569</v>
      </c>
      <c r="D1446" s="2" t="str">
        <f t="shared" si="21"/>
        <v>Error?</v>
      </c>
    </row>
    <row r="1447" spans="1:4" x14ac:dyDescent="0.2">
      <c r="A1447" s="5">
        <v>1386</v>
      </c>
      <c r="B1447" s="1832">
        <f>'Expenditures 15-22'!D280</f>
        <v>4840</v>
      </c>
      <c r="D1447" s="2" t="str">
        <f t="shared" si="21"/>
        <v>Error?</v>
      </c>
    </row>
    <row r="1448" spans="1:4" x14ac:dyDescent="0.2">
      <c r="A1448" s="5">
        <v>1387</v>
      </c>
      <c r="B1448" s="1832">
        <f>'Expenditures 15-22'!D295</f>
        <v>124516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963</v>
      </c>
      <c r="C1471" s="2" t="s">
        <v>569</v>
      </c>
      <c r="D1471" s="2" t="str">
        <f t="shared" ref="D1471:D1534" si="22">IF(ISBLANK(B1471),"OK",IF(A1471-B1471=0,"OK","Error?"))</f>
        <v>Error?</v>
      </c>
    </row>
    <row r="1472" spans="1:4" x14ac:dyDescent="0.2">
      <c r="A1472" s="5">
        <v>1411</v>
      </c>
      <c r="B1472" s="1832">
        <f>'Expenditures 15-22'!K223</f>
        <v>2396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47692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1707</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156</v>
      </c>
      <c r="C1480" s="2" t="s">
        <v>569</v>
      </c>
      <c r="D1480" s="2" t="str">
        <f t="shared" si="22"/>
        <v>Error?</v>
      </c>
    </row>
    <row r="1481" spans="1:4" x14ac:dyDescent="0.2">
      <c r="A1481" s="5">
        <v>1420</v>
      </c>
      <c r="B1481" s="1832">
        <f>'Expenditures 15-22'!K238</f>
        <v>1863</v>
      </c>
      <c r="C1481" s="2" t="s">
        <v>569</v>
      </c>
      <c r="D1481" s="2" t="str">
        <f t="shared" si="22"/>
        <v>Error?</v>
      </c>
    </row>
    <row r="1482" spans="1:4" x14ac:dyDescent="0.2">
      <c r="A1482" s="5">
        <v>1421</v>
      </c>
      <c r="B1482" s="1832">
        <f>'Expenditures 15-22'!K240</f>
        <v>382</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382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368</v>
      </c>
      <c r="C1487" s="2" t="s">
        <v>569</v>
      </c>
      <c r="D1487" s="2" t="str">
        <f t="shared" si="22"/>
        <v>Error?</v>
      </c>
    </row>
    <row r="1488" spans="1:4" x14ac:dyDescent="0.2">
      <c r="A1488" s="5">
        <v>1427</v>
      </c>
      <c r="B1488" s="1832">
        <f>'Expenditures 15-22'!K257</f>
        <v>10406</v>
      </c>
      <c r="C1488" s="2" t="s">
        <v>569</v>
      </c>
      <c r="D1488" s="2" t="str">
        <f t="shared" si="22"/>
        <v>Error?</v>
      </c>
    </row>
    <row r="1489" spans="1:4" x14ac:dyDescent="0.2">
      <c r="A1489" s="5">
        <v>1428</v>
      </c>
      <c r="B1489" s="1832">
        <f>'Expenditures 15-22'!K259</f>
        <v>13336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13336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8414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15859</v>
      </c>
      <c r="C1495" s="2" t="s">
        <v>569</v>
      </c>
      <c r="D1495" s="2" t="str">
        <f t="shared" si="22"/>
        <v>Error?</v>
      </c>
    </row>
    <row r="1496" spans="1:4" x14ac:dyDescent="0.2">
      <c r="A1496" s="5">
        <v>1435</v>
      </c>
      <c r="B1496" s="1832">
        <f>'Expenditures 15-22'!K267</f>
        <v>13199</v>
      </c>
      <c r="C1496" s="2" t="s">
        <v>569</v>
      </c>
      <c r="D1496" s="2" t="str">
        <f t="shared" si="22"/>
        <v>Error?</v>
      </c>
    </row>
    <row r="1497" spans="1:4" x14ac:dyDescent="0.2">
      <c r="A1497" s="5">
        <v>1436</v>
      </c>
      <c r="B1497" s="1832">
        <f>'Expenditures 15-22'!K268</f>
        <v>8525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45997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71984</v>
      </c>
      <c r="C1510" s="2" t="s">
        <v>569</v>
      </c>
      <c r="D1510" s="2" t="str">
        <f t="shared" si="22"/>
        <v>Error?</v>
      </c>
    </row>
    <row r="1511" spans="1:4" x14ac:dyDescent="0.2">
      <c r="A1511" s="5">
        <v>1450</v>
      </c>
      <c r="B1511" s="1832">
        <f>'Expenditures 15-22'!K280</f>
        <v>4840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124516</v>
      </c>
      <c r="C1517" s="2" t="s">
        <v>569</v>
      </c>
      <c r="D1517" s="2" t="str">
        <f t="shared" si="22"/>
        <v>Error?</v>
      </c>
    </row>
    <row r="1518" spans="1:4" x14ac:dyDescent="0.2">
      <c r="A1518" s="5">
        <v>1457</v>
      </c>
      <c r="B1518" s="1832">
        <f>'Expenditures 15-22'!K296</f>
        <v>-1242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1653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1653</v>
      </c>
      <c r="C1535" s="2" t="s">
        <v>569</v>
      </c>
      <c r="D1535" s="2" t="str">
        <f t="shared" ref="D1535:D1598" si="23">IF(ISBLANK(B1535),"OK",IF(A1535-B1535=0,"OK","Error?"))</f>
        <v>Error?</v>
      </c>
    </row>
    <row r="1536" spans="1:4" x14ac:dyDescent="0.2">
      <c r="A1536" s="5">
        <v>1475</v>
      </c>
      <c r="B1536" s="1832">
        <f>'Expenditures 15-22'!E312</f>
        <v>1653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8009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8009</v>
      </c>
      <c r="C1547" s="2" t="s">
        <v>569</v>
      </c>
      <c r="D1547" s="2" t="str">
        <f t="shared" si="23"/>
        <v>Error?</v>
      </c>
    </row>
    <row r="1548" spans="1:4" x14ac:dyDescent="0.2">
      <c r="A1548" s="5">
        <v>1487</v>
      </c>
      <c r="B1548" s="1832">
        <f>'Expenditures 15-22'!G312</f>
        <v>8009</v>
      </c>
      <c r="C1548" s="2" t="s">
        <v>569</v>
      </c>
      <c r="D1548" s="2" t="str">
        <f t="shared" si="23"/>
        <v>Error?</v>
      </c>
    </row>
    <row r="1549" spans="1:4" x14ac:dyDescent="0.2">
      <c r="A1549" s="5">
        <v>1488</v>
      </c>
      <c r="B1549" s="1832">
        <f>'Expenditures 15-22'!H301</f>
        <v>550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550</v>
      </c>
      <c r="C1553" s="2" t="s">
        <v>569</v>
      </c>
      <c r="D1553" s="2" t="str">
        <f t="shared" si="23"/>
        <v>Error?</v>
      </c>
    </row>
    <row r="1554" spans="1:4" x14ac:dyDescent="0.2">
      <c r="A1554" s="5">
        <v>1493</v>
      </c>
      <c r="B1554" s="1832">
        <f>'Expenditures 15-22'!H312</f>
        <v>550</v>
      </c>
      <c r="C1554" s="2" t="s">
        <v>569</v>
      </c>
      <c r="D1554" s="2" t="str">
        <f t="shared" si="23"/>
        <v>Error?</v>
      </c>
    </row>
    <row r="1555" spans="1:4" x14ac:dyDescent="0.2">
      <c r="A1555" s="5">
        <v>1494</v>
      </c>
      <c r="B1555" s="1832">
        <f>'Expenditures 15-22'!K301</f>
        <v>10212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10212</v>
      </c>
      <c r="C1559" s="2" t="s">
        <v>569</v>
      </c>
      <c r="D1559" s="2" t="str">
        <f t="shared" si="23"/>
        <v>Error?</v>
      </c>
    </row>
    <row r="1560" spans="1:4" x14ac:dyDescent="0.2">
      <c r="A1560" s="5">
        <v>1499</v>
      </c>
      <c r="B1560" s="1832">
        <f>'Expenditures 15-22'!K312</f>
        <v>10212</v>
      </c>
      <c r="C1560" s="2" t="s">
        <v>569</v>
      </c>
      <c r="D1560" s="2" t="str">
        <f t="shared" si="23"/>
        <v>Error?</v>
      </c>
    </row>
    <row r="1561" spans="1:4" x14ac:dyDescent="0.2">
      <c r="A1561" s="5">
        <v>1500</v>
      </c>
      <c r="B1561" s="1832">
        <f>'Expenditures 15-22'!K313</f>
        <v>168350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1036171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1279860</v>
      </c>
      <c r="C1630" s="2" t="s">
        <v>569</v>
      </c>
      <c r="D1630" s="2" t="str">
        <f t="shared" si="24"/>
        <v>Error?</v>
      </c>
    </row>
    <row r="1631" spans="1:4" x14ac:dyDescent="0.2">
      <c r="A1631" s="5">
        <v>1570</v>
      </c>
      <c r="B1631" s="1832">
        <f>'Acct Summary 7-8'!D79</f>
        <v>142906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169187</v>
      </c>
      <c r="C1644" s="2" t="s">
        <v>569</v>
      </c>
      <c r="D1644" s="2" t="str">
        <f t="shared" si="24"/>
        <v>Error?</v>
      </c>
    </row>
    <row r="1645" spans="1:4" x14ac:dyDescent="0.2">
      <c r="A1645" s="5">
        <v>1584</v>
      </c>
      <c r="B1645" s="1832">
        <f>'Acct Summary 7-8'!E79</f>
        <v>18201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18231</v>
      </c>
      <c r="C1658" s="2" t="s">
        <v>569</v>
      </c>
      <c r="D1658" s="2" t="str">
        <f t="shared" si="24"/>
        <v>Error?</v>
      </c>
    </row>
    <row r="1659" spans="1:4" x14ac:dyDescent="0.2">
      <c r="A1659" s="5">
        <v>1598</v>
      </c>
      <c r="B1659" s="1832">
        <f>'Acct Summary 7-8'!F79</f>
        <v>79234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82255</v>
      </c>
      <c r="C1672" s="2" t="s">
        <v>569</v>
      </c>
      <c r="D1672" s="2" t="str">
        <f t="shared" si="25"/>
        <v>Error?</v>
      </c>
    </row>
    <row r="1673" spans="1:4" x14ac:dyDescent="0.2">
      <c r="A1673" s="5">
        <v>1612</v>
      </c>
      <c r="B1673" s="1832">
        <f>'Acct Summary 7-8'!G79</f>
        <v>114262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113020</v>
      </c>
      <c r="C1686" s="2" t="s">
        <v>569</v>
      </c>
      <c r="D1686" s="2" t="str">
        <f t="shared" si="25"/>
        <v>Error?</v>
      </c>
    </row>
    <row r="1687" spans="1:4" x14ac:dyDescent="0.2">
      <c r="A1687" s="5">
        <v>1626</v>
      </c>
      <c r="B1687" s="1832">
        <f>'Acct Summary 7-8'!H79</f>
        <v>294666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344478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622901</v>
      </c>
      <c r="C1744" s="2" t="s">
        <v>569</v>
      </c>
      <c r="D1744" s="2" t="str">
        <f t="shared" si="26"/>
        <v>Error?</v>
      </c>
    </row>
    <row r="1745" spans="1:5" x14ac:dyDescent="0.2">
      <c r="A1745" s="5">
        <v>1684</v>
      </c>
      <c r="B1745" s="1832">
        <f>'Tax Sched 23'!B5</f>
        <v>161714</v>
      </c>
      <c r="C1745" s="2" t="s">
        <v>569</v>
      </c>
      <c r="D1745" s="2" t="str">
        <f t="shared" si="26"/>
        <v>Error?</v>
      </c>
    </row>
    <row r="1746" spans="1:5" x14ac:dyDescent="0.2">
      <c r="A1746" s="5">
        <v>1685</v>
      </c>
      <c r="B1746" s="1832">
        <f>'Tax Sched 23'!B6</f>
        <v>2</v>
      </c>
      <c r="C1746" s="2" t="s">
        <v>569</v>
      </c>
      <c r="D1746" s="2" t="str">
        <f t="shared" si="26"/>
        <v>Error?</v>
      </c>
    </row>
    <row r="1747" spans="1:5" x14ac:dyDescent="0.2">
      <c r="A1747" s="5">
        <v>1686</v>
      </c>
      <c r="B1747" s="1832">
        <f>'Tax Sched 23'!B7</f>
        <v>47915</v>
      </c>
      <c r="C1747" s="2" t="s">
        <v>569</v>
      </c>
      <c r="D1747" s="2" t="str">
        <f t="shared" si="26"/>
        <v>Error?</v>
      </c>
    </row>
    <row r="1748" spans="1:5" x14ac:dyDescent="0.2">
      <c r="A1748" s="5">
        <v>1687</v>
      </c>
      <c r="B1748" s="1832">
        <f>'Tax Sched 23'!B8</f>
        <v>65066</v>
      </c>
      <c r="C1748" s="2" t="s">
        <v>569</v>
      </c>
      <c r="D1748" s="2" t="str">
        <f t="shared" si="26"/>
        <v>Error?</v>
      </c>
    </row>
    <row r="1749" spans="1:5" x14ac:dyDescent="0.2">
      <c r="A1749" s="5">
        <v>1688</v>
      </c>
      <c r="B1749" s="1832">
        <f>'Tax Sched 23'!B10</f>
        <v>11978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240241</v>
      </c>
      <c r="C1752" s="2" t="s">
        <v>569</v>
      </c>
      <c r="D1752" s="2" t="str">
        <f t="shared" si="26"/>
        <v>Error?</v>
      </c>
    </row>
    <row r="1753" spans="1:5" x14ac:dyDescent="0.2">
      <c r="A1753" s="5">
        <v>1692</v>
      </c>
      <c r="B1753" s="1832">
        <f>'Tax Sched 23'!B12</f>
        <v>11978</v>
      </c>
      <c r="C1753" s="2" t="s">
        <v>569</v>
      </c>
      <c r="D1753" s="2" t="str">
        <f t="shared" si="26"/>
        <v>Error?</v>
      </c>
    </row>
    <row r="1754" spans="1:5" x14ac:dyDescent="0.2">
      <c r="A1754" s="5">
        <v>1693</v>
      </c>
      <c r="B1754" s="1832">
        <f>'Tax Sched 23'!B14</f>
        <v>9583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1238425</v>
      </c>
      <c r="C1759" s="2" t="s">
        <v>569</v>
      </c>
      <c r="D1759" s="2" t="str">
        <f t="shared" si="26"/>
        <v>Error?</v>
      </c>
    </row>
    <row r="1760" spans="1:5" x14ac:dyDescent="0.2">
      <c r="A1760" s="5">
        <v>1699</v>
      </c>
      <c r="B1760" s="1832">
        <f>'Tax Sched 23'!D4</f>
        <v>622901</v>
      </c>
      <c r="C1760" s="2" t="s">
        <v>569</v>
      </c>
      <c r="D1760" s="2" t="str">
        <f t="shared" si="26"/>
        <v>Error?</v>
      </c>
    </row>
    <row r="1761" spans="1:7" x14ac:dyDescent="0.2">
      <c r="A1761" s="5">
        <v>1700</v>
      </c>
      <c r="B1761" s="1832">
        <f>'Tax Sched 23'!D5</f>
        <v>161714</v>
      </c>
      <c r="C1761" s="2" t="s">
        <v>569</v>
      </c>
      <c r="D1761" s="2" t="str">
        <f t="shared" si="26"/>
        <v>Error?</v>
      </c>
    </row>
    <row r="1762" spans="1:7" s="8" customFormat="1" x14ac:dyDescent="0.2">
      <c r="A1762" s="5">
        <v>1701</v>
      </c>
      <c r="B1762" s="1832">
        <f>'Tax Sched 23'!D6</f>
        <v>2</v>
      </c>
      <c r="C1762" s="2" t="s">
        <v>569</v>
      </c>
      <c r="D1762" s="2" t="str">
        <f t="shared" si="26"/>
        <v>Error?</v>
      </c>
      <c r="E1762" s="9"/>
      <c r="G1762"/>
    </row>
    <row r="1763" spans="1:7" x14ac:dyDescent="0.2">
      <c r="A1763" s="5">
        <v>1702</v>
      </c>
      <c r="B1763" s="1832">
        <f>'Tax Sched 23'!D7</f>
        <v>47915</v>
      </c>
      <c r="C1763" s="2" t="s">
        <v>569</v>
      </c>
      <c r="D1763" s="2" t="str">
        <f t="shared" si="26"/>
        <v>Error?</v>
      </c>
    </row>
    <row r="1764" spans="1:7" x14ac:dyDescent="0.2">
      <c r="A1764" s="5">
        <v>1703</v>
      </c>
      <c r="B1764" s="1832">
        <f>'Tax Sched 23'!D8</f>
        <v>65066</v>
      </c>
      <c r="C1764" s="2" t="s">
        <v>569</v>
      </c>
      <c r="D1764" s="2" t="str">
        <f t="shared" si="26"/>
        <v>Error?</v>
      </c>
    </row>
    <row r="1765" spans="1:7" x14ac:dyDescent="0.2">
      <c r="A1765" s="5">
        <v>1704</v>
      </c>
      <c r="B1765" s="1832">
        <f>'Tax Sched 23'!D10</f>
        <v>11978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240241</v>
      </c>
      <c r="C1768" s="2" t="s">
        <v>569</v>
      </c>
      <c r="D1768" s="2" t="str">
        <f t="shared" si="26"/>
        <v>Error?</v>
      </c>
    </row>
    <row r="1769" spans="1:7" x14ac:dyDescent="0.2">
      <c r="A1769" s="5">
        <v>1708</v>
      </c>
      <c r="B1769" s="1832">
        <f>'Tax Sched 23'!D12</f>
        <v>11978</v>
      </c>
      <c r="C1769" s="2" t="s">
        <v>569</v>
      </c>
      <c r="D1769" s="2" t="str">
        <f t="shared" si="26"/>
        <v>Error?</v>
      </c>
    </row>
    <row r="1770" spans="1:7" x14ac:dyDescent="0.2">
      <c r="A1770" s="5">
        <v>1709</v>
      </c>
      <c r="B1770" s="1832">
        <f>'Tax Sched 23'!D14</f>
        <v>9583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1238425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673175</v>
      </c>
      <c r="C1792" s="2" t="s">
        <v>569</v>
      </c>
      <c r="D1792" s="2" t="str">
        <f t="shared" si="27"/>
        <v>Error?</v>
      </c>
    </row>
    <row r="1793" spans="1:4" x14ac:dyDescent="0.2">
      <c r="A1793" s="5">
        <v>1732</v>
      </c>
      <c r="B1793" s="1832">
        <f>'Tax Sched 23'!F5</f>
        <v>174767</v>
      </c>
      <c r="C1793" s="2" t="s">
        <v>569</v>
      </c>
      <c r="D1793" s="2" t="str">
        <f t="shared" si="27"/>
        <v>Error?</v>
      </c>
    </row>
    <row r="1794" spans="1:4" x14ac:dyDescent="0.2">
      <c r="A1794" s="5">
        <v>1733</v>
      </c>
      <c r="B1794" s="1832">
        <f>'Tax Sched 23'!F6</f>
        <v>88998</v>
      </c>
      <c r="C1794" s="2" t="s">
        <v>569</v>
      </c>
      <c r="D1794" s="2" t="str">
        <f t="shared" si="27"/>
        <v>Error?</v>
      </c>
    </row>
    <row r="1795" spans="1:4" x14ac:dyDescent="0.2">
      <c r="A1795" s="5">
        <v>1734</v>
      </c>
      <c r="B1795" s="1832">
        <f>'Tax Sched 23'!F7</f>
        <v>51783</v>
      </c>
      <c r="C1795" s="2" t="s">
        <v>569</v>
      </c>
      <c r="D1795" s="2" t="str">
        <f t="shared" si="27"/>
        <v>Error?</v>
      </c>
    </row>
    <row r="1796" spans="1:4" x14ac:dyDescent="0.2">
      <c r="A1796" s="5">
        <v>1735</v>
      </c>
      <c r="B1796" s="1832">
        <f>'Tax Sched 23'!F8</f>
        <v>66000</v>
      </c>
      <c r="C1796" s="2" t="s">
        <v>569</v>
      </c>
      <c r="D1796" s="2" t="str">
        <f t="shared" si="27"/>
        <v>Error?</v>
      </c>
    </row>
    <row r="1797" spans="1:4" x14ac:dyDescent="0.2">
      <c r="A1797" s="5">
        <v>1736</v>
      </c>
      <c r="B1797" s="1832">
        <f>'Tax Sched 23'!F10</f>
        <v>12946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240000</v>
      </c>
      <c r="C1800" s="2" t="s">
        <v>569</v>
      </c>
      <c r="D1800" s="2" t="str">
        <f t="shared" si="27"/>
        <v>Error?</v>
      </c>
    </row>
    <row r="1801" spans="1:4" x14ac:dyDescent="0.2">
      <c r="A1801" s="5">
        <v>1740</v>
      </c>
      <c r="B1801" s="1832">
        <f>'Tax Sched 23'!F12</f>
        <v>12946</v>
      </c>
      <c r="C1801" s="2" t="s">
        <v>569</v>
      </c>
      <c r="D1801" s="2" t="str">
        <f t="shared" si="27"/>
        <v>Error?</v>
      </c>
    </row>
    <row r="1802" spans="1:4" x14ac:dyDescent="0.2">
      <c r="A1802" s="5">
        <v>1741</v>
      </c>
      <c r="B1802" s="1832">
        <f>'Tax Sched 23'!F14</f>
        <v>10357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1399944</v>
      </c>
      <c r="C1807" s="2" t="s">
        <v>569</v>
      </c>
      <c r="D1807" s="2" t="str">
        <f t="shared" si="27"/>
        <v>Error?</v>
      </c>
    </row>
    <row r="1808" spans="1:4" x14ac:dyDescent="0.2">
      <c r="A1808" s="5">
        <v>1747</v>
      </c>
      <c r="B1808" s="1832">
        <f>'Tax Sched 23'!E4</f>
        <v>673175</v>
      </c>
      <c r="D1808" s="2" t="str">
        <f t="shared" si="27"/>
        <v>Error?</v>
      </c>
    </row>
    <row r="1809" spans="1:4" x14ac:dyDescent="0.2">
      <c r="A1809" s="5">
        <v>1748</v>
      </c>
      <c r="B1809" s="1832">
        <f>'Tax Sched 23'!E5</f>
        <v>174767</v>
      </c>
      <c r="D1809" s="2" t="str">
        <f t="shared" si="27"/>
        <v>Error?</v>
      </c>
    </row>
    <row r="1810" spans="1:4" x14ac:dyDescent="0.2">
      <c r="A1810" s="5">
        <v>1749</v>
      </c>
      <c r="B1810" s="1832">
        <f>'Tax Sched 23'!E6</f>
        <v>88998</v>
      </c>
      <c r="D1810" s="2" t="str">
        <f t="shared" si="27"/>
        <v>Error?</v>
      </c>
    </row>
    <row r="1811" spans="1:4" x14ac:dyDescent="0.2">
      <c r="A1811" s="5">
        <v>1750</v>
      </c>
      <c r="B1811" s="1832">
        <f>'Tax Sched 23'!E7</f>
        <v>51783</v>
      </c>
      <c r="D1811" s="2" t="str">
        <f t="shared" si="27"/>
        <v>Error?</v>
      </c>
    </row>
    <row r="1812" spans="1:4" x14ac:dyDescent="0.2">
      <c r="A1812" s="5">
        <v>1751</v>
      </c>
      <c r="B1812" s="1832">
        <f>'Tax Sched 23'!E8</f>
        <v>66000</v>
      </c>
      <c r="D1812" s="2" t="str">
        <f t="shared" si="27"/>
        <v>Error?</v>
      </c>
    </row>
    <row r="1813" spans="1:4" x14ac:dyDescent="0.2">
      <c r="A1813" s="5">
        <v>1752</v>
      </c>
      <c r="B1813" s="1832">
        <f>'Tax Sched 23'!E10</f>
        <v>12946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240000</v>
      </c>
      <c r="D1816" s="2" t="str">
        <f t="shared" si="27"/>
        <v>Error?</v>
      </c>
    </row>
    <row r="1817" spans="1:4" x14ac:dyDescent="0.2">
      <c r="A1817" s="5">
        <v>1756</v>
      </c>
      <c r="B1817" s="1832">
        <f>'Tax Sched 23'!E12</f>
        <v>12946</v>
      </c>
      <c r="D1817" s="2" t="str">
        <f t="shared" si="27"/>
        <v>Error?</v>
      </c>
    </row>
    <row r="1818" spans="1:4" x14ac:dyDescent="0.2">
      <c r="A1818" s="5">
        <v>1757</v>
      </c>
      <c r="B1818" s="1832">
        <f>'Tax Sched 23'!E14</f>
        <v>10357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1399944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890357</v>
      </c>
      <c r="C1939" s="2" t="s">
        <v>569</v>
      </c>
      <c r="D1939" s="2" t="str">
        <f t="shared" si="29"/>
        <v>Error?</v>
      </c>
    </row>
    <row r="1940" spans="1:5" x14ac:dyDescent="0.2">
      <c r="A1940" s="5">
        <v>1879</v>
      </c>
      <c r="B1940" s="1832">
        <f>'Short-Term Long-Term Debt 24'!F49</f>
        <v>28860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9583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53215</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62798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62798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25000</v>
      </c>
      <c r="D2008" s="2" t="str">
        <f t="shared" si="30"/>
        <v>Error?</v>
      </c>
    </row>
    <row r="2009" spans="1:4" x14ac:dyDescent="0.2">
      <c r="A2009" s="5">
        <v>1948</v>
      </c>
      <c r="B2009" s="1832">
        <f>'Cap Outlay Deprec 26'!C8</f>
        <v>4979903</v>
      </c>
      <c r="D2009" s="2" t="str">
        <f t="shared" si="30"/>
        <v>Error?</v>
      </c>
    </row>
    <row r="2010" spans="1:4" x14ac:dyDescent="0.2">
      <c r="A2010" s="5">
        <v>1949</v>
      </c>
      <c r="B2010" s="1832">
        <f>'Cap Outlay Deprec 26'!C10</f>
        <v>66853</v>
      </c>
      <c r="D2010" s="2" t="str">
        <f t="shared" si="30"/>
        <v>Error?</v>
      </c>
    </row>
    <row r="2011" spans="1:4" x14ac:dyDescent="0.2">
      <c r="A2011" s="5">
        <v>1950</v>
      </c>
      <c r="B2011" s="1832">
        <f>'Cap Outlay Deprec 26'!C12</f>
        <v>757849</v>
      </c>
      <c r="D2011" s="2" t="str">
        <f t="shared" si="30"/>
        <v>Error?</v>
      </c>
    </row>
    <row r="2012" spans="1:4" x14ac:dyDescent="0.2">
      <c r="A2012" s="5">
        <v>1951</v>
      </c>
      <c r="B2012" s="1832">
        <f>'Cap Outlay Deprec 26'!C13</f>
        <v>356095</v>
      </c>
      <c r="D2012" s="2" t="str">
        <f t="shared" si="30"/>
        <v>Error?</v>
      </c>
    </row>
    <row r="2013" spans="1:4" x14ac:dyDescent="0.2">
      <c r="A2013" s="5">
        <v>1952</v>
      </c>
      <c r="B2013" s="1832">
        <f>'Cap Outlay Deprec 26'!C16</f>
        <v>6185700</v>
      </c>
      <c r="C2013" s="2" t="s">
        <v>569</v>
      </c>
      <c r="D2013" s="2" t="str">
        <f t="shared" si="30"/>
        <v>Error?</v>
      </c>
    </row>
    <row r="2014" spans="1:4" x14ac:dyDescent="0.2">
      <c r="A2014" s="5">
        <v>1953</v>
      </c>
      <c r="B2014" s="1832">
        <f>'Cap Outlay Deprec 26'!D5</f>
        <v>8009</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13263</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28860</v>
      </c>
      <c r="D2018" s="2" t="str">
        <f t="shared" si="30"/>
        <v>Error?</v>
      </c>
    </row>
    <row r="2019" spans="1:4" x14ac:dyDescent="0.2">
      <c r="A2019" s="5">
        <v>1958</v>
      </c>
      <c r="B2019" s="1832">
        <f>'Cap Outlay Deprec 26'!D16</f>
        <v>50132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33009</v>
      </c>
      <c r="C2026" s="2" t="s">
        <v>569</v>
      </c>
      <c r="D2026" s="2" t="str">
        <f t="shared" si="30"/>
        <v>Error?</v>
      </c>
    </row>
    <row r="2027" spans="1:4" x14ac:dyDescent="0.2">
      <c r="A2027" s="5">
        <v>1966</v>
      </c>
      <c r="B2027" s="1832">
        <f>'Cap Outlay Deprec 26'!F8</f>
        <v>4979903</v>
      </c>
      <c r="C2027" s="2" t="s">
        <v>569</v>
      </c>
      <c r="D2027" s="2" t="str">
        <f t="shared" si="30"/>
        <v>Error?</v>
      </c>
    </row>
    <row r="2028" spans="1:4" x14ac:dyDescent="0.2">
      <c r="A2028" s="5">
        <v>1967</v>
      </c>
      <c r="B2028" s="1832">
        <f>'Cap Outlay Deprec 26'!F10</f>
        <v>80116</v>
      </c>
      <c r="C2028" s="2" t="s">
        <v>569</v>
      </c>
      <c r="D2028" s="2" t="str">
        <f t="shared" si="30"/>
        <v>Error?</v>
      </c>
    </row>
    <row r="2029" spans="1:4" x14ac:dyDescent="0.2">
      <c r="A2029" s="5">
        <v>1968</v>
      </c>
      <c r="B2029" s="1832">
        <f>'Cap Outlay Deprec 26'!F12</f>
        <v>757849</v>
      </c>
      <c r="C2029" s="2" t="s">
        <v>569</v>
      </c>
      <c r="D2029" s="2" t="str">
        <f t="shared" si="30"/>
        <v>Error?</v>
      </c>
    </row>
    <row r="2030" spans="1:4" x14ac:dyDescent="0.2">
      <c r="A2030" s="5">
        <v>1969</v>
      </c>
      <c r="B2030" s="1832">
        <f>'Cap Outlay Deprec 26'!F13</f>
        <v>384955</v>
      </c>
      <c r="C2030" s="2" t="s">
        <v>569</v>
      </c>
      <c r="D2030" s="2" t="str">
        <f t="shared" si="30"/>
        <v>Error?</v>
      </c>
    </row>
    <row r="2031" spans="1:4" x14ac:dyDescent="0.2">
      <c r="A2031" s="5">
        <v>1970</v>
      </c>
      <c r="B2031" s="1832">
        <f>'Cap Outlay Deprec 26'!F16</f>
        <v>6235832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2026751</v>
      </c>
      <c r="D2033" s="2" t="str">
        <f t="shared" si="30"/>
        <v>Error?</v>
      </c>
    </row>
    <row r="2034" spans="1:4" x14ac:dyDescent="0.2">
      <c r="A2034" s="5">
        <v>1973</v>
      </c>
      <c r="B2034" s="1832">
        <f>'Cap Outlay Deprec 26'!H10</f>
        <v>54323</v>
      </c>
      <c r="D2034" s="2" t="str">
        <f t="shared" si="30"/>
        <v>Error?</v>
      </c>
    </row>
    <row r="2035" spans="1:4" x14ac:dyDescent="0.2">
      <c r="A2035" s="5">
        <v>1974</v>
      </c>
      <c r="B2035" s="1832">
        <f>'Cap Outlay Deprec 26'!H12</f>
        <v>746410</v>
      </c>
      <c r="D2035" s="2" t="str">
        <f t="shared" si="30"/>
        <v>Error?</v>
      </c>
    </row>
    <row r="2036" spans="1:4" x14ac:dyDescent="0.2">
      <c r="A2036" s="5">
        <v>1975</v>
      </c>
      <c r="B2036" s="1832">
        <f>'Cap Outlay Deprec 26'!H13</f>
        <v>248881</v>
      </c>
      <c r="D2036" s="2" t="str">
        <f t="shared" si="30"/>
        <v>Error?</v>
      </c>
    </row>
    <row r="2037" spans="1:4" x14ac:dyDescent="0.2">
      <c r="A2037" s="5">
        <v>1976</v>
      </c>
      <c r="B2037" s="1832">
        <f>'Cap Outlay Deprec 26'!H16</f>
        <v>3076365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99598</v>
      </c>
      <c r="D2039" s="2" t="str">
        <f t="shared" si="30"/>
        <v>Error?</v>
      </c>
    </row>
    <row r="2040" spans="1:4" x14ac:dyDescent="0.2">
      <c r="A2040" s="5">
        <v>1979</v>
      </c>
      <c r="B2040" s="1832">
        <f>'Cap Outlay Deprec 26'!I10</f>
        <v>1461</v>
      </c>
      <c r="D2040" s="2" t="str">
        <f t="shared" si="30"/>
        <v>Error?</v>
      </c>
    </row>
    <row r="2041" spans="1:4" x14ac:dyDescent="0.2">
      <c r="A2041" s="5">
        <v>1980</v>
      </c>
      <c r="B2041" s="1832">
        <f>'Cap Outlay Deprec 26'!I12</f>
        <v>1700</v>
      </c>
      <c r="D2041" s="2" t="str">
        <f t="shared" si="30"/>
        <v>Error?</v>
      </c>
    </row>
    <row r="2042" spans="1:4" x14ac:dyDescent="0.2">
      <c r="A2042" s="5">
        <v>1981</v>
      </c>
      <c r="B2042" s="1832">
        <f>'Cap Outlay Deprec 26'!I13</f>
        <v>38186</v>
      </c>
      <c r="D2042" s="2" t="str">
        <f t="shared" si="30"/>
        <v>Error?</v>
      </c>
    </row>
    <row r="2043" spans="1:4" x14ac:dyDescent="0.2">
      <c r="A2043" s="5">
        <v>1982</v>
      </c>
      <c r="B2043" s="1832">
        <f>'Cap Outlay Deprec 26'!I16</f>
        <v>140945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2126349</v>
      </c>
      <c r="C2051" s="2" t="s">
        <v>569</v>
      </c>
      <c r="D2051" s="2" t="str">
        <f t="shared" si="31"/>
        <v>Error?</v>
      </c>
    </row>
    <row r="2052" spans="1:4" x14ac:dyDescent="0.2">
      <c r="A2052" s="5">
        <v>1991</v>
      </c>
      <c r="B2052" s="1832">
        <f>'Cap Outlay Deprec 26'!K10</f>
        <v>55784</v>
      </c>
      <c r="C2052" s="2" t="s">
        <v>569</v>
      </c>
      <c r="D2052" s="2" t="str">
        <f t="shared" si="31"/>
        <v>Error?</v>
      </c>
    </row>
    <row r="2053" spans="1:4" x14ac:dyDescent="0.2">
      <c r="A2053" s="5">
        <v>1992</v>
      </c>
      <c r="B2053" s="1832">
        <f>'Cap Outlay Deprec 26'!K12</f>
        <v>748110</v>
      </c>
      <c r="C2053" s="2" t="s">
        <v>569</v>
      </c>
      <c r="D2053" s="2" t="str">
        <f t="shared" si="31"/>
        <v>Error?</v>
      </c>
    </row>
    <row r="2054" spans="1:4" x14ac:dyDescent="0.2">
      <c r="A2054" s="5">
        <v>1993</v>
      </c>
      <c r="B2054" s="1832">
        <f>'Cap Outlay Deprec 26'!K13</f>
        <v>287067</v>
      </c>
      <c r="C2054" s="2" t="s">
        <v>569</v>
      </c>
      <c r="D2054" s="2" t="str">
        <f t="shared" si="31"/>
        <v>Error?</v>
      </c>
    </row>
    <row r="2055" spans="1:4" x14ac:dyDescent="0.2">
      <c r="A2055" s="5">
        <v>1994</v>
      </c>
      <c r="B2055" s="1832">
        <f>'Cap Outlay Deprec 26'!K16</f>
        <v>3217310</v>
      </c>
      <c r="C2055" s="2" t="s">
        <v>569</v>
      </c>
      <c r="D2055" s="2" t="str">
        <f t="shared" si="31"/>
        <v>Error?</v>
      </c>
    </row>
    <row r="2056" spans="1:4" x14ac:dyDescent="0.2">
      <c r="A2056" s="5">
        <v>1995</v>
      </c>
      <c r="B2056" s="1832">
        <f>'Cap Outlay Deprec 26'!L5</f>
        <v>33009</v>
      </c>
      <c r="C2056" s="2" t="s">
        <v>569</v>
      </c>
      <c r="D2056" s="2" t="str">
        <f t="shared" si="31"/>
        <v>Error?</v>
      </c>
    </row>
    <row r="2057" spans="1:4" x14ac:dyDescent="0.2">
      <c r="A2057" s="5">
        <v>1996</v>
      </c>
      <c r="B2057" s="1832">
        <f>'Cap Outlay Deprec 26'!L8</f>
        <v>2853554</v>
      </c>
      <c r="C2057" s="2" t="s">
        <v>569</v>
      </c>
      <c r="D2057" s="2" t="str">
        <f t="shared" si="31"/>
        <v>Error?</v>
      </c>
    </row>
    <row r="2058" spans="1:4" x14ac:dyDescent="0.2">
      <c r="A2058" s="5">
        <v>1997</v>
      </c>
      <c r="B2058" s="1832">
        <f>'Cap Outlay Deprec 26'!L10</f>
        <v>24332</v>
      </c>
      <c r="C2058" s="2" t="s">
        <v>569</v>
      </c>
      <c r="D2058" s="2" t="str">
        <f t="shared" si="31"/>
        <v>Error?</v>
      </c>
    </row>
    <row r="2059" spans="1:4" x14ac:dyDescent="0.2">
      <c r="A2059" s="5">
        <v>1998</v>
      </c>
      <c r="B2059" s="1832">
        <f>'Cap Outlay Deprec 26'!L12</f>
        <v>9739</v>
      </c>
      <c r="C2059" s="2" t="s">
        <v>569</v>
      </c>
      <c r="D2059" s="2" t="str">
        <f t="shared" si="31"/>
        <v>Error?</v>
      </c>
    </row>
    <row r="2060" spans="1:4" x14ac:dyDescent="0.2">
      <c r="A2060" s="5">
        <v>1999</v>
      </c>
      <c r="B2060" s="1832">
        <f>'Cap Outlay Deprec 26'!L13</f>
        <v>97888</v>
      </c>
      <c r="C2060" s="2" t="s">
        <v>569</v>
      </c>
      <c r="D2060" s="2" t="str">
        <f t="shared" si="31"/>
        <v>Error?</v>
      </c>
    </row>
    <row r="2061" spans="1:4" x14ac:dyDescent="0.2">
      <c r="A2061" s="5">
        <v>2000</v>
      </c>
      <c r="B2061" s="1832">
        <f>'Cap Outlay Deprec 26'!L16</f>
        <v>3018522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4193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37062</v>
      </c>
      <c r="C2088" s="2" t="s">
        <v>569</v>
      </c>
      <c r="D2088" s="2" t="str">
        <f t="shared" si="31"/>
        <v>Error?</v>
      </c>
    </row>
    <row r="2089" spans="1:4" x14ac:dyDescent="0.2">
      <c r="A2089" s="5">
        <v>2028</v>
      </c>
      <c r="B2089" s="1832">
        <f>'Expenditures 15-22'!K92</f>
        <v>99027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799599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1664276</v>
      </c>
      <c r="C2553" s="2" t="s">
        <v>569</v>
      </c>
      <c r="D2553" s="2" t="str">
        <f t="shared" si="38"/>
        <v>Error?</v>
      </c>
    </row>
    <row r="2554" spans="1:4" x14ac:dyDescent="0.2">
      <c r="A2554" s="5">
        <v>2493</v>
      </c>
      <c r="B2554" s="1832">
        <f>'Acct Summary 7-8'!C7</f>
        <v>322534</v>
      </c>
      <c r="C2554" s="2" t="s">
        <v>569</v>
      </c>
      <c r="D2554" s="2" t="str">
        <f t="shared" si="38"/>
        <v>Error?</v>
      </c>
    </row>
    <row r="2555" spans="1:4" x14ac:dyDescent="0.2">
      <c r="A2555" s="5">
        <v>2494</v>
      </c>
      <c r="B2555" s="1832">
        <f>'Acct Summary 7-8'!C8</f>
        <v>2786409</v>
      </c>
      <c r="C2555" s="2" t="s">
        <v>569</v>
      </c>
      <c r="D2555" s="2" t="str">
        <f t="shared" si="38"/>
        <v>Error?</v>
      </c>
    </row>
    <row r="2556" spans="1:4" x14ac:dyDescent="0.2">
      <c r="A2556" s="5">
        <v>2495</v>
      </c>
      <c r="B2556" s="1832">
        <f>'Acct Summary 7-8'!C12</f>
        <v>1640975</v>
      </c>
      <c r="C2556" s="2" t="s">
        <v>569</v>
      </c>
      <c r="D2556" s="2" t="str">
        <f t="shared" si="38"/>
        <v>Error?</v>
      </c>
    </row>
    <row r="2557" spans="1:4" x14ac:dyDescent="0.2">
      <c r="A2557" s="5">
        <v>2496</v>
      </c>
      <c r="B2557" s="1832">
        <f>'Acct Summary 7-8'!C13</f>
        <v>678381</v>
      </c>
      <c r="C2557" s="2" t="s">
        <v>569</v>
      </c>
      <c r="D2557" s="2" t="str">
        <f t="shared" si="38"/>
        <v>Error?</v>
      </c>
    </row>
    <row r="2558" spans="1:4" x14ac:dyDescent="0.2">
      <c r="A2558" s="5">
        <v>2497</v>
      </c>
      <c r="B2558" s="1832">
        <f>'Acct Summary 7-8'!C14</f>
        <v>37462</v>
      </c>
      <c r="C2558" s="2" t="s">
        <v>569</v>
      </c>
      <c r="D2558" s="2" t="str">
        <f t="shared" si="38"/>
        <v>Error?</v>
      </c>
    </row>
    <row r="2559" spans="1:4" x14ac:dyDescent="0.2">
      <c r="A2559" s="5">
        <v>2498</v>
      </c>
      <c r="B2559" s="1832">
        <f>'Acct Summary 7-8'!C15</f>
        <v>185902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2542720</v>
      </c>
      <c r="C2561" s="2" t="s">
        <v>569</v>
      </c>
      <c r="D2561" s="2" t="str">
        <f t="shared" si="39"/>
        <v>Error?</v>
      </c>
    </row>
    <row r="2562" spans="1:4" x14ac:dyDescent="0.2">
      <c r="A2562" s="5">
        <v>2501</v>
      </c>
      <c r="B2562" s="1832">
        <f>'Acct Summary 7-8'!C20</f>
        <v>243689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163433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198433</v>
      </c>
      <c r="C2568" s="2" t="s">
        <v>569</v>
      </c>
      <c r="D2568" s="2" t="str">
        <f t="shared" si="39"/>
        <v>Error?</v>
      </c>
    </row>
    <row r="2569" spans="1:4" x14ac:dyDescent="0.2">
      <c r="A2569" s="5">
        <v>2508</v>
      </c>
      <c r="B2569" s="1832">
        <f>'Acct Summary 7-8'!D13</f>
        <v>172152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172152</v>
      </c>
      <c r="C2573" s="2" t="s">
        <v>569</v>
      </c>
      <c r="D2573" s="2" t="str">
        <f t="shared" si="39"/>
        <v>Error?</v>
      </c>
    </row>
    <row r="2574" spans="1:4" x14ac:dyDescent="0.2">
      <c r="A2574" s="5">
        <v>2513</v>
      </c>
      <c r="B2574" s="1832">
        <f>'Acct Summary 7-8'!D20</f>
        <v>26281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48502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117108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165610</v>
      </c>
      <c r="C2595" s="2" t="s">
        <v>569</v>
      </c>
      <c r="D2595" s="2" t="str">
        <f t="shared" si="39"/>
        <v>Error?</v>
      </c>
    </row>
    <row r="2596" spans="1:4" x14ac:dyDescent="0.2">
      <c r="A2596" s="5">
        <v>2535</v>
      </c>
      <c r="B2596" s="1832">
        <f>'Acct Summary 7-8'!F13</f>
        <v>148159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43290</v>
      </c>
      <c r="C2599" s="2" t="s">
        <v>569</v>
      </c>
      <c r="D2599" s="2" t="str">
        <f t="shared" si="39"/>
        <v>Error?</v>
      </c>
    </row>
    <row r="2600" spans="1:4" x14ac:dyDescent="0.2">
      <c r="A2600" s="5">
        <v>2539</v>
      </c>
      <c r="B2600" s="1832">
        <f>'Acct Summary 7-8'!F17</f>
        <v>191449</v>
      </c>
      <c r="C2600" s="2" t="s">
        <v>569</v>
      </c>
      <c r="D2600" s="2" t="str">
        <f t="shared" si="39"/>
        <v>Error?</v>
      </c>
    </row>
    <row r="2601" spans="1:4" x14ac:dyDescent="0.2">
      <c r="A2601" s="5">
        <v>2540</v>
      </c>
      <c r="B2601" s="1832">
        <f>'Acct Summary 7-8'!F20</f>
        <v>-25839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123274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123274</v>
      </c>
      <c r="C2606" s="2" t="s">
        <v>569</v>
      </c>
      <c r="D2606" s="2" t="str">
        <f t="shared" si="39"/>
        <v>Error?</v>
      </c>
    </row>
    <row r="2607" spans="1:4" x14ac:dyDescent="0.2">
      <c r="A2607" s="5">
        <v>2546</v>
      </c>
      <c r="B2607" s="1832">
        <f>'Acct Summary 7-8'!G12</f>
        <v>47692</v>
      </c>
      <c r="C2607" s="2" t="s">
        <v>569</v>
      </c>
      <c r="D2607" s="2" t="str">
        <f t="shared" si="39"/>
        <v>Error?</v>
      </c>
    </row>
    <row r="2608" spans="1:4" x14ac:dyDescent="0.2">
      <c r="A2608" s="5">
        <v>2547</v>
      </c>
      <c r="B2608" s="1832">
        <f>'Acct Summary 7-8'!G13</f>
        <v>71984</v>
      </c>
      <c r="C2608" s="2" t="s">
        <v>569</v>
      </c>
      <c r="D2608" s="2" t="str">
        <f t="shared" si="39"/>
        <v>Error?</v>
      </c>
    </row>
    <row r="2609" spans="1:4" x14ac:dyDescent="0.2">
      <c r="A2609" s="5">
        <v>2548</v>
      </c>
      <c r="B2609" s="1832">
        <f>'Acct Summary 7-8'!G14</f>
        <v>4840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124516</v>
      </c>
      <c r="C2612" s="2" t="s">
        <v>569</v>
      </c>
      <c r="D2612" s="2" t="str">
        <f t="shared" si="39"/>
        <v>Error?</v>
      </c>
    </row>
    <row r="2613" spans="1:4" x14ac:dyDescent="0.2">
      <c r="A2613" s="5">
        <v>2552</v>
      </c>
      <c r="B2613" s="1832">
        <f>'Acct Summary 7-8'!G20</f>
        <v>-1242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30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128562</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178562</v>
      </c>
      <c r="C2658" s="2" t="s">
        <v>569</v>
      </c>
      <c r="D2658" s="2" t="str">
        <f t="shared" si="40"/>
        <v>Error?</v>
      </c>
    </row>
    <row r="2659" spans="1:4" x14ac:dyDescent="0.2">
      <c r="A2659" s="5">
        <v>2598</v>
      </c>
      <c r="B2659" s="1832">
        <f>'Acct Summary 7-8'!H13</f>
        <v>10212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10212</v>
      </c>
      <c r="C2661" s="2" t="s">
        <v>569</v>
      </c>
      <c r="D2661" s="2" t="str">
        <f t="shared" si="40"/>
        <v>Error?</v>
      </c>
    </row>
    <row r="2662" spans="1:4" x14ac:dyDescent="0.2">
      <c r="A2662" s="5">
        <v>2601</v>
      </c>
      <c r="B2662" s="1832">
        <f>'Acct Summary 7-8'!H20</f>
        <v>168350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559</v>
      </c>
      <c r="D2720" s="2" t="str">
        <f t="shared" si="41"/>
        <v>Error?</v>
      </c>
    </row>
    <row r="2721" spans="1:4" x14ac:dyDescent="0.2">
      <c r="A2721" s="5">
        <v>2660</v>
      </c>
      <c r="B2721" s="1832">
        <f>'Expenditures 15-22'!F51</f>
        <v>1500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2059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32869</v>
      </c>
      <c r="C2789" s="2" t="s">
        <v>569</v>
      </c>
      <c r="D2789" s="2" t="str">
        <f t="shared" si="42"/>
        <v>Error?</v>
      </c>
    </row>
    <row r="2790" spans="1:4" x14ac:dyDescent="0.2">
      <c r="A2790" s="5">
        <v>2729</v>
      </c>
      <c r="B2790" s="1832">
        <f>'Expenditures 15-22'!E102</f>
        <v>82682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117474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99607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117474</v>
      </c>
      <c r="D2912" s="2" t="str">
        <f t="shared" si="44"/>
        <v>Error?</v>
      </c>
    </row>
    <row r="2913" spans="1:4" x14ac:dyDescent="0.2">
      <c r="A2913" s="5">
        <v>2852</v>
      </c>
      <c r="B2913" s="1832">
        <f>'Assets-Liab 5-6'!I41</f>
        <v>117474</v>
      </c>
      <c r="C2913" s="2" t="s">
        <v>569</v>
      </c>
      <c r="D2913" s="2" t="str">
        <f t="shared" si="44"/>
        <v>Error?</v>
      </c>
    </row>
    <row r="2914" spans="1:4" x14ac:dyDescent="0.2">
      <c r="A2914" s="5">
        <v>2853</v>
      </c>
      <c r="B2914" s="1832">
        <f>'Assets-Liab 5-6'!L33</f>
        <v>99607</v>
      </c>
      <c r="D2914" s="2" t="str">
        <f t="shared" si="44"/>
        <v>Error?</v>
      </c>
    </row>
    <row r="2915" spans="1:4" x14ac:dyDescent="0.2">
      <c r="A2915" s="10">
        <v>2854</v>
      </c>
      <c r="B2915" s="1832"/>
      <c r="D2915" s="2" t="str">
        <f t="shared" si="44"/>
        <v>OK</v>
      </c>
    </row>
    <row r="2916" spans="1:4" x14ac:dyDescent="0.2">
      <c r="A2916" s="5">
        <v>2855</v>
      </c>
      <c r="B2916" s="1832">
        <f>'Assets-Liab 5-6'!L34</f>
        <v>99607</v>
      </c>
      <c r="C2916" s="2" t="s">
        <v>569</v>
      </c>
      <c r="D2916" s="2" t="str">
        <f t="shared" si="44"/>
        <v>Error?</v>
      </c>
    </row>
    <row r="2917" spans="1:4" x14ac:dyDescent="0.2">
      <c r="A2917" s="5">
        <v>2856</v>
      </c>
      <c r="B2917" s="1832">
        <f>'Assets-Liab 5-6'!L41</f>
        <v>99607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49813</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32869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4193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37062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21736</v>
      </c>
      <c r="D3055" s="2" t="str">
        <f t="shared" si="46"/>
        <v>Error?</v>
      </c>
    </row>
    <row r="3056" spans="1:4" x14ac:dyDescent="0.2">
      <c r="A3056" s="5">
        <v>2995</v>
      </c>
      <c r="B3056" s="1832">
        <f>'Expenditures 15-22'!D10</f>
        <v>2571</v>
      </c>
      <c r="D3056" s="2" t="str">
        <f t="shared" si="46"/>
        <v>Error?</v>
      </c>
    </row>
    <row r="3057" spans="1:4" x14ac:dyDescent="0.2">
      <c r="A3057" s="5">
        <v>2996</v>
      </c>
      <c r="B3057" s="1832">
        <f>'Expenditures 15-22'!E10</f>
        <v>6765</v>
      </c>
      <c r="D3057" s="2" t="str">
        <f t="shared" si="46"/>
        <v>Error?</v>
      </c>
    </row>
    <row r="3058" spans="1:4" x14ac:dyDescent="0.2">
      <c r="A3058" s="5">
        <v>2997</v>
      </c>
      <c r="B3058" s="1832">
        <f>'Expenditures 15-22'!F10</f>
        <v>15463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46535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3418</v>
      </c>
      <c r="D3064" s="2" t="str">
        <f t="shared" si="46"/>
        <v>Error?</v>
      </c>
    </row>
    <row r="3065" spans="1:4" x14ac:dyDescent="0.2">
      <c r="A3065" s="5">
        <v>3004</v>
      </c>
      <c r="B3065" s="1832">
        <f>'Expenditures 15-22'!K219</f>
        <v>3418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12163</v>
      </c>
      <c r="C3225" s="2" t="s">
        <v>569</v>
      </c>
      <c r="D3225" s="2" t="str">
        <f t="shared" si="49"/>
        <v>Error?</v>
      </c>
    </row>
    <row r="3226" spans="1:4" x14ac:dyDescent="0.2">
      <c r="A3226" s="5">
        <v>3165</v>
      </c>
      <c r="B3226" s="1832">
        <f>'Acct Summary 7-8'!I8</f>
        <v>12163</v>
      </c>
      <c r="C3226" s="2" t="s">
        <v>569</v>
      </c>
      <c r="D3226" s="2" t="str">
        <f t="shared" si="49"/>
        <v>Error?</v>
      </c>
    </row>
    <row r="3227" spans="1:4" x14ac:dyDescent="0.2">
      <c r="A3227" s="5">
        <v>3166</v>
      </c>
      <c r="B3227" s="1832">
        <f>'Acct Summary 7-8'!I20</f>
        <v>12163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243689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26281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28860</v>
      </c>
      <c r="D3251" s="2" t="str">
        <f t="shared" si="49"/>
        <v>Error?</v>
      </c>
    </row>
    <row r="3252" spans="1:4" x14ac:dyDescent="0.2">
      <c r="A3252" s="5">
        <v>3191</v>
      </c>
      <c r="B3252" s="1832">
        <f>'Acct Summary 7-8'!F44</f>
        <v>28860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28860</v>
      </c>
      <c r="C3255" s="2" t="s">
        <v>569</v>
      </c>
      <c r="D3255" s="2" t="str">
        <f t="shared" si="49"/>
        <v>Error?</v>
      </c>
    </row>
    <row r="3256" spans="1:4" x14ac:dyDescent="0.2">
      <c r="A3256" s="5">
        <v>3195</v>
      </c>
      <c r="B3256" s="1832">
        <f>'Acct Summary 7-8'!F78</f>
        <v>3021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-1242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118538</v>
      </c>
      <c r="D3297" s="2" t="str">
        <f t="shared" si="50"/>
        <v>Error?</v>
      </c>
    </row>
    <row r="3298" spans="1:4" x14ac:dyDescent="0.2">
      <c r="A3298" s="5">
        <v>3237</v>
      </c>
      <c r="B3298" s="1832">
        <f>'Acct Summary 7-8'!H76</f>
        <v>118538</v>
      </c>
      <c r="C3298" s="2" t="s">
        <v>569</v>
      </c>
      <c r="D3298" s="2" t="str">
        <f t="shared" si="50"/>
        <v>Error?</v>
      </c>
    </row>
    <row r="3299" spans="1:4" x14ac:dyDescent="0.2">
      <c r="A3299" s="5">
        <v>3238</v>
      </c>
      <c r="B3299" s="1832">
        <f>'Acct Summary 7-8'!H77</f>
        <v>-118538</v>
      </c>
      <c r="C3299" s="2" t="s">
        <v>569</v>
      </c>
      <c r="D3299" s="2" t="str">
        <f t="shared" si="50"/>
        <v>Error?</v>
      </c>
    </row>
    <row r="3300" spans="1:4" x14ac:dyDescent="0.2">
      <c r="A3300" s="5">
        <v>3239</v>
      </c>
      <c r="B3300" s="1832">
        <f>'Acct Summary 7-8'!H78</f>
        <v>49812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12163</v>
      </c>
      <c r="C3320" s="2" t="s">
        <v>569</v>
      </c>
      <c r="D3320" s="2" t="str">
        <f t="shared" si="50"/>
        <v>Error?</v>
      </c>
    </row>
    <row r="3321" spans="1:4" x14ac:dyDescent="0.2">
      <c r="A3321" s="5">
        <v>3260</v>
      </c>
      <c r="B3321" s="1832">
        <f>'Acct Summary 7-8'!I79</f>
        <v>105311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117474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325066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26347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436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351849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18834</v>
      </c>
      <c r="D3387" s="2" t="str">
        <f t="shared" si="51"/>
        <v>Error?</v>
      </c>
    </row>
    <row r="3388" spans="1:4" x14ac:dyDescent="0.2">
      <c r="A3388" s="5">
        <v>3327</v>
      </c>
      <c r="B3388" s="1832">
        <f>'Expenditures 15-22'!D217</f>
        <v>19417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18834</v>
      </c>
      <c r="C3390" s="2" t="s">
        <v>569</v>
      </c>
      <c r="D3390" s="2" t="str">
        <f t="shared" si="51"/>
        <v>Error?</v>
      </c>
    </row>
    <row r="3391" spans="1:4" x14ac:dyDescent="0.2">
      <c r="A3391" s="5">
        <v>3330</v>
      </c>
      <c r="B3391" s="1832">
        <f>'Expenditures 15-22'!K217</f>
        <v>19417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394713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62677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18231</v>
      </c>
      <c r="D3417" s="2" t="str">
        <f t="shared" si="52"/>
        <v>Error?</v>
      </c>
    </row>
    <row r="3418" spans="1:4" x14ac:dyDescent="0.2">
      <c r="A3418" s="10">
        <v>3357</v>
      </c>
      <c r="B3418" s="1832"/>
      <c r="D3418" s="2" t="str">
        <f t="shared" si="52"/>
        <v>OK</v>
      </c>
    </row>
    <row r="3419" spans="1:4" x14ac:dyDescent="0.2">
      <c r="A3419" s="5">
        <v>3358</v>
      </c>
      <c r="B3419" s="1832">
        <f>'Assets-Liab 5-6'!F4</f>
        <v>46650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8985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240443</v>
      </c>
      <c r="D3425" s="2" t="str">
        <f t="shared" si="52"/>
        <v>Error?</v>
      </c>
    </row>
    <row r="3426" spans="1:4" x14ac:dyDescent="0.2">
      <c r="A3426" s="10">
        <v>3365</v>
      </c>
      <c r="B3426" s="1832"/>
      <c r="D3426" s="2" t="str">
        <f t="shared" si="52"/>
        <v>OK</v>
      </c>
    </row>
    <row r="3427" spans="1:4" x14ac:dyDescent="0.2">
      <c r="A3427" s="5">
        <v>3366</v>
      </c>
      <c r="B3427" s="1832">
        <f>'Assets-Liab 5-6'!I4</f>
        <v>117474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99607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55056</v>
      </c>
      <c r="C3446" s="2" t="s">
        <v>569</v>
      </c>
      <c r="D3446" s="2" t="str">
        <f t="shared" si="52"/>
        <v>Error?</v>
      </c>
    </row>
    <row r="3447" spans="1:4" x14ac:dyDescent="0.2">
      <c r="A3447" s="5">
        <v>3386</v>
      </c>
      <c r="B3447" s="1832">
        <f>'Tax Sched 23'!D16</f>
        <v>55056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56000</v>
      </c>
      <c r="C3449" s="2" t="s">
        <v>569</v>
      </c>
      <c r="D3449" s="2" t="str">
        <f t="shared" si="52"/>
        <v>Error?</v>
      </c>
    </row>
    <row r="3450" spans="1:4" x14ac:dyDescent="0.2">
      <c r="A3450" s="5">
        <v>3389</v>
      </c>
      <c r="B3450" s="1832">
        <f>'Tax Sched 23'!E16</f>
        <v>56000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51238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51238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51238</v>
      </c>
      <c r="D3567" s="2" t="str">
        <f t="shared" si="54"/>
        <v>Error?</v>
      </c>
    </row>
    <row r="3568" spans="1:4" x14ac:dyDescent="0.2">
      <c r="A3568" s="5">
        <v>3507</v>
      </c>
      <c r="B3568" s="1832">
        <f>'Assets-Liab 5-6'!K41</f>
        <v>51238</v>
      </c>
      <c r="C3568" s="2" t="s">
        <v>569</v>
      </c>
      <c r="D3568" s="2" t="str">
        <f t="shared" si="54"/>
        <v>Error?</v>
      </c>
    </row>
    <row r="3569" spans="1:4" x14ac:dyDescent="0.2">
      <c r="A3569" s="5">
        <v>3508</v>
      </c>
      <c r="B3569" s="1832">
        <f>'Acct Summary 7-8'!K4</f>
        <v>12053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12053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12053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12053</v>
      </c>
      <c r="C3588" s="2" t="s">
        <v>569</v>
      </c>
      <c r="D3588" s="2" t="str">
        <f t="shared" si="55"/>
        <v>Error?</v>
      </c>
    </row>
    <row r="3589" spans="1:4" x14ac:dyDescent="0.2">
      <c r="A3589" s="5">
        <v>3528</v>
      </c>
      <c r="B3589" s="1832">
        <f>'Acct Summary 7-8'!K79</f>
        <v>39185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51238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12053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11991</v>
      </c>
      <c r="C3725" s="2" t="s">
        <v>569</v>
      </c>
      <c r="D3725" s="2" t="str">
        <f t="shared" si="57"/>
        <v>Error?</v>
      </c>
    </row>
    <row r="3726" spans="1:4" x14ac:dyDescent="0.2">
      <c r="A3726" s="5">
        <v>3665</v>
      </c>
      <c r="B3726" s="1832">
        <f>'Tax Sched 23'!D13</f>
        <v>11991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12972</v>
      </c>
      <c r="C3728" s="2" t="s">
        <v>569</v>
      </c>
      <c r="D3728" s="2" t="str">
        <f t="shared" si="57"/>
        <v>Error?</v>
      </c>
    </row>
    <row r="3729" spans="1:4" x14ac:dyDescent="0.2">
      <c r="A3729" s="5">
        <v>3668</v>
      </c>
      <c r="B3729" s="1832">
        <f>'Tax Sched 23'!E13</f>
        <v>12972</v>
      </c>
      <c r="D3729" s="2" t="str">
        <f t="shared" si="57"/>
        <v>Error?</v>
      </c>
    </row>
    <row r="3730" spans="1:4" x14ac:dyDescent="0.2">
      <c r="A3730" s="5">
        <v>3669</v>
      </c>
      <c r="B3730" s="1832">
        <f>'ICR Computation 30'!E10</f>
        <v>35497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1259930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4046339</v>
      </c>
      <c r="C4122" s="2" t="s">
        <v>569</v>
      </c>
      <c r="D4122" s="2" t="str">
        <f t="shared" si="63"/>
        <v>Error?</v>
      </c>
    </row>
    <row r="4123" spans="1:4" x14ac:dyDescent="0.2">
      <c r="A4123" s="5">
        <v>4062</v>
      </c>
      <c r="B4123" s="1832">
        <f>'Acct Summary 7-8'!D10</f>
        <v>198433</v>
      </c>
      <c r="C4123" s="2" t="s">
        <v>569</v>
      </c>
      <c r="D4123" s="2" t="str">
        <f t="shared" si="63"/>
        <v>Error?</v>
      </c>
    </row>
    <row r="4124" spans="1:4" x14ac:dyDescent="0.2">
      <c r="A4124" s="5">
        <v>4063</v>
      </c>
      <c r="B4124" s="1832">
        <f>'Acct Summary 7-8'!E10</f>
        <v>30</v>
      </c>
      <c r="C4124" s="2" t="s">
        <v>569</v>
      </c>
      <c r="D4124" s="2" t="str">
        <f t="shared" si="63"/>
        <v>Error?</v>
      </c>
    </row>
    <row r="4125" spans="1:4" x14ac:dyDescent="0.2">
      <c r="A4125" s="5">
        <v>4064</v>
      </c>
      <c r="B4125" s="1832">
        <f>'Acct Summary 7-8'!F10</f>
        <v>165610</v>
      </c>
      <c r="C4125" s="2" t="s">
        <v>569</v>
      </c>
      <c r="D4125" s="2" t="str">
        <f t="shared" si="63"/>
        <v>Error?</v>
      </c>
    </row>
    <row r="4126" spans="1:4" x14ac:dyDescent="0.2">
      <c r="A4126" s="5">
        <v>4065</v>
      </c>
      <c r="B4126" s="1832">
        <f>'Acct Summary 7-8'!G10</f>
        <v>123274</v>
      </c>
      <c r="C4126" s="2" t="s">
        <v>569</v>
      </c>
      <c r="D4126" s="2" t="str">
        <f t="shared" si="63"/>
        <v>Error?</v>
      </c>
    </row>
    <row r="4127" spans="1:4" x14ac:dyDescent="0.2">
      <c r="A4127" s="5">
        <v>4066</v>
      </c>
      <c r="B4127" s="1832">
        <f>'Acct Summary 7-8'!H10</f>
        <v>178562</v>
      </c>
      <c r="C4127" s="2" t="s">
        <v>569</v>
      </c>
      <c r="D4127" s="2" t="str">
        <f t="shared" si="63"/>
        <v>Error?</v>
      </c>
    </row>
    <row r="4128" spans="1:4" x14ac:dyDescent="0.2">
      <c r="A4128" s="5">
        <v>4067</v>
      </c>
      <c r="B4128" s="1832">
        <f>'Acct Summary 7-8'!I10</f>
        <v>12163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12053</v>
      </c>
      <c r="C4130" s="2" t="s">
        <v>569</v>
      </c>
      <c r="D4130" s="2" t="str">
        <f t="shared" si="63"/>
        <v>Error?</v>
      </c>
    </row>
    <row r="4131" spans="1:4" x14ac:dyDescent="0.2">
      <c r="A4131" s="5">
        <v>4070</v>
      </c>
      <c r="B4131" s="1832">
        <f>'Acct Summary 7-8'!C18</f>
        <v>1259930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3802650</v>
      </c>
      <c r="C4136" s="2" t="s">
        <v>569</v>
      </c>
      <c r="D4136" s="2" t="str">
        <f t="shared" si="63"/>
        <v>Error?</v>
      </c>
    </row>
    <row r="4137" spans="1:4" x14ac:dyDescent="0.2">
      <c r="A4137" s="5">
        <v>4076</v>
      </c>
      <c r="B4137" s="1832">
        <f>'Acct Summary 7-8'!D19</f>
        <v>172152</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191449</v>
      </c>
      <c r="C4139" s="2" t="s">
        <v>569</v>
      </c>
      <c r="D4139" s="2" t="str">
        <f t="shared" si="63"/>
        <v>Error?</v>
      </c>
    </row>
    <row r="4140" spans="1:4" x14ac:dyDescent="0.2">
      <c r="A4140" s="5">
        <v>4079</v>
      </c>
      <c r="B4140" s="1832">
        <f>'Acct Summary 7-8'!G19</f>
        <v>124516</v>
      </c>
      <c r="C4140" s="2" t="s">
        <v>569</v>
      </c>
      <c r="D4140" s="2" t="str">
        <f t="shared" si="63"/>
        <v>Error?</v>
      </c>
    </row>
    <row r="4141" spans="1:4" x14ac:dyDescent="0.2">
      <c r="A4141" s="5">
        <v>4080</v>
      </c>
      <c r="B4141" s="1832">
        <f>'Acct Summary 7-8'!H19</f>
        <v>10212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798230</v>
      </c>
      <c r="C4171" s="2" t="s">
        <v>569</v>
      </c>
      <c r="D4171" s="2" t="str">
        <f t="shared" si="64"/>
        <v>Error?</v>
      </c>
    </row>
    <row r="4172" spans="1:4" x14ac:dyDescent="0.2">
      <c r="A4172" s="5">
        <v>4111</v>
      </c>
      <c r="B4172" s="1832">
        <f>'Short-Term Long-Term Debt 24'!J49</f>
        <v>779999</v>
      </c>
      <c r="C4172" s="2" t="s">
        <v>569</v>
      </c>
      <c r="D4172" s="2" t="str">
        <f t="shared" si="64"/>
        <v>Error?</v>
      </c>
    </row>
    <row r="4173" spans="1:4" x14ac:dyDescent="0.2">
      <c r="A4173" s="5">
        <v>4112</v>
      </c>
      <c r="B4173" s="1832">
        <f>'Short-Term Long-Term Debt 24'!H49</f>
        <v>120987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27987</v>
      </c>
      <c r="D4210" s="2" t="str">
        <f t="shared" si="64"/>
        <v>Error?</v>
      </c>
    </row>
    <row r="4211" spans="1:4" x14ac:dyDescent="0.2">
      <c r="A4211" s="5">
        <v>4150</v>
      </c>
      <c r="B4211" s="1832">
        <f>'Expenditures 15-22'!K206</f>
        <v>27987</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2600</v>
      </c>
      <c r="C4265" s="2" t="s">
        <v>569</v>
      </c>
      <c r="D4265" s="2" t="str">
        <f t="shared" si="65"/>
        <v>Error?</v>
      </c>
      <c r="E4265" s="125"/>
    </row>
    <row r="4266" spans="1:5" x14ac:dyDescent="0.2">
      <c r="A4266" s="12">
        <v>4205</v>
      </c>
      <c r="B4266" s="1832">
        <f>('FP Info 3'!F10)*100000</f>
        <v>675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3475.0000000000005</v>
      </c>
      <c r="C4268" s="2" t="s">
        <v>569</v>
      </c>
      <c r="D4268" s="2" t="str">
        <f t="shared" si="65"/>
        <v>Error?</v>
      </c>
    </row>
    <row r="4269" spans="1:5" x14ac:dyDescent="0.2">
      <c r="A4269" s="12">
        <v>4208</v>
      </c>
      <c r="B4269" s="1832">
        <f>'FP Info 3'!J16</f>
        <v>1648776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16933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14748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14748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18249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50000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24164584</v>
      </c>
      <c r="D4995" s="2" t="str">
        <f t="shared" si="77"/>
        <v>Error?</v>
      </c>
    </row>
    <row r="4996" spans="1:4" x14ac:dyDescent="0.2">
      <c r="A4996" s="12">
        <v>4935</v>
      </c>
      <c r="B4996" s="1832">
        <f>'FP Info 3'!H31</f>
        <v>3334712.5920000002</v>
      </c>
      <c r="D4996" s="2" t="str">
        <f t="shared" si="77"/>
        <v>Error?</v>
      </c>
    </row>
    <row r="4997" spans="1:4" x14ac:dyDescent="0.2">
      <c r="A4997" s="12">
        <v>4936</v>
      </c>
      <c r="B4997" s="1832">
        <f>'FP Info 3'!H37</f>
        <v>798230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11991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622901</v>
      </c>
      <c r="D5061" s="2" t="str">
        <f t="shared" si="78"/>
        <v>Error?</v>
      </c>
    </row>
    <row r="5062" spans="1:4" x14ac:dyDescent="0.2">
      <c r="A5062" s="10">
        <v>5001</v>
      </c>
      <c r="B5062" s="1832"/>
      <c r="D5062" s="2" t="str">
        <f t="shared" si="78"/>
        <v>OK</v>
      </c>
    </row>
    <row r="5063" spans="1:4" x14ac:dyDescent="0.2">
      <c r="A5063" s="5">
        <v>5002</v>
      </c>
      <c r="B5063" s="1832">
        <f>'Revenues 9-14'!C7</f>
        <v>9583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644475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96910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96910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13911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13911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822</v>
      </c>
      <c r="D5093" s="2" t="str">
        <f t="shared" si="78"/>
        <v>Error?</v>
      </c>
    </row>
    <row r="5094" spans="1:4" x14ac:dyDescent="0.2">
      <c r="A5094" s="5">
        <v>5033</v>
      </c>
      <c r="B5094" s="1832">
        <f>'Revenues 9-14'!C73</f>
        <v>1190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23347</v>
      </c>
      <c r="C5096" s="2" t="s">
        <v>569</v>
      </c>
      <c r="D5096" s="2" t="str">
        <f t="shared" si="78"/>
        <v>Error?</v>
      </c>
    </row>
    <row r="5097" spans="1:4" x14ac:dyDescent="0.2">
      <c r="A5097" s="5">
        <v>5036</v>
      </c>
      <c r="B5097" s="1832">
        <f>'Revenues 9-14'!C77</f>
        <v>9671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2006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11677</v>
      </c>
      <c r="C5102" s="2" t="s">
        <v>569</v>
      </c>
      <c r="D5102" s="2" t="str">
        <f t="shared" si="78"/>
        <v>Error?</v>
      </c>
    </row>
    <row r="5103" spans="1:4" x14ac:dyDescent="0.2">
      <c r="A5103" s="5">
        <v>5042</v>
      </c>
      <c r="B5103" s="1832">
        <f>'Revenues 9-14'!C84</f>
        <v>5244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5244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2605</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4035</v>
      </c>
      <c r="C5120" s="2" t="s">
        <v>569</v>
      </c>
      <c r="D5120" s="2" t="str">
        <f t="shared" si="79"/>
        <v>Error?</v>
      </c>
    </row>
    <row r="5121" spans="1:4" x14ac:dyDescent="0.2">
      <c r="A5121" s="5">
        <v>5060</v>
      </c>
      <c r="B5121" s="1832">
        <f>'Revenues 9-14'!C109</f>
        <v>799599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1527185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1527185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10620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939</v>
      </c>
      <c r="D5167" s="2" t="str">
        <f t="shared" si="79"/>
        <v>Error?</v>
      </c>
    </row>
    <row r="5168" spans="1:4" x14ac:dyDescent="0.2">
      <c r="A5168" s="5">
        <v>5107</v>
      </c>
      <c r="B5168" s="1832">
        <f>'Revenues 9-14'!C148</f>
        <v>1258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123524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137091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1664276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46036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15998</v>
      </c>
      <c r="D5241" s="2" t="str">
        <f t="shared" si="80"/>
        <v>Error?</v>
      </c>
    </row>
    <row r="5242" spans="1:4" x14ac:dyDescent="0.2">
      <c r="A5242" s="5">
        <v>5181</v>
      </c>
      <c r="B5242" s="1832">
        <f>'Revenues 9-14'!C194</f>
        <v>60680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122714</v>
      </c>
      <c r="C5246" s="2" t="s">
        <v>569</v>
      </c>
      <c r="D5246" s="2" t="str">
        <f t="shared" si="80"/>
        <v>Error?</v>
      </c>
    </row>
    <row r="5247" spans="1:4" x14ac:dyDescent="0.2">
      <c r="A5247" s="5">
        <v>5186</v>
      </c>
      <c r="B5247" s="1832">
        <f>'Revenues 9-14'!C200</f>
        <v>104493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104493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968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43971</v>
      </c>
      <c r="D5278" s="2" t="str">
        <f t="shared" si="81"/>
        <v>Error?</v>
      </c>
    </row>
    <row r="5279" spans="1:4" x14ac:dyDescent="0.2">
      <c r="A5279" s="5">
        <v>5218</v>
      </c>
      <c r="B5279" s="1832">
        <f>'Revenues 9-14'!C214</f>
        <v>458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45397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322534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322534</v>
      </c>
      <c r="C5326" s="2" t="s">
        <v>569</v>
      </c>
      <c r="D5326" s="2" t="str">
        <f t="shared" si="82"/>
        <v>Error?</v>
      </c>
    </row>
    <row r="5327" spans="1:5" x14ac:dyDescent="0.2">
      <c r="A5327" s="5">
        <v>5266</v>
      </c>
      <c r="B5327" s="1832">
        <f>'Revenues 9-14'!C268</f>
        <v>2786409</v>
      </c>
      <c r="C5327" s="2" t="s">
        <v>569</v>
      </c>
      <c r="D5327" s="2" t="str">
        <f t="shared" si="82"/>
        <v>Error?</v>
      </c>
    </row>
    <row r="5328" spans="1:5" x14ac:dyDescent="0.2">
      <c r="A5328" s="5">
        <v>5267</v>
      </c>
      <c r="B5328" s="1832">
        <f>'Revenues 9-14'!D5</f>
        <v>161714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161714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1719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1719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163433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198433</v>
      </c>
      <c r="C5508" s="2" t="s">
        <v>569</v>
      </c>
      <c r="D5508" s="2" t="str">
        <f t="shared" si="85"/>
        <v>Error?</v>
      </c>
    </row>
    <row r="5509" spans="1:4" x14ac:dyDescent="0.2">
      <c r="A5509" s="5">
        <v>5448</v>
      </c>
      <c r="B5509" s="1832">
        <f>'Revenues 9-14'!E5</f>
        <v>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30</v>
      </c>
      <c r="C5552" s="2" t="s">
        <v>569</v>
      </c>
      <c r="D5552" s="2" t="str">
        <f t="shared" si="85"/>
        <v>Error?</v>
      </c>
    </row>
    <row r="5553" spans="1:4" x14ac:dyDescent="0.2">
      <c r="A5553" s="5">
        <v>5492</v>
      </c>
      <c r="B5553" s="1832">
        <f>'Revenues 9-14'!F5</f>
        <v>47915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47915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587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587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48502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42000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42000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23319</v>
      </c>
      <c r="D5615" s="2" t="str">
        <f t="shared" si="86"/>
        <v>Error?</v>
      </c>
    </row>
    <row r="5616" spans="1:4" x14ac:dyDescent="0.2">
      <c r="A5616" s="10">
        <v>5555</v>
      </c>
      <c r="B5616" s="1832"/>
      <c r="D5616" s="2" t="str">
        <f t="shared" si="86"/>
        <v>OK</v>
      </c>
    </row>
    <row r="5617" spans="1:5" x14ac:dyDescent="0.2">
      <c r="A5617" s="5">
        <v>5556</v>
      </c>
      <c r="B5617" s="1832">
        <f>'Revenues 9-14'!F153</f>
        <v>51789</v>
      </c>
      <c r="D5617" s="2" t="str">
        <f t="shared" si="86"/>
        <v>Error?</v>
      </c>
    </row>
    <row r="5618" spans="1:5" x14ac:dyDescent="0.2">
      <c r="A5618" s="5">
        <v>5557</v>
      </c>
      <c r="B5618" s="1832">
        <f>'Revenues 9-14'!F155</f>
        <v>75108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75108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117108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165610</v>
      </c>
      <c r="C5720" s="2" t="s">
        <v>569</v>
      </c>
      <c r="D5720" s="2" t="str">
        <f t="shared" si="88"/>
        <v>Error?</v>
      </c>
    </row>
    <row r="5721" spans="1:4" x14ac:dyDescent="0.2">
      <c r="A5721" s="5">
        <v>5660</v>
      </c>
      <c r="B5721" s="1832">
        <f>'Revenues 9-14'!G5</f>
        <v>65066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55056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120122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1500</v>
      </c>
      <c r="C5730" s="2" t="s">
        <v>569</v>
      </c>
      <c r="D5730" s="2" t="str">
        <f t="shared" si="88"/>
        <v>Error?</v>
      </c>
    </row>
    <row r="5731" spans="1:4" x14ac:dyDescent="0.2">
      <c r="A5731" s="5">
        <v>5670</v>
      </c>
      <c r="B5731" s="1832">
        <f>'Revenues 9-14'!G65</f>
        <v>1652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1652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123274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1938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1938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126624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178562</v>
      </c>
      <c r="C5915" s="2" t="s">
        <v>569</v>
      </c>
      <c r="D5915" s="2" t="str">
        <f t="shared" si="91"/>
        <v>Error?</v>
      </c>
    </row>
    <row r="5916" spans="1:4" x14ac:dyDescent="0.2">
      <c r="A5916" s="5">
        <v>5855</v>
      </c>
      <c r="B5916" s="1832">
        <f>'Revenues 9-14'!I5</f>
        <v>11978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11978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185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185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12163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11978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11978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12053</v>
      </c>
      <c r="C6023" s="2" t="s">
        <v>569</v>
      </c>
      <c r="D6023" s="2" t="str">
        <f t="shared" si="93"/>
        <v>Error?</v>
      </c>
    </row>
    <row r="6024" spans="1:5" x14ac:dyDescent="0.2">
      <c r="A6024" s="5">
        <v>5963</v>
      </c>
      <c r="B6024" s="1832">
        <f>'Revenues 9-14'!G109</f>
        <v>123274</v>
      </c>
      <c r="C6024" s="2" t="s">
        <v>569</v>
      </c>
      <c r="D6024" s="2" t="str">
        <f t="shared" si="93"/>
        <v>Error?</v>
      </c>
    </row>
    <row r="6025" spans="1:5" x14ac:dyDescent="0.2">
      <c r="A6025" s="5">
        <v>5964</v>
      </c>
      <c r="B6025" s="1832">
        <f>'Revenues 9-14'!H109</f>
        <v>128562</v>
      </c>
      <c r="C6025" s="2" t="s">
        <v>569</v>
      </c>
      <c r="D6025" s="2" t="str">
        <f t="shared" si="93"/>
        <v>Error?</v>
      </c>
    </row>
    <row r="6026" spans="1:5" x14ac:dyDescent="0.2">
      <c r="A6026" s="5">
        <v>5965</v>
      </c>
      <c r="B6026" s="1832">
        <f>'Revenues 9-14'!I109</f>
        <v>12163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12053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21335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14911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272.7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51238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398</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398</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50840</v>
      </c>
      <c r="D6215" s="2" t="str">
        <f t="shared" si="96"/>
        <v>Error?</v>
      </c>
      <c r="E6215" s="2" t="s">
        <v>189</v>
      </c>
    </row>
    <row r="6216" spans="1:5" x14ac:dyDescent="0.2">
      <c r="A6216">
        <v>6155</v>
      </c>
      <c r="B6216" s="1832">
        <f>'Assets-Liab 5-6'!J41</f>
        <v>51238</v>
      </c>
      <c r="D6216" s="2" t="str">
        <f t="shared" si="96"/>
        <v>Error?</v>
      </c>
      <c r="E6216" s="2" t="s">
        <v>189</v>
      </c>
    </row>
    <row r="6217" spans="1:5" x14ac:dyDescent="0.2">
      <c r="A6217">
        <v>6156</v>
      </c>
      <c r="B6217" s="1832">
        <f>'Assets-Liab 5-6'!J4</f>
        <v>51238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240297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240297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240297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243070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243070</v>
      </c>
      <c r="D6229" s="2" t="str">
        <f t="shared" si="96"/>
        <v>Error?</v>
      </c>
      <c r="E6229" s="2" t="s">
        <v>189</v>
      </c>
    </row>
    <row r="6230" spans="1:5" x14ac:dyDescent="0.2">
      <c r="A6230">
        <v>6169</v>
      </c>
      <c r="B6230" s="1832">
        <f>'Acct Summary 7-8'!J20</f>
        <v>-2773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-2773</v>
      </c>
      <c r="D6263" s="2" t="str">
        <f t="shared" si="96"/>
        <v>Error?</v>
      </c>
      <c r="E6263" s="2" t="s">
        <v>189</v>
      </c>
    </row>
    <row r="6264" spans="1:5" x14ac:dyDescent="0.2">
      <c r="A6264">
        <v>6203</v>
      </c>
      <c r="B6264" s="1832">
        <f>'Acct Summary 7-8'!J79</f>
        <v>53613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50840</v>
      </c>
      <c r="D6266" s="2" t="str">
        <f t="shared" si="96"/>
        <v>Error?</v>
      </c>
      <c r="E6266" s="2" t="s">
        <v>189</v>
      </c>
    </row>
    <row r="6267" spans="1:5" x14ac:dyDescent="0.2">
      <c r="A6267">
        <v>6206</v>
      </c>
      <c r="B6267" s="1832">
        <f>'Acct Summary 7-8'!C82</f>
        <v>243689</v>
      </c>
      <c r="D6267" s="2" t="str">
        <f t="shared" si="96"/>
        <v>Error?</v>
      </c>
      <c r="E6267" s="2" t="s">
        <v>189</v>
      </c>
    </row>
    <row r="6268" spans="1:5" x14ac:dyDescent="0.2">
      <c r="A6268">
        <v>6207</v>
      </c>
      <c r="B6268" s="1832">
        <f>'Acct Summary 7-8'!D82</f>
        <v>26281</v>
      </c>
      <c r="D6268" s="2" t="str">
        <f t="shared" si="96"/>
        <v>Error?</v>
      </c>
      <c r="E6268" s="2" t="s">
        <v>189</v>
      </c>
    </row>
    <row r="6269" spans="1:5" x14ac:dyDescent="0.2">
      <c r="A6269">
        <v>6208</v>
      </c>
      <c r="B6269" s="1832">
        <f>'Acct Summary 7-8'!E82</f>
        <v>30</v>
      </c>
      <c r="D6269" s="2" t="str">
        <f t="shared" si="96"/>
        <v>Error?</v>
      </c>
      <c r="E6269" s="2" t="s">
        <v>189</v>
      </c>
    </row>
    <row r="6270" spans="1:5" x14ac:dyDescent="0.2">
      <c r="A6270">
        <v>6209</v>
      </c>
      <c r="B6270" s="1832">
        <f>'Acct Summary 7-8'!F82</f>
        <v>3021</v>
      </c>
      <c r="D6270" s="2" t="str">
        <f t="shared" si="96"/>
        <v>Error?</v>
      </c>
      <c r="E6270" s="2" t="s">
        <v>189</v>
      </c>
    </row>
    <row r="6271" spans="1:5" x14ac:dyDescent="0.2">
      <c r="A6271">
        <v>6210</v>
      </c>
      <c r="B6271" s="1832">
        <f>'Acct Summary 7-8'!G82</f>
        <v>-1242</v>
      </c>
      <c r="D6271" s="2" t="str">
        <f t="shared" ref="D6271:D6334" si="97">IF(ISBLANK(B6271),"OK",IF(A6271-B6271=0,"OK","Error?"))</f>
        <v>Error?</v>
      </c>
      <c r="E6271" s="2" t="s">
        <v>189</v>
      </c>
    </row>
    <row r="6272" spans="1:5" x14ac:dyDescent="0.2">
      <c r="A6272">
        <v>6211</v>
      </c>
      <c r="B6272" s="1832">
        <f>'Acct Summary 7-8'!H82</f>
        <v>49812</v>
      </c>
      <c r="D6272" s="2" t="str">
        <f t="shared" si="97"/>
        <v>Error?</v>
      </c>
      <c r="E6272" s="2" t="s">
        <v>189</v>
      </c>
    </row>
    <row r="6273" spans="1:5" x14ac:dyDescent="0.2">
      <c r="A6273">
        <v>6212</v>
      </c>
      <c r="B6273" s="1832">
        <f>'Acct Summary 7-8'!I82</f>
        <v>12163</v>
      </c>
      <c r="D6273" s="2" t="str">
        <f t="shared" si="97"/>
        <v>Error?</v>
      </c>
      <c r="E6273" s="2" t="s">
        <v>189</v>
      </c>
    </row>
    <row r="6274" spans="1:5" x14ac:dyDescent="0.2">
      <c r="A6274">
        <v>6213</v>
      </c>
      <c r="B6274" s="1832">
        <f>'Acct Summary 7-8'!J82</f>
        <v>-2773</v>
      </c>
      <c r="D6274" s="2" t="str">
        <f t="shared" si="97"/>
        <v>Error?</v>
      </c>
      <c r="E6274" s="2" t="s">
        <v>189</v>
      </c>
    </row>
    <row r="6275" spans="1:5" x14ac:dyDescent="0.2">
      <c r="A6275">
        <v>6214</v>
      </c>
      <c r="B6275" s="1832">
        <f>'Acct Summary 7-8'!K82</f>
        <v>12053</v>
      </c>
      <c r="D6275" s="2" t="str">
        <f t="shared" si="97"/>
        <v>Error?</v>
      </c>
      <c r="E6275" s="2" t="s">
        <v>189</v>
      </c>
    </row>
    <row r="6276" spans="1:5" x14ac:dyDescent="0.2">
      <c r="A6276">
        <v>6215</v>
      </c>
      <c r="B6276" s="1832">
        <f>'Acct Summary 7-8'!C83</f>
        <v>0.19040285656243652</v>
      </c>
      <c r="D6276" s="2" t="str">
        <f t="shared" si="97"/>
        <v>Error?</v>
      </c>
      <c r="E6276" s="2" t="s">
        <v>189</v>
      </c>
    </row>
    <row r="6277" spans="1:5" x14ac:dyDescent="0.2">
      <c r="A6277">
        <v>6216</v>
      </c>
      <c r="B6277" s="1832">
        <f>'Acct Summary 7-8'!D83</f>
        <v>0.15533699397707862</v>
      </c>
      <c r="D6277" s="2" t="str">
        <f t="shared" si="97"/>
        <v>Error?</v>
      </c>
      <c r="E6277" s="2" t="s">
        <v>189</v>
      </c>
    </row>
    <row r="6278" spans="1:5" x14ac:dyDescent="0.2">
      <c r="A6278">
        <v>6217</v>
      </c>
      <c r="B6278" s="1832">
        <f>'Acct Summary 7-8'!E83</f>
        <v>1.645548790521639E-3</v>
      </c>
      <c r="D6278" s="2" t="str">
        <f t="shared" si="97"/>
        <v>Error?</v>
      </c>
      <c r="E6278" s="2" t="s">
        <v>189</v>
      </c>
    </row>
    <row r="6279" spans="1:5" x14ac:dyDescent="0.2">
      <c r="A6279">
        <v>6218</v>
      </c>
      <c r="B6279" s="1832">
        <f>'Acct Summary 7-8'!F83</f>
        <v>3.6727250623062431E-2</v>
      </c>
      <c r="D6279" s="2" t="str">
        <f t="shared" si="97"/>
        <v>Error?</v>
      </c>
      <c r="E6279" s="2" t="s">
        <v>189</v>
      </c>
    </row>
    <row r="6280" spans="1:5" x14ac:dyDescent="0.2">
      <c r="A6280">
        <v>6219</v>
      </c>
      <c r="B6280" s="1832">
        <f>'Acct Summary 7-8'!G83</f>
        <v>-1.0989205450362768E-2</v>
      </c>
      <c r="D6280" s="2" t="str">
        <f t="shared" si="97"/>
        <v>Error?</v>
      </c>
      <c r="E6280" s="2" t="s">
        <v>189</v>
      </c>
    </row>
    <row r="6281" spans="1:5" x14ac:dyDescent="0.2">
      <c r="A6281">
        <v>6220</v>
      </c>
      <c r="B6281" s="1832">
        <f>'Acct Summary 7-8'!H83</f>
        <v>0.14460139689617335</v>
      </c>
      <c r="D6281" s="2" t="str">
        <f t="shared" si="97"/>
        <v>Error?</v>
      </c>
      <c r="E6281" s="2" t="s">
        <v>189</v>
      </c>
    </row>
    <row r="6282" spans="1:5" x14ac:dyDescent="0.2">
      <c r="A6282">
        <v>6221</v>
      </c>
      <c r="B6282" s="1832">
        <f>'Acct Summary 7-8'!I83</f>
        <v>0.10353780410984559</v>
      </c>
      <c r="D6282" s="2" t="str">
        <f t="shared" si="97"/>
        <v>Error?</v>
      </c>
      <c r="E6282" s="2" t="s">
        <v>189</v>
      </c>
    </row>
    <row r="6283" spans="1:5" x14ac:dyDescent="0.2">
      <c r="A6283">
        <v>6222</v>
      </c>
      <c r="B6283" s="1832">
        <f>'Acct Summary 7-8'!J83</f>
        <v>-5.4543666404405979E-2</v>
      </c>
      <c r="D6283" s="2" t="str">
        <f t="shared" si="97"/>
        <v>Error?</v>
      </c>
      <c r="E6283" s="2" t="s">
        <v>189</v>
      </c>
    </row>
    <row r="6284" spans="1:5" x14ac:dyDescent="0.2">
      <c r="A6284">
        <v>6223</v>
      </c>
      <c r="B6284" s="1832">
        <f>'Acct Summary 7-8'!K83</f>
        <v>0.23523556735235568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240241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240241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1430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240297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10620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75714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102976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4113</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6960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4113</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99027</v>
      </c>
      <c r="D6983" s="2" t="str">
        <f t="shared" si="108"/>
        <v>Error?</v>
      </c>
    </row>
    <row r="6984" spans="1:4" x14ac:dyDescent="0.2">
      <c r="A6984">
        <v>6923</v>
      </c>
      <c r="B6984" s="1832">
        <f>'Expenditures 15-22'!K86</f>
        <v>99027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99027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49813</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4113</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10575</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10575</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10575</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243070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10575</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240297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2787</v>
      </c>
      <c r="D7067" s="2" t="str">
        <f t="shared" si="109"/>
        <v>Error?</v>
      </c>
    </row>
    <row r="7068" spans="1:4" x14ac:dyDescent="0.2">
      <c r="A7068">
        <v>7007</v>
      </c>
      <c r="B7068" s="1832">
        <f>'Expenditures 15-22'!K205</f>
        <v>2787</v>
      </c>
      <c r="D7068" s="2" t="str">
        <f t="shared" si="109"/>
        <v>Error?</v>
      </c>
    </row>
    <row r="7069" spans="1:4" x14ac:dyDescent="0.2">
      <c r="A7069">
        <v>7008</v>
      </c>
      <c r="B7069" s="1832">
        <f>'Expenditures 15-22'!H207</f>
        <v>12516</v>
      </c>
      <c r="D7069" s="2" t="str">
        <f t="shared" si="109"/>
        <v>Error?</v>
      </c>
    </row>
    <row r="7070" spans="1:4" x14ac:dyDescent="0.2">
      <c r="A7070">
        <v>7009</v>
      </c>
      <c r="B7070" s="1832">
        <f>'Expenditures 15-22'!K207</f>
        <v>12516</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2583</v>
      </c>
      <c r="D7073" s="2" t="str">
        <f t="shared" si="109"/>
        <v>Error?</v>
      </c>
    </row>
    <row r="7074" spans="1:4" x14ac:dyDescent="0.2">
      <c r="A7074">
        <v>7013</v>
      </c>
      <c r="B7074" s="1832">
        <f>'Expenditures 15-22'!K216</f>
        <v>2583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81</v>
      </c>
      <c r="D7079" s="2" t="str">
        <f t="shared" si="109"/>
        <v>Error?</v>
      </c>
    </row>
    <row r="7080" spans="1:4" x14ac:dyDescent="0.2">
      <c r="A7080">
        <v>7019</v>
      </c>
      <c r="B7080" s="1832">
        <f>'Expenditures 15-22'!K226</f>
        <v>81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10038</v>
      </c>
      <c r="D7089" s="2" t="str">
        <f t="shared" si="109"/>
        <v>Error?</v>
      </c>
    </row>
    <row r="7090" spans="1:4" x14ac:dyDescent="0.2">
      <c r="A7090">
        <v>7029</v>
      </c>
      <c r="B7090" s="1832">
        <f>'Expenditures 15-22'!K252</f>
        <v>10038</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16587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16587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3869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3869</v>
      </c>
      <c r="D7153" s="2" t="str">
        <f t="shared" si="110"/>
        <v>Error?</v>
      </c>
    </row>
    <row r="7154" spans="1:4" x14ac:dyDescent="0.2">
      <c r="A7154">
        <v>7093</v>
      </c>
      <c r="B7154" s="1832">
        <f>'Expenditures 15-22'!C323</f>
        <v>100325</v>
      </c>
      <c r="D7154" s="2" t="str">
        <f t="shared" si="110"/>
        <v>Error?</v>
      </c>
    </row>
    <row r="7155" spans="1:4" x14ac:dyDescent="0.2">
      <c r="A7155">
        <v>7094</v>
      </c>
      <c r="B7155" s="1832">
        <f>'Expenditures 15-22'!D323</f>
        <v>8231</v>
      </c>
      <c r="D7155" s="2" t="str">
        <f t="shared" si="110"/>
        <v>Error?</v>
      </c>
    </row>
    <row r="7156" spans="1:4" x14ac:dyDescent="0.2">
      <c r="A7156">
        <v>7095</v>
      </c>
      <c r="B7156" s="1832">
        <f>'Expenditures 15-22'!E323</f>
        <v>64924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173480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950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950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12987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12987</v>
      </c>
      <c r="D7198" s="2" t="str">
        <f t="shared" si="111"/>
        <v>Error?</v>
      </c>
    </row>
    <row r="7199" spans="1:4" x14ac:dyDescent="0.2">
      <c r="A7199">
        <v>7138</v>
      </c>
      <c r="B7199" s="1832">
        <f>'Expenditures 15-22'!C330</f>
        <v>100325</v>
      </c>
      <c r="D7199" s="2" t="str">
        <f t="shared" si="111"/>
        <v>Error?</v>
      </c>
    </row>
    <row r="7200" spans="1:4" x14ac:dyDescent="0.2">
      <c r="A7200">
        <v>7139</v>
      </c>
      <c r="B7200" s="1832">
        <f>'Expenditures 15-22'!D330</f>
        <v>8231</v>
      </c>
      <c r="D7200" s="2" t="str">
        <f t="shared" si="111"/>
        <v>Error?</v>
      </c>
    </row>
    <row r="7201" spans="1:4" x14ac:dyDescent="0.2">
      <c r="A7201">
        <v>7140</v>
      </c>
      <c r="B7201" s="1832">
        <f>'Expenditures 15-22'!E330</f>
        <v>134514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243070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100325</v>
      </c>
      <c r="D7216" s="2" t="str">
        <f t="shared" si="111"/>
        <v>Error?</v>
      </c>
    </row>
    <row r="7217" spans="1:4" x14ac:dyDescent="0.2">
      <c r="A7217">
        <v>7156</v>
      </c>
      <c r="B7217" s="1832">
        <f>'Expenditures 15-22'!D342</f>
        <v>8231</v>
      </c>
      <c r="D7217" s="2" t="str">
        <f t="shared" si="111"/>
        <v>Error?</v>
      </c>
    </row>
    <row r="7218" spans="1:4" x14ac:dyDescent="0.2">
      <c r="A7218">
        <v>7157</v>
      </c>
      <c r="B7218" s="1832">
        <f>'Expenditures 15-22'!E342</f>
        <v>134514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243070</v>
      </c>
      <c r="D7224" s="2" t="str">
        <f t="shared" si="111"/>
        <v>Error?</v>
      </c>
    </row>
    <row r="7225" spans="1:4" x14ac:dyDescent="0.2">
      <c r="A7225">
        <v>7164</v>
      </c>
      <c r="B7225" s="1832">
        <f>'Expenditures 15-22'!K343</f>
        <v>-2773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11526</v>
      </c>
      <c r="D7246" s="2" t="str">
        <f t="shared" si="112"/>
        <v>Error?</v>
      </c>
    </row>
    <row r="7247" spans="1:4" x14ac:dyDescent="0.2">
      <c r="A7247">
        <f t="shared" si="113"/>
        <v>7186</v>
      </c>
      <c r="B7247" s="1832">
        <f>'Expenditures 15-22'!E7</f>
        <v>305</v>
      </c>
      <c r="D7247" s="2" t="str">
        <f t="shared" si="112"/>
        <v>Error?</v>
      </c>
    </row>
    <row r="7248" spans="1:4" x14ac:dyDescent="0.2">
      <c r="A7248">
        <f t="shared" si="113"/>
        <v>7187</v>
      </c>
      <c r="B7248" s="1832">
        <f>'Expenditures 15-22'!F7</f>
        <v>15431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6089</v>
      </c>
      <c r="D7263" s="2" t="str">
        <f t="shared" si="112"/>
        <v>Error?</v>
      </c>
    </row>
    <row r="7264" spans="1:4" x14ac:dyDescent="0.2">
      <c r="A7264">
        <f t="shared" si="113"/>
        <v>7203</v>
      </c>
      <c r="B7264" s="1832">
        <f>'Expenditures 15-22'!D17</f>
        <v>851</v>
      </c>
      <c r="D7264" s="2" t="str">
        <f t="shared" si="112"/>
        <v>Error?</v>
      </c>
    </row>
    <row r="7265" spans="1:5" x14ac:dyDescent="0.2">
      <c r="A7265">
        <f t="shared" si="113"/>
        <v>7204</v>
      </c>
      <c r="B7265" s="1832">
        <f>'Expenditures 15-22'!E17</f>
        <v>20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14688</v>
      </c>
      <c r="D7624" s="2" t="str">
        <f t="shared" si="124"/>
        <v>Error?</v>
      </c>
      <c r="E7624" s="2" t="s">
        <v>19</v>
      </c>
    </row>
    <row r="7625" spans="1:5" x14ac:dyDescent="0.2">
      <c r="A7625">
        <f t="shared" si="123"/>
        <v>7564</v>
      </c>
      <c r="B7625" s="1832">
        <f>'Cap Outlay Deprec 26'!I17</f>
        <v>1468.8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142413.79999999999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35197</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35197</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294666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1938</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1430</v>
      </c>
      <c r="D7712" s="2" t="str">
        <f t="shared" si="126"/>
        <v>Error?</v>
      </c>
      <c r="E7712" s="2" t="s">
        <v>822</v>
      </c>
    </row>
    <row r="7713" spans="1:6" x14ac:dyDescent="0.2">
      <c r="A7713">
        <v>7652</v>
      </c>
      <c r="B7713" s="1832">
        <f>'Rest Tax Levies-Tort Im 25'!J8</f>
        <v>126624</v>
      </c>
      <c r="D7713" s="2" t="str">
        <f t="shared" si="126"/>
        <v>Error?</v>
      </c>
      <c r="E7713" s="2" t="s">
        <v>822</v>
      </c>
    </row>
    <row r="7714" spans="1:6" x14ac:dyDescent="0.2">
      <c r="A7714">
        <v>7653</v>
      </c>
      <c r="B7714" s="1832">
        <f>'Rest Tax Levies-Tort Im 25'!K9</f>
        <v>1258</v>
      </c>
      <c r="D7714" s="2" t="str">
        <f t="shared" si="126"/>
        <v>Error?</v>
      </c>
      <c r="E7714" s="2" t="s">
        <v>822</v>
      </c>
    </row>
    <row r="7715" spans="1:6" x14ac:dyDescent="0.2">
      <c r="A7715">
        <v>7654</v>
      </c>
      <c r="B7715" s="1832">
        <f>'Rest Tax Levies-Tort Im 25'!J10</f>
        <v>50000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178562</v>
      </c>
      <c r="D7718" s="2" t="str">
        <f t="shared" si="126"/>
        <v>Error?</v>
      </c>
      <c r="E7718" s="2" t="s">
        <v>822</v>
      </c>
    </row>
    <row r="7719" spans="1:6" x14ac:dyDescent="0.2">
      <c r="A7719">
        <v>7658</v>
      </c>
      <c r="B7719" s="1832">
        <f>'Rest Tax Levies-Tort Im 25'!K12</f>
        <v>2688</v>
      </c>
      <c r="D7719" s="2" t="str">
        <f t="shared" si="126"/>
        <v>Error?</v>
      </c>
      <c r="E7719" s="2" t="s">
        <v>822</v>
      </c>
    </row>
    <row r="7720" spans="1:6" x14ac:dyDescent="0.2">
      <c r="A7720">
        <v>7659</v>
      </c>
      <c r="B7720" s="1832">
        <f>'Rest Tax Levies-Tort Im 25'!H14</f>
        <v>62798</v>
      </c>
      <c r="D7720" s="2" t="str">
        <f t="shared" si="126"/>
        <v>Error?</v>
      </c>
      <c r="E7720" s="2" t="s">
        <v>822</v>
      </c>
    </row>
    <row r="7721" spans="1:6" x14ac:dyDescent="0.2">
      <c r="A7721">
        <v>7660</v>
      </c>
      <c r="B7721" s="1832">
        <f>'Rest Tax Levies-Tort Im 25'!K14</f>
        <v>2688</v>
      </c>
      <c r="D7721" s="2" t="str">
        <f t="shared" si="126"/>
        <v>Error?</v>
      </c>
      <c r="E7721" s="2" t="s">
        <v>822</v>
      </c>
    </row>
    <row r="7722" spans="1:6" x14ac:dyDescent="0.2">
      <c r="A7722">
        <v>7661</v>
      </c>
      <c r="B7722" s="1832">
        <f>'Rest Tax Levies-Tort Im 25'!J15</f>
        <v>10212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128750</v>
      </c>
      <c r="D7730" s="2" t="str">
        <f t="shared" si="126"/>
        <v>Error?</v>
      </c>
      <c r="E7730" s="2" t="s">
        <v>822</v>
      </c>
    </row>
    <row r="7731" spans="1:6" x14ac:dyDescent="0.2">
      <c r="A7731">
        <v>7670</v>
      </c>
      <c r="B7731" s="1832">
        <f>'Revenues 9-14'!H103</f>
        <v>126624</v>
      </c>
      <c r="D7731" s="2" t="str">
        <f t="shared" si="126"/>
        <v>Error?</v>
      </c>
      <c r="E7731" s="2" t="s">
        <v>822</v>
      </c>
    </row>
    <row r="7732" spans="1:6" x14ac:dyDescent="0.2">
      <c r="A7732">
        <v>7671</v>
      </c>
      <c r="B7732" s="1832">
        <f>'Rest Tax Levies-Tort Im 25'!J24</f>
        <v>344478</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344478</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118538</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2688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1414590</v>
      </c>
      <c r="D7817" s="2" t="str">
        <f t="shared" si="128"/>
        <v>Error?</v>
      </c>
      <c r="E7817" s="4" t="s">
        <v>1966</v>
      </c>
    </row>
    <row r="7818" spans="1:5" x14ac:dyDescent="0.2">
      <c r="A7818">
        <v>7757</v>
      </c>
      <c r="B7818" s="1832">
        <f>'PCTC-OEPP 27-28'!F172</f>
        <v>101930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3273907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102976</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37462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418561</v>
      </c>
      <c r="D7834" s="2" t="str">
        <f t="shared" si="129"/>
        <v>Error?</v>
      </c>
      <c r="E7834" s="4" t="s">
        <v>1998</v>
      </c>
    </row>
    <row r="7835" spans="1:5" x14ac:dyDescent="0.2">
      <c r="A7835">
        <v>7774</v>
      </c>
      <c r="B7835" s="1832">
        <f>'PCTC-OEPP 27-28'!F78</f>
        <v>2855346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10470.649064906491</v>
      </c>
      <c r="D7837" s="2" t="str">
        <f t="shared" si="129"/>
        <v>Error?</v>
      </c>
      <c r="E7837" s="4" t="s">
        <v>1998</v>
      </c>
    </row>
    <row r="7838" spans="1:5" x14ac:dyDescent="0.2">
      <c r="A7838">
        <v>7777</v>
      </c>
      <c r="B7838" s="1832">
        <f>'PCTC-OEPP 27-28'!F96</f>
        <v>11677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10620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1258</v>
      </c>
      <c r="D7846" s="2" t="str">
        <f t="shared" si="129"/>
        <v>Error?</v>
      </c>
      <c r="E7846" s="4" t="s">
        <v>1998</v>
      </c>
    </row>
    <row r="7847" spans="1:5" x14ac:dyDescent="0.2">
      <c r="A7847">
        <v>7786</v>
      </c>
      <c r="B7847" s="1832">
        <f>'PCTC-OEPP 27-28'!F112</f>
        <v>75108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14748</v>
      </c>
      <c r="D7857" s="2" t="str">
        <f t="shared" si="129"/>
        <v>Error?</v>
      </c>
      <c r="E7857" s="4" t="s">
        <v>1998</v>
      </c>
    </row>
    <row r="7858" spans="1:5" x14ac:dyDescent="0.2">
      <c r="A7858">
        <v>7797</v>
      </c>
      <c r="B7858" s="1832">
        <f>'PCTC-OEPP 27-28'!F126</f>
        <v>122714</v>
      </c>
      <c r="D7858" s="2" t="str">
        <f t="shared" si="129"/>
        <v>Error?</v>
      </c>
      <c r="E7858" s="4" t="s">
        <v>1998</v>
      </c>
    </row>
    <row r="7859" spans="1:5" x14ac:dyDescent="0.2">
      <c r="A7859">
        <v>7798</v>
      </c>
      <c r="B7859" s="1832">
        <f>'PCTC-OEPP 27-28'!F127</f>
        <v>104493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43971</v>
      </c>
      <c r="D7861" s="2" t="str">
        <f t="shared" si="129"/>
        <v>Error?</v>
      </c>
      <c r="E7861" s="4" t="s">
        <v>1998</v>
      </c>
    </row>
    <row r="7862" spans="1:5" x14ac:dyDescent="0.2">
      <c r="A7862">
        <v>7801</v>
      </c>
      <c r="B7862" s="1832">
        <f>'PCTC-OEPP 27-28'!F130</f>
        <v>458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18249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16933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555044</v>
      </c>
      <c r="D7877" s="2" t="str">
        <f t="shared" si="129"/>
        <v>Error?</v>
      </c>
      <c r="E7877" s="4" t="s">
        <v>1998</v>
      </c>
    </row>
    <row r="7878" spans="1:5" x14ac:dyDescent="0.2">
      <c r="A7878">
        <v>7817</v>
      </c>
      <c r="B7878" s="1832">
        <f>'PCTC-OEPP 27-28'!F176</f>
        <v>2300302</v>
      </c>
      <c r="D7878" s="2" t="str">
        <f t="shared" si="129"/>
        <v>Error?</v>
      </c>
      <c r="E7878" s="4" t="s">
        <v>1998</v>
      </c>
    </row>
    <row r="7879" spans="1:5" x14ac:dyDescent="0.2">
      <c r="A7879">
        <v>7818</v>
      </c>
      <c r="B7879" s="1832">
        <f>'PCTC-OEPP 27-28'!F178</f>
        <v>2442715.7999999998</v>
      </c>
      <c r="D7879" s="2" t="str">
        <f t="shared" si="129"/>
        <v>Error?</v>
      </c>
      <c r="E7879" s="4" t="s">
        <v>1998</v>
      </c>
    </row>
    <row r="7880" spans="1:5" x14ac:dyDescent="0.2">
      <c r="A7880">
        <v>7819</v>
      </c>
      <c r="B7880" s="1832">
        <f>'PCTC-OEPP 27-28'!F180</f>
        <v>8957.5203520352024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Normal="100" workbookViewId="0">
      <selection activeCell="I19" sqref="I1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Grayville CUSD 1</v>
      </c>
      <c r="B7" s="2516"/>
      <c r="C7" s="2516"/>
      <c r="D7" s="2554"/>
      <c r="E7" s="2555">
        <f>COVER!A13</f>
        <v>20097001026</v>
      </c>
      <c r="F7" s="2556"/>
      <c r="G7" s="2522" t="str">
        <f>COVER!T23</f>
        <v>066-003657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Botsch &amp; Associates, CPAs, LLC</v>
      </c>
      <c r="H9" s="2529"/>
      <c r="I9" s="2529"/>
      <c r="J9" s="2529"/>
      <c r="K9" s="2529"/>
      <c r="L9" s="2530"/>
    </row>
    <row r="10" spans="1:29" ht="13.5" customHeight="1" x14ac:dyDescent="0.2">
      <c r="A10" s="2512" t="str">
        <f>COVER!A38</f>
        <v>Julie Harrelson</v>
      </c>
      <c r="B10" s="2513"/>
      <c r="C10" s="2513"/>
      <c r="D10" s="2513"/>
      <c r="E10" s="2513"/>
      <c r="F10" s="2514"/>
      <c r="G10" s="2528" t="str">
        <f>COVER!T17</f>
        <v>113 East Main Street</v>
      </c>
      <c r="H10" s="2541"/>
      <c r="I10" s="2541"/>
      <c r="J10" s="2541"/>
      <c r="K10" s="2541"/>
      <c r="L10" s="2542"/>
    </row>
    <row r="11" spans="1:29" ht="13.5" customHeight="1" x14ac:dyDescent="0.2">
      <c r="A11" s="963" t="s">
        <v>1502</v>
      </c>
      <c r="B11" s="964"/>
      <c r="C11" s="965"/>
      <c r="D11" s="970"/>
      <c r="E11" s="965"/>
      <c r="F11" s="969"/>
      <c r="G11" s="2528" t="str">
        <f>COVER!T19</f>
        <v>Carmi</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arlynne.stroman@botsch.com</v>
      </c>
      <c r="J13" s="2550"/>
      <c r="K13" s="2550"/>
      <c r="L13" s="2551"/>
    </row>
    <row r="14" spans="1:29" ht="13.5" customHeight="1" x14ac:dyDescent="0.2">
      <c r="A14" s="2528" t="str">
        <f>COVER!A19</f>
        <v>728 West North Street</v>
      </c>
      <c r="B14" s="2541"/>
      <c r="C14" s="2541"/>
      <c r="D14" s="2541"/>
      <c r="E14" s="2541"/>
      <c r="F14" s="2542"/>
      <c r="G14" s="974" t="s">
        <v>1175</v>
      </c>
      <c r="H14" s="972"/>
      <c r="I14" s="972"/>
      <c r="J14" s="972"/>
      <c r="K14" s="972"/>
      <c r="L14" s="973"/>
    </row>
    <row r="15" spans="1:29" ht="13.5" customHeight="1" x14ac:dyDescent="0.2">
      <c r="A15" s="2528" t="str">
        <f>COVER!A21</f>
        <v>Grayville</v>
      </c>
      <c r="B15" s="2541"/>
      <c r="C15" s="2541"/>
      <c r="D15" s="2541"/>
      <c r="E15" s="2541"/>
      <c r="F15" s="2542"/>
      <c r="G15" s="2538" t="str">
        <f>COVER!T15</f>
        <v>Arlynne Stroman, CPA</v>
      </c>
      <c r="H15" s="2539"/>
      <c r="I15" s="2539"/>
      <c r="J15" s="2539"/>
      <c r="K15" s="2539"/>
      <c r="L15" s="2540"/>
    </row>
    <row r="16" spans="1:29" ht="12.2" customHeight="1" x14ac:dyDescent="0.2">
      <c r="A16" s="2518">
        <f>COVER!A25</f>
        <v>62844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618-382-4151</v>
      </c>
      <c r="H18" s="2516"/>
      <c r="I18" s="2516"/>
      <c r="J18" s="2516"/>
      <c r="K18" s="2515" t="str">
        <f>COVER!X21</f>
        <v>618-382-4153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Normal="100" workbookViewId="0">
      <selection activeCell="B26" sqref="B2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Grayville CUSD 1</v>
      </c>
      <c r="B1" s="2558"/>
      <c r="C1" s="2558"/>
      <c r="D1" s="2558"/>
    </row>
    <row r="2" spans="1:11" s="991" customFormat="1" ht="12.75" x14ac:dyDescent="0.2">
      <c r="A2" s="2559">
        <f>'Single Audit Cover'!E7</f>
        <v>20097001026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Normal="100" zoomScaleSheetLayoutView="100" workbookViewId="0">
      <selection activeCell="A26" sqref="A26:B2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Grayville CUSD 1</v>
      </c>
      <c r="B1" s="2562"/>
      <c r="C1" s="2562"/>
      <c r="D1" s="2562"/>
      <c r="E1" s="2562"/>
    </row>
    <row r="2" spans="1:5" x14ac:dyDescent="0.2">
      <c r="A2" s="2563">
        <f>'Single Audit Cover'!E7</f>
        <v>20097001026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322534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14911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-16933</v>
      </c>
    </row>
    <row r="19" spans="1:4" ht="13.5" thickBot="1" x14ac:dyDescent="0.25">
      <c r="A19" s="1041" t="s">
        <v>1224</v>
      </c>
      <c r="D19" s="1042">
        <f>SUM(D10:D17)</f>
        <v>320512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320512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320512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26" sqref="B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Grayville CUSD 1</v>
      </c>
      <c r="C1" s="2566"/>
      <c r="D1" s="2566"/>
      <c r="E1" s="2566"/>
      <c r="F1" s="2566"/>
      <c r="G1" s="2566"/>
      <c r="H1" s="2566"/>
      <c r="I1" s="2566"/>
      <c r="J1" s="2566"/>
      <c r="K1" s="2566"/>
      <c r="L1" s="2566"/>
      <c r="M1" s="2566"/>
    </row>
    <row r="2" spans="2:14" ht="15" x14ac:dyDescent="0.2">
      <c r="B2" s="2567">
        <f>'Single Audit Cover'!E7</f>
        <v>20097001026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Normal="100" workbookViewId="0">
      <selection activeCell="B26" sqref="B2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Grayville CUSD 1</v>
      </c>
      <c r="B1" s="2571"/>
      <c r="C1" s="2571"/>
      <c r="D1" s="2571"/>
      <c r="E1" s="2571"/>
      <c r="F1" s="2571"/>
    </row>
    <row r="2" spans="1:7" ht="13.5" customHeight="1" x14ac:dyDescent="0.2">
      <c r="A2" s="2567">
        <f>'Single Audit Cover'!E7</f>
        <v>20097001026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K143"/>
  <sheetViews>
    <sheetView showGridLines="0" defaultGridColor="0" topLeftCell="A104" colorId="8" zoomScaleNormal="100" workbookViewId="0">
      <selection activeCell="F22" sqref="F2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Normal="100" workbookViewId="0">
      <selection activeCell="B26" sqref="B2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Grayville CUSD 1</v>
      </c>
      <c r="C1" s="2587"/>
      <c r="D1" s="2587"/>
      <c r="E1" s="2587"/>
      <c r="F1" s="2587"/>
      <c r="G1" s="2587"/>
      <c r="H1" s="2587"/>
      <c r="I1" s="2587"/>
      <c r="J1" s="1178"/>
    </row>
    <row r="2" spans="2:10" s="295" customFormat="1" ht="12.75" customHeight="1" x14ac:dyDescent="0.2">
      <c r="B2" s="2588">
        <f>'Single Audit Cover'!E7</f>
        <v>20097001026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Normal="100" workbookViewId="0">
      <selection activeCell="B26" sqref="B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Grayville CUSD 1</v>
      </c>
      <c r="C1" s="2586"/>
      <c r="D1" s="2586"/>
      <c r="E1" s="2586"/>
      <c r="F1" s="2586"/>
      <c r="G1" s="2586"/>
      <c r="H1" s="2586"/>
      <c r="I1" s="2586"/>
      <c r="J1" s="2586"/>
      <c r="K1" s="2586"/>
      <c r="L1" s="1144"/>
      <c r="M1" s="1144"/>
    </row>
    <row r="2" spans="1:13" ht="12" customHeight="1" x14ac:dyDescent="0.2">
      <c r="B2" s="2588">
        <f>'Single Audit Cover'!E7</f>
        <v>20097001026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Normal="100" workbookViewId="0">
      <selection activeCell="B26" sqref="B2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Grayville CUSD 1</v>
      </c>
      <c r="C1" s="2613"/>
      <c r="D1" s="2613"/>
      <c r="E1" s="2613"/>
      <c r="F1" s="2613"/>
      <c r="G1" s="2613"/>
      <c r="H1" s="2613"/>
      <c r="I1" s="2613"/>
      <c r="J1" s="2613"/>
      <c r="K1" s="2613"/>
      <c r="L1" s="1221"/>
    </row>
    <row r="2" spans="1:12" ht="12.75" customHeight="1" x14ac:dyDescent="0.2">
      <c r="B2" s="2614">
        <f>'Single Audit Cover'!E7</f>
        <v>20097001026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Normal="100" workbookViewId="0">
      <selection activeCell="B26" sqref="B2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Grayville CUSD 1</v>
      </c>
      <c r="C1" s="2586"/>
      <c r="D1" s="2586"/>
      <c r="E1" s="1240"/>
    </row>
    <row r="2" spans="2:5" s="1058" customFormat="1" ht="12.75" customHeight="1" x14ac:dyDescent="0.2">
      <c r="B2" s="2588">
        <f>'Single Audit Cover'!E7</f>
        <v>20097001026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sheetPr>
  <dimension ref="A1:N72"/>
  <sheetViews>
    <sheetView showGridLines="0" defaultGridColor="0" colorId="8" zoomScaleNormal="100" workbookViewId="0">
      <selection activeCell="F22" sqref="F2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24164584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2.5999999999999999E-2</v>
      </c>
      <c r="E10" s="333" t="s">
        <v>998</v>
      </c>
      <c r="F10" s="332">
        <v>6.7499999999999999E-3</v>
      </c>
      <c r="G10" s="333" t="s">
        <v>998</v>
      </c>
      <c r="H10" s="332">
        <v>2E-3</v>
      </c>
      <c r="I10" s="333" t="s">
        <v>999</v>
      </c>
      <c r="J10" s="1424">
        <f>ROUND(D10+F10+H10,5)</f>
        <v>3.4750000000000003E-2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3162615</v>
      </c>
      <c r="E16" s="1547"/>
      <c r="F16" s="1546">
        <f>SUM('Acct Summary 7-8'!C17,'Acct Summary 7-8'!D17,'Acct Summary 7-8'!F17)</f>
        <v>2906321</v>
      </c>
      <c r="G16" s="1547"/>
      <c r="H16" s="1546">
        <f>SUM(D16-F16)</f>
        <v>256294</v>
      </c>
      <c r="I16" s="1548"/>
      <c r="J16" s="1546">
        <f>SUM('Acct Summary 7-8'!C81,'Acct Summary 7-8'!D81,'Acct Summary 7-8'!F81,'Acct Summary 7-8'!I81)</f>
        <v>1648776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3334712.5920000002</v>
      </c>
      <c r="I31" s="345"/>
      <c r="J31" s="217"/>
      <c r="K31" s="217"/>
      <c r="L31" s="217"/>
      <c r="M31" s="217"/>
    </row>
    <row r="32" spans="1:13" ht="13.35" customHeight="1" x14ac:dyDescent="0.2">
      <c r="B32" s="346" t="s">
        <v>2052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798230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sheetPr>
  <dimension ref="A1:R44"/>
  <sheetViews>
    <sheetView showGridLines="0" topLeftCell="A13" zoomScaleNormal="100" workbookViewId="0">
      <selection activeCell="F22" sqref="F2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Grayville CUSD 1</v>
      </c>
      <c r="E7" s="368"/>
      <c r="G7" s="247"/>
      <c r="H7" s="364"/>
      <c r="I7" s="364"/>
      <c r="J7" s="364"/>
      <c r="K7" s="364"/>
      <c r="L7" s="307"/>
      <c r="M7" s="307"/>
      <c r="N7" s="307"/>
      <c r="O7" s="307"/>
      <c r="P7" s="307"/>
    </row>
    <row r="8" spans="1:18" ht="12.75" x14ac:dyDescent="0.2">
      <c r="A8" s="307"/>
      <c r="B8" s="307"/>
      <c r="C8" s="366" t="s">
        <v>1115</v>
      </c>
      <c r="D8" s="369">
        <f>COVER!A13</f>
        <v>20097001026</v>
      </c>
      <c r="E8" s="370"/>
      <c r="G8" s="307"/>
      <c r="H8" s="307"/>
      <c r="I8" s="307"/>
      <c r="J8" s="307"/>
      <c r="K8" s="307"/>
      <c r="L8" s="307"/>
      <c r="M8" s="307"/>
      <c r="N8" s="307"/>
      <c r="O8" s="307"/>
      <c r="P8" s="307"/>
    </row>
    <row r="9" spans="1:18" ht="12.75" x14ac:dyDescent="0.2">
      <c r="A9" s="307"/>
      <c r="B9" s="307"/>
      <c r="C9" s="366" t="s">
        <v>708</v>
      </c>
      <c r="D9" s="371" t="str">
        <f>COVER!A15</f>
        <v>White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1648776</v>
      </c>
      <c r="I12" s="380"/>
      <c r="J12" s="380"/>
      <c r="K12" s="1559">
        <f>TRUNC((H12/H13*100000),5)/100000</f>
        <v>0.52133313719999996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3162615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2906321</v>
      </c>
      <c r="I17" s="380"/>
      <c r="J17" s="389"/>
      <c r="K17" s="1559">
        <f>TRUNC((H17/H18*100000),5)/100000</f>
        <v>0.9189613658000001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3162615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1629884</v>
      </c>
      <c r="I24" s="394"/>
      <c r="J24" s="394"/>
      <c r="K24" s="1555">
        <f>TRUNC(((H24/H25*100000)/100000),2)</f>
        <v>201.89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8073.1138899999996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713761.39989999996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798230</v>
      </c>
      <c r="I32" s="392"/>
      <c r="J32" s="392"/>
      <c r="K32" s="1555">
        <f>TRUNC(100-((((H32/H33*100))*100)/100),2)</f>
        <v>76.06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3334712.5920000002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colorId="8" zoomScaleNormal="100" workbookViewId="0">
      <pane ySplit="2" topLeftCell="A6" activePane="bottomLeft" state="frozen"/>
      <selection activeCell="F22" sqref="F22"/>
      <selection pane="bottomLeft" activeCell="F22" sqref="F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394713</v>
      </c>
      <c r="D4" s="1573">
        <v>62677</v>
      </c>
      <c r="E4" s="1573">
        <v>18231</v>
      </c>
      <c r="F4" s="1573">
        <v>46650</v>
      </c>
      <c r="G4" s="1573">
        <v>8985</v>
      </c>
      <c r="H4" s="1573">
        <v>240443</v>
      </c>
      <c r="I4" s="1573">
        <v>117474</v>
      </c>
      <c r="J4" s="1574">
        <v>51238</v>
      </c>
      <c r="K4" s="1573">
        <v>51238</v>
      </c>
      <c r="L4" s="1573">
        <v>99607</v>
      </c>
      <c r="M4" s="1575"/>
      <c r="N4" s="1576"/>
    </row>
    <row r="5" spans="1:14" x14ac:dyDescent="0.2">
      <c r="A5" s="427" t="s">
        <v>985</v>
      </c>
      <c r="B5" s="429">
        <v>120</v>
      </c>
      <c r="C5" s="1572">
        <v>866211</v>
      </c>
      <c r="D5" s="1573">
        <v>106551</v>
      </c>
      <c r="E5" s="1573"/>
      <c r="F5" s="1573">
        <v>35608</v>
      </c>
      <c r="G5" s="1573">
        <v>104035</v>
      </c>
      <c r="H5" s="1573">
        <v>104035</v>
      </c>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20050</v>
      </c>
      <c r="D12" s="1573"/>
      <c r="E12" s="1573"/>
      <c r="F12" s="1573"/>
      <c r="G12" s="1573"/>
      <c r="H12" s="1573"/>
      <c r="I12" s="1573"/>
      <c r="J12" s="1574"/>
      <c r="K12" s="1573"/>
      <c r="L12" s="1573"/>
      <c r="M12" s="1576"/>
      <c r="N12" s="1576"/>
    </row>
    <row r="13" spans="1:14" ht="13.5" customHeight="1" thickBot="1" x14ac:dyDescent="0.25">
      <c r="A13" s="1426" t="s">
        <v>639</v>
      </c>
      <c r="B13" s="1407"/>
      <c r="C13" s="1587">
        <f>SUM(C4:C12)</f>
        <v>1280974</v>
      </c>
      <c r="D13" s="1587">
        <f t="shared" ref="D13:L13" si="0">SUM(D4:D12)</f>
        <v>169228</v>
      </c>
      <c r="E13" s="1587">
        <f t="shared" si="0"/>
        <v>18231</v>
      </c>
      <c r="F13" s="1587">
        <f t="shared" si="0"/>
        <v>82258</v>
      </c>
      <c r="G13" s="1587">
        <f t="shared" si="0"/>
        <v>113020</v>
      </c>
      <c r="H13" s="1587">
        <f t="shared" si="0"/>
        <v>344478</v>
      </c>
      <c r="I13" s="1587">
        <f t="shared" si="0"/>
        <v>117474</v>
      </c>
      <c r="J13" s="1587">
        <f t="shared" si="0"/>
        <v>51238</v>
      </c>
      <c r="K13" s="1587">
        <f t="shared" si="0"/>
        <v>51238</v>
      </c>
      <c r="L13" s="1587">
        <f t="shared" si="0"/>
        <v>99607</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33009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2853554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24332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107627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18231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779999</v>
      </c>
    </row>
    <row r="23" spans="1:14" ht="13.5" customHeight="1" thickBot="1" x14ac:dyDescent="0.25">
      <c r="A23" s="1426" t="s">
        <v>638</v>
      </c>
      <c r="B23" s="1429"/>
      <c r="C23" s="1575"/>
      <c r="D23" s="1575"/>
      <c r="E23" s="1575"/>
      <c r="F23" s="1575"/>
      <c r="G23" s="1575"/>
      <c r="H23" s="1575"/>
      <c r="I23" s="1575"/>
      <c r="J23" s="1575"/>
      <c r="K23" s="1575"/>
      <c r="L23" s="1575"/>
      <c r="M23" s="1594">
        <f>SUM(M15:M22)</f>
        <v>3018522</v>
      </c>
      <c r="N23" s="1594">
        <f>SUM(N21:N22)</f>
        <v>798230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1114</v>
      </c>
      <c r="D31" s="1574">
        <v>41</v>
      </c>
      <c r="E31" s="1574"/>
      <c r="F31" s="1573">
        <v>3</v>
      </c>
      <c r="G31" s="1574"/>
      <c r="H31" s="1574"/>
      <c r="I31" s="1574"/>
      <c r="J31" s="1574">
        <v>398</v>
      </c>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99607</v>
      </c>
      <c r="M33" s="1575"/>
      <c r="N33" s="1576"/>
    </row>
    <row r="34" spans="1:14" ht="13.5" customHeight="1" thickBot="1" x14ac:dyDescent="0.25">
      <c r="A34" s="1427" t="s">
        <v>649</v>
      </c>
      <c r="B34" s="1428"/>
      <c r="C34" s="1600">
        <f>SUM(C25:C33)</f>
        <v>1114</v>
      </c>
      <c r="D34" s="1600">
        <f t="shared" ref="D34:K34" si="1">SUM(D25:D33)</f>
        <v>41</v>
      </c>
      <c r="E34" s="1600">
        <f t="shared" si="1"/>
        <v>0</v>
      </c>
      <c r="F34" s="1600">
        <f t="shared" si="1"/>
        <v>3</v>
      </c>
      <c r="G34" s="1600">
        <f t="shared" si="1"/>
        <v>0</v>
      </c>
      <c r="H34" s="1600">
        <f t="shared" si="1"/>
        <v>0</v>
      </c>
      <c r="I34" s="1600">
        <f t="shared" si="1"/>
        <v>0</v>
      </c>
      <c r="J34" s="1600">
        <f t="shared" si="1"/>
        <v>398</v>
      </c>
      <c r="K34" s="1600">
        <f t="shared" si="1"/>
        <v>0</v>
      </c>
      <c r="L34" s="1601">
        <f>SUM(L33)</f>
        <v>99607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798230</v>
      </c>
    </row>
    <row r="37" spans="1:14" ht="13.5" thickBot="1" x14ac:dyDescent="0.25">
      <c r="A37" s="1426" t="s">
        <v>648</v>
      </c>
      <c r="B37" s="1429"/>
      <c r="C37" s="1582"/>
      <c r="D37" s="1582"/>
      <c r="E37" s="1582"/>
      <c r="F37" s="1582"/>
      <c r="G37" s="1582"/>
      <c r="H37" s="1582"/>
      <c r="I37" s="1582"/>
      <c r="J37" s="1582"/>
      <c r="K37" s="1582"/>
      <c r="L37" s="1585"/>
      <c r="M37" s="1575"/>
      <c r="N37" s="1594">
        <f>SUM(N36:N36)</f>
        <v>798230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1279860</v>
      </c>
      <c r="D39" s="1573">
        <v>169187</v>
      </c>
      <c r="E39" s="1573">
        <v>18231</v>
      </c>
      <c r="F39" s="1573">
        <v>82255</v>
      </c>
      <c r="G39" s="1573">
        <v>113020</v>
      </c>
      <c r="H39" s="1573">
        <v>344478</v>
      </c>
      <c r="I39" s="1573">
        <v>117474</v>
      </c>
      <c r="J39" s="1574">
        <v>50840</v>
      </c>
      <c r="K39" s="1573">
        <v>51238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3018522</v>
      </c>
      <c r="N40" s="1604"/>
    </row>
    <row r="41" spans="1:14" ht="13.5" customHeight="1" thickBot="1" x14ac:dyDescent="0.25">
      <c r="A41" s="1426" t="s">
        <v>650</v>
      </c>
      <c r="B41" s="1405"/>
      <c r="C41" s="1594">
        <f>(SUM(C34,C37,C38,C39))</f>
        <v>1280974</v>
      </c>
      <c r="D41" s="1594">
        <f t="shared" ref="D41:L41" si="2">SUM(D34,D37,D38:D39)</f>
        <v>169228</v>
      </c>
      <c r="E41" s="1594">
        <f t="shared" si="2"/>
        <v>18231</v>
      </c>
      <c r="F41" s="1594">
        <f t="shared" si="2"/>
        <v>82258</v>
      </c>
      <c r="G41" s="1594">
        <f t="shared" si="2"/>
        <v>113020</v>
      </c>
      <c r="H41" s="1594">
        <f t="shared" si="2"/>
        <v>344478</v>
      </c>
      <c r="I41" s="1594">
        <f t="shared" si="2"/>
        <v>117474</v>
      </c>
      <c r="J41" s="1594">
        <f t="shared" si="2"/>
        <v>51238</v>
      </c>
      <c r="K41" s="1594">
        <f t="shared" si="2"/>
        <v>51238</v>
      </c>
      <c r="L41" s="1594">
        <f t="shared" si="2"/>
        <v>99607</v>
      </c>
      <c r="M41" s="1594">
        <f>SUM(M40)</f>
        <v>3018522</v>
      </c>
      <c r="N41" s="1594">
        <f>SUM(N37)</f>
        <v>798230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Normal="100" zoomScaleSheetLayoutView="100" workbookViewId="0">
      <pane ySplit="2" topLeftCell="A3" activePane="bottomLeft" state="frozen"/>
      <selection activeCell="F22" sqref="F22"/>
      <selection pane="bottomLeft" activeCell="F22" sqref="F2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799599</v>
      </c>
      <c r="D4" s="1606">
        <f>'Revenues 9-14'!D109</f>
        <v>163433</v>
      </c>
      <c r="E4" s="1606">
        <f>'Revenues 9-14'!E109</f>
        <v>30</v>
      </c>
      <c r="F4" s="1606">
        <f>'Revenues 9-14'!F109</f>
        <v>48502</v>
      </c>
      <c r="G4" s="1606">
        <f>'Revenues 9-14'!G109</f>
        <v>123274</v>
      </c>
      <c r="H4" s="1606">
        <f>'Revenues 9-14'!H109</f>
        <v>128562</v>
      </c>
      <c r="I4" s="1606">
        <f>'Revenues 9-14'!I109</f>
        <v>12163</v>
      </c>
      <c r="J4" s="1606">
        <f>'Revenues 9-14'!J109</f>
        <v>240297</v>
      </c>
      <c r="K4" s="1606">
        <f>'Revenues 9-14'!K109</f>
        <v>12053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1664276</v>
      </c>
      <c r="D6" s="1607">
        <f>'Revenues 9-14'!D170</f>
        <v>35000</v>
      </c>
      <c r="E6" s="1607">
        <f>'Revenues 9-14'!E170</f>
        <v>0</v>
      </c>
      <c r="F6" s="1607">
        <f>'Revenues 9-14'!F170</f>
        <v>117108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322534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2786409</v>
      </c>
      <c r="D8" s="1594">
        <f t="shared" ref="D8:K8" si="0">SUM(D4:D7)</f>
        <v>198433</v>
      </c>
      <c r="E8" s="1594">
        <f t="shared" si="0"/>
        <v>30</v>
      </c>
      <c r="F8" s="1594">
        <f t="shared" si="0"/>
        <v>165610</v>
      </c>
      <c r="G8" s="1594">
        <f t="shared" si="0"/>
        <v>123274</v>
      </c>
      <c r="H8" s="1594">
        <f t="shared" si="0"/>
        <v>178562</v>
      </c>
      <c r="I8" s="1594">
        <f t="shared" si="0"/>
        <v>12163</v>
      </c>
      <c r="J8" s="1594">
        <f t="shared" si="0"/>
        <v>240297</v>
      </c>
      <c r="K8" s="1594">
        <f t="shared" si="0"/>
        <v>12053</v>
      </c>
      <c r="L8" s="325"/>
    </row>
    <row r="9" spans="1:13" ht="15.75" thickTop="1" x14ac:dyDescent="0.2">
      <c r="A9" s="449" t="s">
        <v>1634</v>
      </c>
      <c r="B9" s="450">
        <v>3998</v>
      </c>
      <c r="C9" s="1586">
        <v>1259930</v>
      </c>
      <c r="D9" s="1613"/>
      <c r="E9" s="1586"/>
      <c r="F9" s="1586"/>
      <c r="G9" s="1614"/>
      <c r="H9" s="1586"/>
      <c r="I9" s="1609" t="s">
        <v>1159</v>
      </c>
      <c r="J9" s="1583"/>
      <c r="K9" s="1586"/>
      <c r="L9" s="325"/>
    </row>
    <row r="10" spans="1:13" s="452" customFormat="1" ht="13.5" thickBot="1" x14ac:dyDescent="0.25">
      <c r="A10" s="1426" t="s">
        <v>1163</v>
      </c>
      <c r="B10" s="1407"/>
      <c r="C10" s="1594">
        <f>SUM(C8:C9)</f>
        <v>4046339</v>
      </c>
      <c r="D10" s="1594">
        <f t="shared" ref="D10:K10" si="1">SUM(D8:D9)</f>
        <v>198433</v>
      </c>
      <c r="E10" s="1594">
        <f t="shared" si="1"/>
        <v>30</v>
      </c>
      <c r="F10" s="1594">
        <f t="shared" si="1"/>
        <v>165610</v>
      </c>
      <c r="G10" s="1594">
        <f t="shared" si="1"/>
        <v>123274</v>
      </c>
      <c r="H10" s="1594">
        <f t="shared" si="1"/>
        <v>178562</v>
      </c>
      <c r="I10" s="1594">
        <f t="shared" si="1"/>
        <v>12163</v>
      </c>
      <c r="J10" s="1594">
        <f t="shared" si="1"/>
        <v>240297</v>
      </c>
      <c r="K10" s="1594">
        <f t="shared" si="1"/>
        <v>12053</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1640975</v>
      </c>
      <c r="D12" s="1616" t="s">
        <v>1159</v>
      </c>
      <c r="E12" s="1575" t="s">
        <v>1159</v>
      </c>
      <c r="F12" s="1575" t="s">
        <v>1159</v>
      </c>
      <c r="G12" s="1606">
        <f>'Expenditures 15-22'!K229</f>
        <v>47692</v>
      </c>
      <c r="H12" s="1617"/>
      <c r="I12" s="1575" t="s">
        <v>1159</v>
      </c>
      <c r="J12" s="1575" t="s">
        <v>1159</v>
      </c>
      <c r="K12" s="1617" t="s">
        <v>1159</v>
      </c>
      <c r="L12" s="325"/>
    </row>
    <row r="13" spans="1:13" ht="15.75" customHeight="1" x14ac:dyDescent="0.2">
      <c r="A13" s="1314" t="s">
        <v>454</v>
      </c>
      <c r="B13" s="1316">
        <v>2000</v>
      </c>
      <c r="C13" s="1607">
        <f>'Expenditures 15-22'!K74</f>
        <v>678381</v>
      </c>
      <c r="D13" s="1607">
        <f>'Expenditures 15-22'!K129</f>
        <v>172152</v>
      </c>
      <c r="E13" s="1576" t="s">
        <v>1159</v>
      </c>
      <c r="F13" s="1607">
        <f>'Expenditures 15-22'!K184</f>
        <v>148159</v>
      </c>
      <c r="G13" s="1607">
        <f>'Expenditures 15-22'!K279</f>
        <v>71984</v>
      </c>
      <c r="H13" s="1607">
        <f>'Expenditures 15-22'!K303</f>
        <v>10212</v>
      </c>
      <c r="I13" s="1575" t="s">
        <v>1159</v>
      </c>
      <c r="J13" s="1607">
        <f>'Expenditures 15-22'!K330</f>
        <v>243070</v>
      </c>
      <c r="K13" s="1618">
        <f>'Expenditures 15-22'!K352</f>
        <v>0</v>
      </c>
      <c r="L13" s="325"/>
    </row>
    <row r="14" spans="1:13" ht="15.75" customHeight="1" x14ac:dyDescent="0.2">
      <c r="A14" s="1314" t="s">
        <v>446</v>
      </c>
      <c r="B14" s="1316">
        <v>3000</v>
      </c>
      <c r="C14" s="1607">
        <f>'Expenditures 15-22'!K75</f>
        <v>37462</v>
      </c>
      <c r="D14" s="1607">
        <f>'Expenditures 15-22'!K130</f>
        <v>0</v>
      </c>
      <c r="E14" s="1616" t="s">
        <v>1159</v>
      </c>
      <c r="F14" s="1607">
        <f>'Expenditures 15-22'!K185</f>
        <v>0</v>
      </c>
      <c r="G14" s="1607">
        <f>'Expenditures 15-22'!K280</f>
        <v>4840</v>
      </c>
      <c r="H14" s="1612"/>
      <c r="I14" s="1575" t="s">
        <v>1159</v>
      </c>
      <c r="J14" s="1575" t="s">
        <v>1159</v>
      </c>
      <c r="K14" s="1612" t="s">
        <v>1159</v>
      </c>
      <c r="L14" s="325"/>
    </row>
    <row r="15" spans="1:13" ht="15.75" customHeight="1" x14ac:dyDescent="0.2">
      <c r="A15" s="1314" t="s">
        <v>107</v>
      </c>
      <c r="B15" s="1316">
        <v>4000</v>
      </c>
      <c r="C15" s="1607">
        <f>'Expenditures 15-22'!K102</f>
        <v>185902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43290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2542720</v>
      </c>
      <c r="D17" s="1594">
        <f t="shared" si="2"/>
        <v>172152</v>
      </c>
      <c r="E17" s="1594">
        <f t="shared" si="2"/>
        <v>0</v>
      </c>
      <c r="F17" s="1594">
        <f t="shared" si="2"/>
        <v>191449</v>
      </c>
      <c r="G17" s="1594">
        <f t="shared" si="2"/>
        <v>124516</v>
      </c>
      <c r="H17" s="1594">
        <f t="shared" si="2"/>
        <v>10212</v>
      </c>
      <c r="I17" s="1575"/>
      <c r="J17" s="1594">
        <f>SUM(J12:J16)</f>
        <v>243070</v>
      </c>
      <c r="K17" s="1594">
        <f>SUM(K12:K16)</f>
        <v>0</v>
      </c>
      <c r="L17" s="325"/>
    </row>
    <row r="18" spans="1:12" ht="15" customHeight="1" thickTop="1" x14ac:dyDescent="0.2">
      <c r="A18" s="1430" t="s">
        <v>1635</v>
      </c>
      <c r="B18" s="1431">
        <v>4180</v>
      </c>
      <c r="C18" s="1606">
        <f t="shared" ref="C18:H18" si="3">C9</f>
        <v>1259930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3802650</v>
      </c>
      <c r="D19" s="1594">
        <f t="shared" si="4"/>
        <v>172152</v>
      </c>
      <c r="E19" s="1594">
        <f t="shared" si="4"/>
        <v>0</v>
      </c>
      <c r="F19" s="1594">
        <f t="shared" si="4"/>
        <v>191449</v>
      </c>
      <c r="G19" s="1594">
        <f t="shared" si="4"/>
        <v>124516</v>
      </c>
      <c r="H19" s="1594">
        <f t="shared" si="4"/>
        <v>10212</v>
      </c>
      <c r="I19" s="1575"/>
      <c r="J19" s="1594">
        <f>SUM(J17:J18)</f>
        <v>243070</v>
      </c>
      <c r="K19" s="1594">
        <f>SUM(K17:K18)</f>
        <v>0</v>
      </c>
      <c r="L19" s="325"/>
    </row>
    <row r="20" spans="1:12" ht="16.5" thickTop="1" thickBot="1" x14ac:dyDescent="0.25">
      <c r="A20" s="2231" t="s">
        <v>1636</v>
      </c>
      <c r="B20" s="2232"/>
      <c r="C20" s="1622">
        <f>C8-C17</f>
        <v>243689</v>
      </c>
      <c r="D20" s="1622">
        <f t="shared" ref="D20:K20" si="5">D8-D17</f>
        <v>26281</v>
      </c>
      <c r="E20" s="1622">
        <f t="shared" si="5"/>
        <v>30</v>
      </c>
      <c r="F20" s="1622">
        <f t="shared" si="5"/>
        <v>-25839</v>
      </c>
      <c r="G20" s="1622">
        <f t="shared" si="5"/>
        <v>-1242</v>
      </c>
      <c r="H20" s="1622">
        <f t="shared" si="5"/>
        <v>168350</v>
      </c>
      <c r="I20" s="1622">
        <f t="shared" si="5"/>
        <v>12163</v>
      </c>
      <c r="J20" s="1622">
        <f t="shared" si="5"/>
        <v>-2773</v>
      </c>
      <c r="K20" s="1622">
        <f t="shared" si="5"/>
        <v>12053</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28860</v>
      </c>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28860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118538</v>
      </c>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118538</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28860</v>
      </c>
      <c r="G77" s="1624">
        <f t="shared" si="8"/>
        <v>0</v>
      </c>
      <c r="H77" s="1624">
        <f t="shared" si="8"/>
        <v>-118538</v>
      </c>
      <c r="I77" s="1624">
        <f t="shared" si="8"/>
        <v>0</v>
      </c>
      <c r="J77" s="1624">
        <f t="shared" si="8"/>
        <v>0</v>
      </c>
      <c r="K77" s="1624">
        <f t="shared" si="8"/>
        <v>0</v>
      </c>
      <c r="L77" s="325"/>
    </row>
    <row r="78" spans="1:12" ht="21.75" customHeight="1" thickTop="1" thickBot="1" x14ac:dyDescent="0.25">
      <c r="A78" s="2227" t="s">
        <v>593</v>
      </c>
      <c r="B78" s="2228"/>
      <c r="C78" s="1629">
        <f t="shared" ref="C78:K78" si="9">C20+C77</f>
        <v>243689</v>
      </c>
      <c r="D78" s="1629">
        <f t="shared" si="9"/>
        <v>26281</v>
      </c>
      <c r="E78" s="1629">
        <f t="shared" si="9"/>
        <v>30</v>
      </c>
      <c r="F78" s="1629">
        <f t="shared" si="9"/>
        <v>3021</v>
      </c>
      <c r="G78" s="1629">
        <f t="shared" si="9"/>
        <v>-1242</v>
      </c>
      <c r="H78" s="1629">
        <f t="shared" si="9"/>
        <v>49812</v>
      </c>
      <c r="I78" s="1629">
        <f t="shared" si="9"/>
        <v>12163</v>
      </c>
      <c r="J78" s="1629">
        <f t="shared" si="9"/>
        <v>-2773</v>
      </c>
      <c r="K78" s="1629">
        <f t="shared" si="9"/>
        <v>12053</v>
      </c>
      <c r="L78" s="457"/>
    </row>
    <row r="79" spans="1:12" ht="13.5" thickTop="1" x14ac:dyDescent="0.2">
      <c r="A79" s="1844" t="str">
        <f>"Fund Balances - July 1, "&amp;'AFR20'!E2-1</f>
        <v>Fund Balances - July 1, 2019</v>
      </c>
      <c r="B79" s="458"/>
      <c r="C79" s="1583">
        <v>1036171</v>
      </c>
      <c r="D79" s="1630">
        <v>142906</v>
      </c>
      <c r="E79" s="1630">
        <v>18201</v>
      </c>
      <c r="F79" s="1630">
        <v>79234</v>
      </c>
      <c r="G79" s="1630">
        <v>114262</v>
      </c>
      <c r="H79" s="1630">
        <v>294666</v>
      </c>
      <c r="I79" s="1630">
        <v>105311</v>
      </c>
      <c r="J79" s="1630">
        <v>53613</v>
      </c>
      <c r="K79" s="1630">
        <v>39185</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1279860</v>
      </c>
      <c r="D81" s="1594">
        <f>SUM(D78:D80)</f>
        <v>169187</v>
      </c>
      <c r="E81" s="1594">
        <f t="shared" ref="E81:K81" si="10">SUM(E78:E80)</f>
        <v>18231</v>
      </c>
      <c r="F81" s="1594">
        <f t="shared" si="10"/>
        <v>82255</v>
      </c>
      <c r="G81" s="1594">
        <f t="shared" si="10"/>
        <v>113020</v>
      </c>
      <c r="H81" s="1594">
        <f t="shared" si="10"/>
        <v>344478</v>
      </c>
      <c r="I81" s="1594">
        <f t="shared" si="10"/>
        <v>117474</v>
      </c>
      <c r="J81" s="1594">
        <f t="shared" si="10"/>
        <v>50840</v>
      </c>
      <c r="K81" s="1594">
        <f t="shared" si="10"/>
        <v>51238</v>
      </c>
      <c r="L81" s="325"/>
    </row>
    <row r="82" spans="1:12" ht="0.75" customHeight="1" thickTop="1" thickBot="1" x14ac:dyDescent="0.25">
      <c r="A82" s="459" t="s">
        <v>340</v>
      </c>
      <c r="B82" s="460"/>
      <c r="C82" s="461">
        <f>(C81-C79)</f>
        <v>243689</v>
      </c>
      <c r="D82" s="461">
        <f t="shared" ref="D82:K82" si="11">(D81-D79)</f>
        <v>26281</v>
      </c>
      <c r="E82" s="461">
        <f t="shared" si="11"/>
        <v>30</v>
      </c>
      <c r="F82" s="461">
        <f t="shared" si="11"/>
        <v>3021</v>
      </c>
      <c r="G82" s="461">
        <f t="shared" si="11"/>
        <v>-1242</v>
      </c>
      <c r="H82" s="461">
        <f t="shared" si="11"/>
        <v>49812</v>
      </c>
      <c r="I82" s="461">
        <f t="shared" si="11"/>
        <v>12163</v>
      </c>
      <c r="J82" s="461">
        <f t="shared" si="11"/>
        <v>-2773</v>
      </c>
      <c r="K82" s="461">
        <f t="shared" si="11"/>
        <v>12053</v>
      </c>
    </row>
    <row r="83" spans="1:12" ht="14.25" hidden="1" thickTop="1" thickBot="1" x14ac:dyDescent="0.25">
      <c r="A83" s="462" t="s">
        <v>341</v>
      </c>
      <c r="B83" s="428"/>
      <c r="C83" s="463">
        <f>C82/C81</f>
        <v>0.19040285656243652</v>
      </c>
      <c r="D83" s="463">
        <f t="shared" ref="D83:K83" si="12">D82/D81</f>
        <v>0.15533699397707862</v>
      </c>
      <c r="E83" s="463">
        <f t="shared" si="12"/>
        <v>1.645548790521639E-3</v>
      </c>
      <c r="F83" s="463">
        <f t="shared" si="12"/>
        <v>3.6727250623062431E-2</v>
      </c>
      <c r="G83" s="463">
        <f t="shared" si="12"/>
        <v>-1.0989205450362768E-2</v>
      </c>
      <c r="H83" s="463">
        <f t="shared" si="12"/>
        <v>0.14460139689617335</v>
      </c>
      <c r="I83" s="463">
        <f t="shared" si="12"/>
        <v>0.10353780410984559</v>
      </c>
      <c r="J83" s="463">
        <f t="shared" si="12"/>
        <v>-5.4543666404405979E-2</v>
      </c>
      <c r="K83" s="463">
        <f t="shared" si="12"/>
        <v>0.23523556735235568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A1:L279"/>
  <sheetViews>
    <sheetView showGridLines="0" defaultGridColor="0" colorId="8" zoomScaleNormal="100" zoomScaleSheetLayoutView="75" workbookViewId="0">
      <pane ySplit="2" topLeftCell="A105" activePane="bottomLeft" state="frozen"/>
      <selection activeCell="F22" sqref="F22"/>
      <selection pane="bottomLeft" activeCell="D117" sqref="D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622901</v>
      </c>
      <c r="D5" s="1586">
        <v>161714</v>
      </c>
      <c r="E5" s="1573">
        <v>2</v>
      </c>
      <c r="F5" s="1631">
        <v>47915</v>
      </c>
      <c r="G5" s="1573">
        <v>65066</v>
      </c>
      <c r="H5" s="1573"/>
      <c r="I5" s="1573">
        <v>11978</v>
      </c>
      <c r="J5" s="1574">
        <v>240241</v>
      </c>
      <c r="K5" s="1573">
        <v>11978</v>
      </c>
    </row>
    <row r="6" spans="1:12" ht="15" x14ac:dyDescent="0.2">
      <c r="A6" s="427" t="s">
        <v>1643</v>
      </c>
      <c r="B6" s="429">
        <v>1130</v>
      </c>
      <c r="C6" s="1573">
        <v>11991</v>
      </c>
      <c r="D6" s="1573"/>
      <c r="E6" s="1580"/>
      <c r="F6" s="1580"/>
      <c r="G6" s="1575"/>
      <c r="H6" s="1575"/>
      <c r="I6" s="1575"/>
      <c r="J6" s="1575"/>
      <c r="K6" s="1575"/>
    </row>
    <row r="7" spans="1:12" x14ac:dyDescent="0.2">
      <c r="A7" s="427" t="s">
        <v>110</v>
      </c>
      <c r="B7" s="471">
        <v>1140</v>
      </c>
      <c r="C7" s="1573">
        <v>9583</v>
      </c>
      <c r="D7" s="1573"/>
      <c r="E7" s="1575"/>
      <c r="F7" s="1574"/>
      <c r="G7" s="1574"/>
      <c r="H7" s="1574"/>
      <c r="I7" s="1575"/>
      <c r="J7" s="1575"/>
      <c r="K7" s="1575"/>
    </row>
    <row r="8" spans="1:12" x14ac:dyDescent="0.2">
      <c r="A8" s="427" t="s">
        <v>410</v>
      </c>
      <c r="B8" s="429">
        <v>1150</v>
      </c>
      <c r="C8" s="1580"/>
      <c r="D8" s="1580"/>
      <c r="E8" s="1582"/>
      <c r="F8" s="1582"/>
      <c r="G8" s="1586">
        <v>55056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644475</v>
      </c>
      <c r="D12" s="1633">
        <f t="shared" si="0"/>
        <v>161714</v>
      </c>
      <c r="E12" s="1633">
        <f t="shared" si="0"/>
        <v>2</v>
      </c>
      <c r="F12" s="1633">
        <f t="shared" si="0"/>
        <v>47915</v>
      </c>
      <c r="G12" s="1633">
        <f t="shared" si="0"/>
        <v>120122</v>
      </c>
      <c r="H12" s="1633">
        <f t="shared" si="0"/>
        <v>0</v>
      </c>
      <c r="I12" s="1633">
        <f t="shared" si="0"/>
        <v>11978</v>
      </c>
      <c r="J12" s="1633">
        <f t="shared" si="0"/>
        <v>240241</v>
      </c>
      <c r="K12" s="1594">
        <f t="shared" si="0"/>
        <v>11978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96910</v>
      </c>
      <c r="D16" s="1573"/>
      <c r="E16" s="1573"/>
      <c r="F16" s="1573"/>
      <c r="G16" s="1573">
        <v>1500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96910</v>
      </c>
      <c r="D18" s="1635">
        <f t="shared" ref="D18:K18" si="1">SUM(D14:D17)</f>
        <v>0</v>
      </c>
      <c r="E18" s="1635">
        <f t="shared" si="1"/>
        <v>0</v>
      </c>
      <c r="F18" s="1635">
        <f t="shared" si="1"/>
        <v>0</v>
      </c>
      <c r="G18" s="1635">
        <f t="shared" si="1"/>
        <v>1500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13911</v>
      </c>
      <c r="D65" s="1573">
        <v>1719</v>
      </c>
      <c r="E65" s="1573">
        <v>28</v>
      </c>
      <c r="F65" s="1574">
        <v>587</v>
      </c>
      <c r="G65" s="1573">
        <v>1652</v>
      </c>
      <c r="H65" s="1573">
        <v>1938</v>
      </c>
      <c r="I65" s="1573">
        <v>185</v>
      </c>
      <c r="J65" s="1574">
        <v>56</v>
      </c>
      <c r="K65" s="1573">
        <v>75</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13911</v>
      </c>
      <c r="D67" s="1594">
        <f t="shared" ref="D67:K67" si="2">SUM(D65:D66)</f>
        <v>1719</v>
      </c>
      <c r="E67" s="1594">
        <f t="shared" si="2"/>
        <v>28</v>
      </c>
      <c r="F67" s="1594">
        <f t="shared" si="2"/>
        <v>587</v>
      </c>
      <c r="G67" s="1594">
        <f t="shared" si="2"/>
        <v>1652</v>
      </c>
      <c r="H67" s="1594">
        <f t="shared" si="2"/>
        <v>1938</v>
      </c>
      <c r="I67" s="1594">
        <f t="shared" si="2"/>
        <v>185</v>
      </c>
      <c r="J67" s="1594">
        <f t="shared" si="2"/>
        <v>56</v>
      </c>
      <c r="K67" s="1594">
        <f t="shared" si="2"/>
        <v>75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21335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822</v>
      </c>
      <c r="D72" s="1575"/>
      <c r="E72" s="1575"/>
      <c r="F72" s="1575"/>
      <c r="G72" s="1575"/>
      <c r="H72" s="1575"/>
      <c r="I72" s="1575"/>
      <c r="J72" s="1575"/>
      <c r="K72" s="1575"/>
    </row>
    <row r="73" spans="1:11" ht="12.75" customHeight="1" x14ac:dyDescent="0.2">
      <c r="A73" s="427" t="s">
        <v>991</v>
      </c>
      <c r="B73" s="429">
        <v>1620</v>
      </c>
      <c r="C73" s="1632">
        <v>1190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23347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9671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2006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11677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5244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5244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1430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126624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2605</v>
      </c>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4035</v>
      </c>
      <c r="D108" s="1633">
        <f t="shared" ref="D108:K108" si="3">SUM(D95:D107)</f>
        <v>0</v>
      </c>
      <c r="E108" s="1633">
        <f t="shared" si="3"/>
        <v>0</v>
      </c>
      <c r="F108" s="1633">
        <f t="shared" si="3"/>
        <v>0</v>
      </c>
      <c r="G108" s="1633">
        <f t="shared" si="3"/>
        <v>0</v>
      </c>
      <c r="H108" s="1633">
        <f t="shared" si="3"/>
        <v>126624</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799599</v>
      </c>
      <c r="D109" s="1641">
        <f t="shared" si="4"/>
        <v>163433</v>
      </c>
      <c r="E109" s="1641">
        <f t="shared" si="4"/>
        <v>30</v>
      </c>
      <c r="F109" s="1641">
        <f t="shared" si="4"/>
        <v>48502</v>
      </c>
      <c r="G109" s="1641">
        <f t="shared" si="4"/>
        <v>123274</v>
      </c>
      <c r="H109" s="1641">
        <f t="shared" si="4"/>
        <v>128562</v>
      </c>
      <c r="I109" s="1641">
        <f t="shared" si="4"/>
        <v>12163</v>
      </c>
      <c r="J109" s="1641">
        <f t="shared" si="4"/>
        <v>240297</v>
      </c>
      <c r="K109" s="1629">
        <f t="shared" si="4"/>
        <v>12053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1527185</v>
      </c>
      <c r="D117" s="1586">
        <v>35000</v>
      </c>
      <c r="E117" s="1573"/>
      <c r="F117" s="1586">
        <v>42000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1527185</v>
      </c>
      <c r="D122" s="1633">
        <f t="shared" si="5"/>
        <v>35000</v>
      </c>
      <c r="E122" s="1633">
        <f t="shared" si="5"/>
        <v>0</v>
      </c>
      <c r="F122" s="1633">
        <f t="shared" si="5"/>
        <v>42000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10620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10620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939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1258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23319</v>
      </c>
      <c r="G152" s="1574"/>
      <c r="H152" s="1575"/>
      <c r="I152" s="1575"/>
      <c r="J152" s="1575"/>
      <c r="K152" s="1575"/>
    </row>
    <row r="153" spans="1:11" ht="12.75" customHeight="1" x14ac:dyDescent="0.2">
      <c r="A153" s="427" t="s">
        <v>1048</v>
      </c>
      <c r="B153" s="478">
        <v>3510</v>
      </c>
      <c r="C153" s="1632"/>
      <c r="D153" s="1573"/>
      <c r="E153" s="1640"/>
      <c r="F153" s="1573">
        <v>51789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75108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123524</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v>50000</v>
      </c>
      <c r="I168" s="1656"/>
      <c r="J168" s="1656"/>
      <c r="K168" s="1657"/>
    </row>
    <row r="169" spans="1:11" ht="12.75" customHeight="1" thickTop="1" thickBot="1" x14ac:dyDescent="0.25">
      <c r="A169" s="2249" t="s">
        <v>395</v>
      </c>
      <c r="B169" s="2250"/>
      <c r="C169" s="1658">
        <f t="shared" ref="C169:K169" si="6">SUM(C132,C141,C145,C146:C150,C155,C156:C167,C168)</f>
        <v>137091</v>
      </c>
      <c r="D169" s="1658">
        <f t="shared" si="6"/>
        <v>0</v>
      </c>
      <c r="E169" s="1658">
        <f t="shared" si="6"/>
        <v>0</v>
      </c>
      <c r="F169" s="1658">
        <f t="shared" si="6"/>
        <v>75108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1664276</v>
      </c>
      <c r="D170" s="1641">
        <f t="shared" si="7"/>
        <v>35000</v>
      </c>
      <c r="E170" s="1641">
        <f t="shared" si="7"/>
        <v>0</v>
      </c>
      <c r="F170" s="1641">
        <f t="shared" si="7"/>
        <v>117108</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14748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14748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46036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15998</v>
      </c>
      <c r="D193" s="1575"/>
      <c r="E193" s="1640"/>
      <c r="F193" s="1575"/>
      <c r="G193" s="1664"/>
      <c r="H193" s="1575"/>
      <c r="I193" s="1575"/>
      <c r="J193" s="1575"/>
      <c r="K193" s="1575"/>
    </row>
    <row r="194" spans="1:11" ht="12.75" customHeight="1" x14ac:dyDescent="0.2">
      <c r="A194" s="427" t="s">
        <v>1434</v>
      </c>
      <c r="B194" s="429">
        <v>4225</v>
      </c>
      <c r="C194" s="1632">
        <v>60680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122714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104493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104493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968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43971</v>
      </c>
      <c r="D213" s="1573"/>
      <c r="E213" s="1575"/>
      <c r="F213" s="1573"/>
      <c r="G213" s="1573"/>
      <c r="H213" s="1575"/>
      <c r="I213" s="1575"/>
      <c r="J213" s="1575"/>
      <c r="K213" s="1575"/>
    </row>
    <row r="214" spans="1:11" ht="12.75" customHeight="1" x14ac:dyDescent="0.2">
      <c r="A214" s="427" t="s">
        <v>1045</v>
      </c>
      <c r="B214" s="429">
        <v>4625</v>
      </c>
      <c r="C214" s="1632">
        <v>458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45397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18249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16933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322534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322534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2786409</v>
      </c>
      <c r="D268" s="1641">
        <f t="shared" si="12"/>
        <v>198433</v>
      </c>
      <c r="E268" s="1641">
        <f t="shared" si="12"/>
        <v>30</v>
      </c>
      <c r="F268" s="1641">
        <f t="shared" si="12"/>
        <v>165610</v>
      </c>
      <c r="G268" s="1641">
        <f t="shared" si="12"/>
        <v>123274</v>
      </c>
      <c r="H268" s="1641">
        <f t="shared" si="12"/>
        <v>178562</v>
      </c>
      <c r="I268" s="1641">
        <f t="shared" si="12"/>
        <v>12163</v>
      </c>
      <c r="J268" s="1641">
        <f t="shared" si="12"/>
        <v>240297</v>
      </c>
      <c r="K268" s="1629">
        <f t="shared" si="12"/>
        <v>12053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Normal="100" workbookViewId="0">
      <pane ySplit="2" topLeftCell="A156" activePane="bottomLeft" state="frozen"/>
      <selection activeCell="F22" sqref="F22"/>
      <selection pane="bottomLeft" activeCell="F22" sqref="F2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807887</v>
      </c>
      <c r="D5" s="1573">
        <v>79973</v>
      </c>
      <c r="E5" s="1573">
        <v>62684</v>
      </c>
      <c r="F5" s="1573">
        <v>42123</v>
      </c>
      <c r="G5" s="1573"/>
      <c r="H5" s="1573">
        <v>1334</v>
      </c>
      <c r="I5" s="1574"/>
      <c r="J5" s="1574"/>
      <c r="K5" s="1672">
        <f>SUM(C5:J5)</f>
        <v>994001</v>
      </c>
      <c r="L5" s="1573">
        <v>1107308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75714</v>
      </c>
      <c r="D7" s="1574">
        <v>11526</v>
      </c>
      <c r="E7" s="1574">
        <v>305</v>
      </c>
      <c r="F7" s="1574">
        <v>15431</v>
      </c>
      <c r="G7" s="1574"/>
      <c r="H7" s="1574"/>
      <c r="I7" s="1574"/>
      <c r="J7" s="1574"/>
      <c r="K7" s="1672">
        <f t="shared" ref="K7:K32" si="0">SUM(C7:J7)</f>
        <v>102976</v>
      </c>
      <c r="L7" s="1573"/>
    </row>
    <row r="8" spans="1:14" x14ac:dyDescent="0.2">
      <c r="A8" s="1274" t="s">
        <v>163</v>
      </c>
      <c r="B8" s="503">
        <v>1200</v>
      </c>
      <c r="C8" s="1573">
        <v>325066</v>
      </c>
      <c r="D8" s="1573">
        <v>26347</v>
      </c>
      <c r="E8" s="1573"/>
      <c r="F8" s="1573">
        <v>436</v>
      </c>
      <c r="G8" s="1573"/>
      <c r="H8" s="1573"/>
      <c r="I8" s="1574"/>
      <c r="J8" s="1574"/>
      <c r="K8" s="1672">
        <f t="shared" si="0"/>
        <v>351849</v>
      </c>
      <c r="L8" s="1573">
        <v>470983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21736</v>
      </c>
      <c r="D10" s="1573">
        <v>2571</v>
      </c>
      <c r="E10" s="1573">
        <v>6765</v>
      </c>
      <c r="F10" s="1573">
        <v>15463</v>
      </c>
      <c r="G10" s="1573"/>
      <c r="H10" s="1573"/>
      <c r="I10" s="1574"/>
      <c r="J10" s="1574"/>
      <c r="K10" s="1672">
        <f t="shared" si="0"/>
        <v>46535</v>
      </c>
      <c r="L10" s="1573">
        <v>51298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43839</v>
      </c>
      <c r="D13" s="1573">
        <v>608</v>
      </c>
      <c r="E13" s="1573">
        <v>180</v>
      </c>
      <c r="F13" s="1573">
        <v>2073</v>
      </c>
      <c r="G13" s="1573"/>
      <c r="H13" s="1573">
        <v>1042</v>
      </c>
      <c r="I13" s="1574">
        <v>4113</v>
      </c>
      <c r="J13" s="1574"/>
      <c r="K13" s="1672">
        <f t="shared" si="0"/>
        <v>51855</v>
      </c>
      <c r="L13" s="1573">
        <v>54161</v>
      </c>
    </row>
    <row r="14" spans="1:14" x14ac:dyDescent="0.2">
      <c r="A14" s="1274" t="s">
        <v>957</v>
      </c>
      <c r="B14" s="503">
        <v>1500</v>
      </c>
      <c r="C14" s="1573">
        <v>75674</v>
      </c>
      <c r="D14" s="1573">
        <v>874</v>
      </c>
      <c r="E14" s="1573">
        <v>7420</v>
      </c>
      <c r="F14" s="1573">
        <v>1696</v>
      </c>
      <c r="G14" s="1573"/>
      <c r="H14" s="1573">
        <v>1135</v>
      </c>
      <c r="I14" s="1574"/>
      <c r="J14" s="1574"/>
      <c r="K14" s="1672">
        <f t="shared" si="0"/>
        <v>86799</v>
      </c>
      <c r="L14" s="1573">
        <v>91116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6089</v>
      </c>
      <c r="D17" s="1574">
        <v>851</v>
      </c>
      <c r="E17" s="1574">
        <v>20</v>
      </c>
      <c r="F17" s="1574"/>
      <c r="G17" s="1574"/>
      <c r="H17" s="1574"/>
      <c r="I17" s="1574"/>
      <c r="J17" s="1574"/>
      <c r="K17" s="1672">
        <f t="shared" si="0"/>
        <v>6960</v>
      </c>
      <c r="L17" s="1573">
        <v>8535</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1356005</v>
      </c>
      <c r="D33" s="1674">
        <f t="shared" ref="D33:L33" si="1">SUM(D5:D32)</f>
        <v>122750</v>
      </c>
      <c r="E33" s="1674">
        <f t="shared" si="1"/>
        <v>77374</v>
      </c>
      <c r="F33" s="1674">
        <f t="shared" si="1"/>
        <v>77222</v>
      </c>
      <c r="G33" s="1674">
        <f t="shared" si="1"/>
        <v>0</v>
      </c>
      <c r="H33" s="1674">
        <f t="shared" si="1"/>
        <v>3511</v>
      </c>
      <c r="I33" s="1674">
        <f t="shared" si="1"/>
        <v>4113</v>
      </c>
      <c r="J33" s="1674">
        <f t="shared" si="1"/>
        <v>0</v>
      </c>
      <c r="K33" s="1674">
        <f t="shared" si="1"/>
        <v>1640975</v>
      </c>
      <c r="L33" s="1674">
        <f t="shared" si="1"/>
        <v>1783401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72441</v>
      </c>
      <c r="D37" s="1573">
        <v>1022</v>
      </c>
      <c r="E37" s="1573"/>
      <c r="F37" s="1573"/>
      <c r="G37" s="1573"/>
      <c r="H37" s="1573"/>
      <c r="I37" s="1574"/>
      <c r="J37" s="1574"/>
      <c r="K37" s="1672">
        <f t="shared" si="2"/>
        <v>73463</v>
      </c>
      <c r="L37" s="1573">
        <v>74160</v>
      </c>
    </row>
    <row r="38" spans="1:14" x14ac:dyDescent="0.2">
      <c r="A38" s="1274" t="s">
        <v>196</v>
      </c>
      <c r="B38" s="503">
        <v>2130</v>
      </c>
      <c r="C38" s="1573"/>
      <c r="D38" s="1573"/>
      <c r="E38" s="1573">
        <v>910</v>
      </c>
      <c r="F38" s="1573">
        <v>859</v>
      </c>
      <c r="G38" s="1573"/>
      <c r="H38" s="1573"/>
      <c r="I38" s="1574"/>
      <c r="J38" s="1574"/>
      <c r="K38" s="1672">
        <f t="shared" si="2"/>
        <v>1769</v>
      </c>
      <c r="L38" s="1573">
        <v>2750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v>695</v>
      </c>
      <c r="G40" s="1573"/>
      <c r="H40" s="1573"/>
      <c r="I40" s="1574"/>
      <c r="J40" s="1574"/>
      <c r="K40" s="1672">
        <f t="shared" si="2"/>
        <v>695</v>
      </c>
      <c r="L40" s="1573">
        <v>750</v>
      </c>
    </row>
    <row r="41" spans="1:14" x14ac:dyDescent="0.2">
      <c r="A41" s="1274" t="s">
        <v>1650</v>
      </c>
      <c r="B41" s="503">
        <v>2190</v>
      </c>
      <c r="C41" s="1573">
        <v>10975</v>
      </c>
      <c r="D41" s="1573">
        <v>563</v>
      </c>
      <c r="E41" s="1573"/>
      <c r="F41" s="1573"/>
      <c r="G41" s="1573"/>
      <c r="H41" s="1573">
        <v>385</v>
      </c>
      <c r="I41" s="1574"/>
      <c r="J41" s="1574"/>
      <c r="K41" s="1672">
        <f t="shared" si="2"/>
        <v>11923</v>
      </c>
      <c r="L41" s="1573">
        <v>15780</v>
      </c>
    </row>
    <row r="42" spans="1:14" ht="12.75" customHeight="1" thickBot="1" x14ac:dyDescent="0.25">
      <c r="A42" s="1380" t="s">
        <v>556</v>
      </c>
      <c r="B42" s="1381" t="s">
        <v>711</v>
      </c>
      <c r="C42" s="1674">
        <f>SUM(C36:C41)</f>
        <v>83416</v>
      </c>
      <c r="D42" s="1674">
        <f t="shared" ref="D42:L42" si="3">SUM(D36:D41)</f>
        <v>1585</v>
      </c>
      <c r="E42" s="1674">
        <f t="shared" si="3"/>
        <v>910</v>
      </c>
      <c r="F42" s="1674">
        <f t="shared" si="3"/>
        <v>1554</v>
      </c>
      <c r="G42" s="1674">
        <f t="shared" si="3"/>
        <v>0</v>
      </c>
      <c r="H42" s="1674">
        <f t="shared" si="3"/>
        <v>385</v>
      </c>
      <c r="I42" s="1674">
        <f t="shared" si="3"/>
        <v>0</v>
      </c>
      <c r="J42" s="1674">
        <f t="shared" si="3"/>
        <v>0</v>
      </c>
      <c r="K42" s="1674">
        <f t="shared" si="3"/>
        <v>87850</v>
      </c>
      <c r="L42" s="1674">
        <f t="shared" si="3"/>
        <v>93440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30213</v>
      </c>
      <c r="D44" s="1586">
        <v>1550</v>
      </c>
      <c r="E44" s="1586">
        <v>8264</v>
      </c>
      <c r="F44" s="1586">
        <v>1360</v>
      </c>
      <c r="G44" s="1586"/>
      <c r="H44" s="1586"/>
      <c r="I44" s="1574"/>
      <c r="J44" s="1574"/>
      <c r="K44" s="1678">
        <f>SUM(C44:J44)</f>
        <v>41387</v>
      </c>
      <c r="L44" s="1586">
        <v>53709</v>
      </c>
    </row>
    <row r="45" spans="1:14" x14ac:dyDescent="0.2">
      <c r="A45" s="1274" t="s">
        <v>810</v>
      </c>
      <c r="B45" s="503">
        <v>2220</v>
      </c>
      <c r="C45" s="1573"/>
      <c r="D45" s="1573"/>
      <c r="E45" s="1573">
        <v>780</v>
      </c>
      <c r="F45" s="1573">
        <v>195</v>
      </c>
      <c r="G45" s="1573"/>
      <c r="H45" s="1573"/>
      <c r="I45" s="1574"/>
      <c r="J45" s="1574"/>
      <c r="K45" s="1678">
        <f>SUM(C45:J45)</f>
        <v>975</v>
      </c>
      <c r="L45" s="1573">
        <v>1500</v>
      </c>
    </row>
    <row r="46" spans="1:14" x14ac:dyDescent="0.2">
      <c r="A46" s="1274" t="s">
        <v>811</v>
      </c>
      <c r="B46" s="503">
        <v>2230</v>
      </c>
      <c r="C46" s="1573"/>
      <c r="D46" s="1573"/>
      <c r="E46" s="1573">
        <v>6500</v>
      </c>
      <c r="F46" s="1573"/>
      <c r="G46" s="1573"/>
      <c r="H46" s="1573"/>
      <c r="I46" s="1574"/>
      <c r="J46" s="1574"/>
      <c r="K46" s="1678">
        <f>SUM(C46:J46)</f>
        <v>6500</v>
      </c>
      <c r="L46" s="1573">
        <v>5400</v>
      </c>
    </row>
    <row r="47" spans="1:14" ht="12.75" customHeight="1" thickBot="1" x14ac:dyDescent="0.25">
      <c r="A47" s="1380" t="s">
        <v>557</v>
      </c>
      <c r="B47" s="1381" t="s">
        <v>32</v>
      </c>
      <c r="C47" s="1674">
        <f>SUM(C44:C46)</f>
        <v>30213</v>
      </c>
      <c r="D47" s="1674">
        <f t="shared" ref="D47:K47" si="4">SUM(D44:D46)</f>
        <v>1550</v>
      </c>
      <c r="E47" s="1674">
        <f t="shared" si="4"/>
        <v>15544</v>
      </c>
      <c r="F47" s="1674">
        <f t="shared" si="4"/>
        <v>1555</v>
      </c>
      <c r="G47" s="1674">
        <f t="shared" si="4"/>
        <v>0</v>
      </c>
      <c r="H47" s="1674">
        <f t="shared" si="4"/>
        <v>0</v>
      </c>
      <c r="I47" s="1674">
        <f t="shared" si="4"/>
        <v>0</v>
      </c>
      <c r="J47" s="1674">
        <f t="shared" si="4"/>
        <v>0</v>
      </c>
      <c r="K47" s="1674">
        <f t="shared" si="4"/>
        <v>48862</v>
      </c>
      <c r="L47" s="1674">
        <f>SUM(L44:L46)</f>
        <v>60609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2038</v>
      </c>
      <c r="E49" s="1586">
        <v>924</v>
      </c>
      <c r="F49" s="1586"/>
      <c r="G49" s="1586"/>
      <c r="H49" s="1586">
        <v>35</v>
      </c>
      <c r="I49" s="1574"/>
      <c r="J49" s="1574"/>
      <c r="K49" s="1678">
        <f>SUM(C49:J49)</f>
        <v>2997</v>
      </c>
      <c r="L49" s="1586">
        <v>1260</v>
      </c>
    </row>
    <row r="50" spans="1:14" x14ac:dyDescent="0.2">
      <c r="A50" s="1274" t="s">
        <v>813</v>
      </c>
      <c r="B50" s="503">
        <v>2320</v>
      </c>
      <c r="C50" s="1573">
        <v>25443</v>
      </c>
      <c r="D50" s="1573">
        <v>697</v>
      </c>
      <c r="E50" s="1573">
        <v>1894</v>
      </c>
      <c r="F50" s="1573"/>
      <c r="G50" s="1573"/>
      <c r="H50" s="1573"/>
      <c r="I50" s="1574"/>
      <c r="J50" s="1574"/>
      <c r="K50" s="1678">
        <f>SUM(C50:J50)</f>
        <v>28034</v>
      </c>
      <c r="L50" s="1573">
        <v>30115</v>
      </c>
    </row>
    <row r="51" spans="1:14" x14ac:dyDescent="0.2">
      <c r="A51" s="1274" t="s">
        <v>42</v>
      </c>
      <c r="B51" s="503">
        <v>2330</v>
      </c>
      <c r="C51" s="1573"/>
      <c r="D51" s="1573"/>
      <c r="E51" s="1573">
        <v>559</v>
      </c>
      <c r="F51" s="1573">
        <v>1500</v>
      </c>
      <c r="G51" s="1573"/>
      <c r="H51" s="1573"/>
      <c r="I51" s="1574"/>
      <c r="J51" s="1574"/>
      <c r="K51" s="1678">
        <f>SUM(C51:J51)</f>
        <v>2059</v>
      </c>
      <c r="L51" s="1573">
        <v>2000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25443</v>
      </c>
      <c r="D53" s="1674">
        <f t="shared" ref="D53:L53" si="5">SUM(D49:D52)</f>
        <v>2735</v>
      </c>
      <c r="E53" s="1674">
        <f t="shared" si="5"/>
        <v>3377</v>
      </c>
      <c r="F53" s="1674">
        <f t="shared" si="5"/>
        <v>1500</v>
      </c>
      <c r="G53" s="1674">
        <f t="shared" si="5"/>
        <v>0</v>
      </c>
      <c r="H53" s="1674">
        <f t="shared" si="5"/>
        <v>35</v>
      </c>
      <c r="I53" s="1674">
        <f t="shared" si="5"/>
        <v>0</v>
      </c>
      <c r="J53" s="1674">
        <f t="shared" si="5"/>
        <v>0</v>
      </c>
      <c r="K53" s="1674">
        <f t="shared" si="5"/>
        <v>33090</v>
      </c>
      <c r="L53" s="1674">
        <f t="shared" si="5"/>
        <v>33375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210646</v>
      </c>
      <c r="D55" s="1586">
        <v>15669</v>
      </c>
      <c r="E55" s="1586">
        <v>1279</v>
      </c>
      <c r="F55" s="1586"/>
      <c r="G55" s="1586"/>
      <c r="H55" s="1586"/>
      <c r="I55" s="1574"/>
      <c r="J55" s="1574"/>
      <c r="K55" s="1678">
        <f>SUM(C55:J55)</f>
        <v>227594</v>
      </c>
      <c r="L55" s="1586">
        <v>235800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210646</v>
      </c>
      <c r="D57" s="1679">
        <f t="shared" ref="D57:K57" si="6">SUM(D55:D56)</f>
        <v>15669</v>
      </c>
      <c r="E57" s="1679">
        <f t="shared" si="6"/>
        <v>1279</v>
      </c>
      <c r="F57" s="1679">
        <f t="shared" si="6"/>
        <v>0</v>
      </c>
      <c r="G57" s="1679">
        <f t="shared" si="6"/>
        <v>0</v>
      </c>
      <c r="H57" s="1679">
        <f t="shared" si="6"/>
        <v>0</v>
      </c>
      <c r="I57" s="1679">
        <f t="shared" si="6"/>
        <v>0</v>
      </c>
      <c r="J57" s="1679">
        <f t="shared" si="6"/>
        <v>0</v>
      </c>
      <c r="K57" s="1679">
        <f t="shared" si="6"/>
        <v>227594</v>
      </c>
      <c r="L57" s="1674">
        <f>SUM(L55:L56)</f>
        <v>235800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53115</v>
      </c>
      <c r="D60" s="1573">
        <v>7285</v>
      </c>
      <c r="E60" s="1573">
        <v>6572</v>
      </c>
      <c r="F60" s="1573">
        <v>142</v>
      </c>
      <c r="G60" s="1573"/>
      <c r="H60" s="1573">
        <v>425</v>
      </c>
      <c r="I60" s="1574"/>
      <c r="J60" s="1574"/>
      <c r="K60" s="1678">
        <f t="shared" si="7"/>
        <v>67539</v>
      </c>
      <c r="L60" s="1573">
        <v>70365</v>
      </c>
      <c r="M60" s="501"/>
      <c r="N60" s="501"/>
    </row>
    <row r="61" spans="1:14" s="321" customFormat="1" x14ac:dyDescent="0.2">
      <c r="A61" s="1274" t="s">
        <v>195</v>
      </c>
      <c r="B61" s="503">
        <v>2540</v>
      </c>
      <c r="C61" s="1573"/>
      <c r="D61" s="1573"/>
      <c r="E61" s="1573">
        <v>15672</v>
      </c>
      <c r="F61" s="1573">
        <v>47404</v>
      </c>
      <c r="G61" s="1573"/>
      <c r="H61" s="1573"/>
      <c r="I61" s="1574"/>
      <c r="J61" s="1574"/>
      <c r="K61" s="1678">
        <f t="shared" si="7"/>
        <v>63076</v>
      </c>
      <c r="L61" s="1573">
        <v>73000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53560</v>
      </c>
      <c r="D63" s="1573">
        <v>6483</v>
      </c>
      <c r="E63" s="1573">
        <v>8359</v>
      </c>
      <c r="F63" s="1573">
        <v>81284</v>
      </c>
      <c r="G63" s="1573"/>
      <c r="H63" s="1573"/>
      <c r="I63" s="1574"/>
      <c r="J63" s="1574"/>
      <c r="K63" s="1678">
        <f t="shared" si="7"/>
        <v>149686</v>
      </c>
      <c r="L63" s="1573">
        <v>158420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106675</v>
      </c>
      <c r="D65" s="1674">
        <f t="shared" ref="D65:L65" si="8">SUM(D59:D64)</f>
        <v>13768</v>
      </c>
      <c r="E65" s="1674">
        <f t="shared" si="8"/>
        <v>30603</v>
      </c>
      <c r="F65" s="1674">
        <f t="shared" si="8"/>
        <v>128830</v>
      </c>
      <c r="G65" s="1674">
        <f t="shared" si="8"/>
        <v>0</v>
      </c>
      <c r="H65" s="1674">
        <f t="shared" si="8"/>
        <v>425</v>
      </c>
      <c r="I65" s="1674">
        <f t="shared" si="8"/>
        <v>0</v>
      </c>
      <c r="J65" s="1674">
        <f t="shared" si="8"/>
        <v>0</v>
      </c>
      <c r="K65" s="1674">
        <f t="shared" si="8"/>
        <v>280301</v>
      </c>
      <c r="L65" s="1674">
        <f t="shared" si="8"/>
        <v>301785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684</v>
      </c>
      <c r="G73" s="1649"/>
      <c r="H73" s="1649"/>
      <c r="I73" s="1627"/>
      <c r="J73" s="1627"/>
      <c r="K73" s="1674">
        <f>SUM(C73:J73)</f>
        <v>684</v>
      </c>
      <c r="L73" s="1651">
        <v>924</v>
      </c>
      <c r="M73" s="501"/>
      <c r="N73" s="501"/>
    </row>
    <row r="74" spans="1:14" ht="12.75" customHeight="1" thickTop="1" thickBot="1" x14ac:dyDescent="0.25">
      <c r="A74" s="1380" t="s">
        <v>806</v>
      </c>
      <c r="B74" s="1384">
        <v>2000</v>
      </c>
      <c r="C74" s="1681">
        <f>SUM(C42,C47,C53,C57,C65,C72,C73)</f>
        <v>456393</v>
      </c>
      <c r="D74" s="1681">
        <f t="shared" ref="D74:K74" si="10">SUM(D42,D47,D53,D57,D65,D72,D73)</f>
        <v>35307</v>
      </c>
      <c r="E74" s="1681">
        <f t="shared" si="10"/>
        <v>51713</v>
      </c>
      <c r="F74" s="1681">
        <f t="shared" si="10"/>
        <v>134123</v>
      </c>
      <c r="G74" s="1681">
        <f t="shared" si="10"/>
        <v>0</v>
      </c>
      <c r="H74" s="1681">
        <f t="shared" si="10"/>
        <v>845</v>
      </c>
      <c r="I74" s="1681">
        <f t="shared" si="10"/>
        <v>0</v>
      </c>
      <c r="J74" s="1681">
        <f t="shared" si="10"/>
        <v>0</v>
      </c>
      <c r="K74" s="1681">
        <f t="shared" si="10"/>
        <v>678381</v>
      </c>
      <c r="L74" s="1681">
        <f>SUM(L42,L47,L53,L57,L65,L72,L73)</f>
        <v>725933</v>
      </c>
    </row>
    <row r="75" spans="1:14" s="254" customFormat="1" ht="15.75" customHeight="1" thickTop="1" thickBot="1" x14ac:dyDescent="0.25">
      <c r="A75" s="1348" t="s">
        <v>47</v>
      </c>
      <c r="B75" s="1349" t="s">
        <v>571</v>
      </c>
      <c r="C75" s="1649">
        <v>31158</v>
      </c>
      <c r="D75" s="1649">
        <v>6304</v>
      </c>
      <c r="E75" s="1649"/>
      <c r="F75" s="1649"/>
      <c r="G75" s="1649"/>
      <c r="H75" s="1649"/>
      <c r="I75" s="1627"/>
      <c r="J75" s="1627"/>
      <c r="K75" s="1674">
        <f>SUM(C75:J75)</f>
        <v>37462</v>
      </c>
      <c r="L75" s="1651">
        <v>39162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32869</v>
      </c>
      <c r="F79" s="1673"/>
      <c r="G79" s="1673"/>
      <c r="H79" s="1573">
        <v>4193</v>
      </c>
      <c r="I79" s="1582"/>
      <c r="J79" s="1582"/>
      <c r="K79" s="1672">
        <f t="shared" si="11"/>
        <v>37062</v>
      </c>
      <c r="L79" s="1573">
        <v>43006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32869</v>
      </c>
      <c r="F84" s="1673"/>
      <c r="G84" s="1673"/>
      <c r="H84" s="1674">
        <f>SUM(H78:H83)</f>
        <v>4193</v>
      </c>
      <c r="I84" s="1582"/>
      <c r="J84" s="1582"/>
      <c r="K84" s="1674">
        <f>SUM(K78:K83)</f>
        <v>37062</v>
      </c>
      <c r="L84" s="1674">
        <f>SUM(L78:L83)</f>
        <v>43006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99027</v>
      </c>
      <c r="I86" s="1582"/>
      <c r="J86" s="1582"/>
      <c r="K86" s="1681">
        <f t="shared" ref="K86:K98" si="12">H86</f>
        <v>99027</v>
      </c>
      <c r="L86" s="1626">
        <v>100275</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99027</v>
      </c>
      <c r="I92" s="1582"/>
      <c r="J92" s="1582"/>
      <c r="K92" s="1681">
        <f t="shared" si="12"/>
        <v>99027</v>
      </c>
      <c r="L92" s="1674">
        <f>SUM(L85:L91)</f>
        <v>100275</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49813</v>
      </c>
      <c r="F101" s="1673"/>
      <c r="G101" s="1673"/>
      <c r="H101" s="1627"/>
      <c r="I101" s="1582"/>
      <c r="J101" s="1582"/>
      <c r="K101" s="1687">
        <f>SUM(C101:J101)</f>
        <v>49813</v>
      </c>
      <c r="L101" s="1626">
        <v>72588</v>
      </c>
    </row>
    <row r="102" spans="1:14" ht="12.75" customHeight="1" thickTop="1" thickBot="1" x14ac:dyDescent="0.25">
      <c r="A102" s="1380" t="s">
        <v>1470</v>
      </c>
      <c r="B102" s="1385">
        <v>4000</v>
      </c>
      <c r="C102" s="1673"/>
      <c r="D102" s="1673"/>
      <c r="E102" s="1681">
        <f>SUM(E84,E92,E100,E101)</f>
        <v>82682</v>
      </c>
      <c r="F102" s="1673"/>
      <c r="G102" s="1673"/>
      <c r="H102" s="1681">
        <f>SUM(H84,H92,H100,H101)</f>
        <v>103220</v>
      </c>
      <c r="I102" s="1582"/>
      <c r="J102" s="1582"/>
      <c r="K102" s="1681">
        <f>SUM(K84,K92,K100,K101)</f>
        <v>185902</v>
      </c>
      <c r="L102" s="1681">
        <f>SUM(L84,L92,L100,L101)</f>
        <v>215869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1843556</v>
      </c>
      <c r="D114" s="1674">
        <f t="shared" ref="D114:K114" si="13">SUM(D33,D74,D75,D102,D112,D113)</f>
        <v>164361</v>
      </c>
      <c r="E114" s="1674">
        <f t="shared" si="13"/>
        <v>211769</v>
      </c>
      <c r="F114" s="1674">
        <f t="shared" si="13"/>
        <v>211345</v>
      </c>
      <c r="G114" s="1674">
        <f t="shared" si="13"/>
        <v>0</v>
      </c>
      <c r="H114" s="1674">
        <f>SUM(H33,H74,H75,H102,H112,H113)</f>
        <v>107576</v>
      </c>
      <c r="I114" s="1674">
        <f t="shared" si="13"/>
        <v>4113</v>
      </c>
      <c r="J114" s="1674">
        <f t="shared" si="13"/>
        <v>0</v>
      </c>
      <c r="K114" s="1674">
        <f t="shared" si="13"/>
        <v>2542720</v>
      </c>
      <c r="L114" s="1674">
        <f>SUM(L33,L74,L75,L102,L112,L113)</f>
        <v>2764365</v>
      </c>
    </row>
    <row r="115" spans="1:14" ht="13.5" thickTop="1" x14ac:dyDescent="0.2">
      <c r="A115" s="2261" t="s">
        <v>989</v>
      </c>
      <c r="B115" s="2262"/>
      <c r="C115" s="1675"/>
      <c r="D115" s="1675"/>
      <c r="E115" s="1675"/>
      <c r="F115" s="1675"/>
      <c r="G115" s="1675"/>
      <c r="H115" s="1675"/>
      <c r="I115" s="1675"/>
      <c r="J115" s="1675"/>
      <c r="K115" s="1689">
        <f>'Revenues 9-14'!C268-'Expenditures 15-22'!K114</f>
        <v>243689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99807</v>
      </c>
      <c r="D124" s="1573">
        <v>9609</v>
      </c>
      <c r="E124" s="1573">
        <v>16892</v>
      </c>
      <c r="F124" s="1573">
        <v>22006</v>
      </c>
      <c r="G124" s="1573">
        <v>13263</v>
      </c>
      <c r="H124" s="1573"/>
      <c r="I124" s="1574">
        <v>10575</v>
      </c>
      <c r="J124" s="1574"/>
      <c r="K124" s="1674">
        <f>SUM(C124:J124)</f>
        <v>172152</v>
      </c>
      <c r="L124" s="1573">
        <v>196380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99807</v>
      </c>
      <c r="D127" s="1674">
        <f t="shared" ref="D127:L127" si="14">SUM(D122:D126)</f>
        <v>9609</v>
      </c>
      <c r="E127" s="1674">
        <f t="shared" si="14"/>
        <v>16892</v>
      </c>
      <c r="F127" s="1674">
        <f t="shared" si="14"/>
        <v>22006</v>
      </c>
      <c r="G127" s="1674">
        <f t="shared" si="14"/>
        <v>13263</v>
      </c>
      <c r="H127" s="1674">
        <f t="shared" si="14"/>
        <v>0</v>
      </c>
      <c r="I127" s="1674">
        <f t="shared" si="14"/>
        <v>10575</v>
      </c>
      <c r="J127" s="1674">
        <f t="shared" si="14"/>
        <v>0</v>
      </c>
      <c r="K127" s="1674">
        <f t="shared" si="14"/>
        <v>172152</v>
      </c>
      <c r="L127" s="1674">
        <f t="shared" si="14"/>
        <v>196380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99807</v>
      </c>
      <c r="D129" s="1681">
        <f t="shared" ref="D129:L129" si="15">SUM(D120,D127,D128)</f>
        <v>9609</v>
      </c>
      <c r="E129" s="1681">
        <f t="shared" si="15"/>
        <v>16892</v>
      </c>
      <c r="F129" s="1681">
        <f t="shared" si="15"/>
        <v>22006</v>
      </c>
      <c r="G129" s="1681">
        <f t="shared" si="15"/>
        <v>13263</v>
      </c>
      <c r="H129" s="1681">
        <f t="shared" si="15"/>
        <v>0</v>
      </c>
      <c r="I129" s="1681">
        <f t="shared" si="15"/>
        <v>10575</v>
      </c>
      <c r="J129" s="1681">
        <f t="shared" si="15"/>
        <v>0</v>
      </c>
      <c r="K129" s="1681">
        <f t="shared" si="15"/>
        <v>172152</v>
      </c>
      <c r="L129" s="1681">
        <f t="shared" si="15"/>
        <v>196380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99807</v>
      </c>
      <c r="D151" s="1674">
        <f t="shared" ref="D151:K151" si="16">SUM(D129,D130,D139,D149,D150)</f>
        <v>9609</v>
      </c>
      <c r="E151" s="1674">
        <f t="shared" si="16"/>
        <v>16892</v>
      </c>
      <c r="F151" s="1674">
        <f t="shared" si="16"/>
        <v>22006</v>
      </c>
      <c r="G151" s="1674">
        <f t="shared" si="16"/>
        <v>13263</v>
      </c>
      <c r="H151" s="1674">
        <f t="shared" si="16"/>
        <v>0</v>
      </c>
      <c r="I151" s="1674">
        <f t="shared" si="16"/>
        <v>10575</v>
      </c>
      <c r="J151" s="1674">
        <f t="shared" si="16"/>
        <v>0</v>
      </c>
      <c r="K151" s="1674">
        <f t="shared" si="16"/>
        <v>172152</v>
      </c>
      <c r="L151" s="1674">
        <f>SUM(L129,L130,L139,L149,L150)</f>
        <v>196380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26281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30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92586</v>
      </c>
      <c r="D182" s="1573">
        <v>1335</v>
      </c>
      <c r="E182" s="1573">
        <v>8074</v>
      </c>
      <c r="F182" s="1573">
        <v>16960</v>
      </c>
      <c r="G182" s="1573">
        <v>28860</v>
      </c>
      <c r="H182" s="1573">
        <v>344</v>
      </c>
      <c r="I182" s="1574"/>
      <c r="J182" s="1574"/>
      <c r="K182" s="1672">
        <f>SUM(C182:J182)</f>
        <v>148159</v>
      </c>
      <c r="L182" s="1573">
        <v>139310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92586</v>
      </c>
      <c r="D184" s="1681">
        <f t="shared" ref="D184:J184" si="17">SUM(D180,D182,D183)</f>
        <v>1335</v>
      </c>
      <c r="E184" s="1681">
        <f t="shared" si="17"/>
        <v>8074</v>
      </c>
      <c r="F184" s="1681">
        <f t="shared" si="17"/>
        <v>16960</v>
      </c>
      <c r="G184" s="1681">
        <f t="shared" si="17"/>
        <v>28860</v>
      </c>
      <c r="H184" s="1681">
        <f t="shared" si="17"/>
        <v>344</v>
      </c>
      <c r="I184" s="1681">
        <f t="shared" si="17"/>
        <v>0</v>
      </c>
      <c r="J184" s="1681">
        <f t="shared" si="17"/>
        <v>0</v>
      </c>
      <c r="K184" s="1681">
        <f>SUM(K180,K182,K183)</f>
        <v>148159</v>
      </c>
      <c r="L184" s="1681">
        <f>SUM(L180, L182:L183)</f>
        <v>139310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2787</v>
      </c>
      <c r="I205" s="1673"/>
      <c r="J205" s="1673"/>
      <c r="K205" s="1696">
        <f>SUM(H205)</f>
        <v>2787</v>
      </c>
      <c r="L205" s="1630">
        <v>2500</v>
      </c>
    </row>
    <row r="206" spans="1:14" ht="30" customHeight="1" x14ac:dyDescent="0.2">
      <c r="A206" s="555" t="s">
        <v>1652</v>
      </c>
      <c r="B206" s="546" t="s">
        <v>31</v>
      </c>
      <c r="C206" s="1673"/>
      <c r="D206" s="1673"/>
      <c r="E206" s="1673"/>
      <c r="F206" s="1673"/>
      <c r="G206" s="1673"/>
      <c r="H206" s="1573">
        <v>27987</v>
      </c>
      <c r="I206" s="1673"/>
      <c r="J206" s="1673"/>
      <c r="K206" s="1672">
        <f>SUM(H206)</f>
        <v>27987</v>
      </c>
      <c r="L206" s="1573">
        <v>32000</v>
      </c>
    </row>
    <row r="207" spans="1:14" ht="15.75" customHeight="1" x14ac:dyDescent="0.2">
      <c r="A207" s="507" t="s">
        <v>761</v>
      </c>
      <c r="B207" s="546" t="s">
        <v>84</v>
      </c>
      <c r="C207" s="1673"/>
      <c r="D207" s="1673"/>
      <c r="E207" s="1673"/>
      <c r="F207" s="1673"/>
      <c r="G207" s="1673"/>
      <c r="H207" s="1574">
        <v>12516</v>
      </c>
      <c r="I207" s="1673"/>
      <c r="J207" s="1673"/>
      <c r="K207" s="1672">
        <f>H207</f>
        <v>12516</v>
      </c>
      <c r="L207" s="1573"/>
    </row>
    <row r="208" spans="1:14" ht="12.75" customHeight="1" thickBot="1" x14ac:dyDescent="0.25">
      <c r="A208" s="1389" t="s">
        <v>633</v>
      </c>
      <c r="B208" s="1390" t="s">
        <v>489</v>
      </c>
      <c r="C208" s="1673"/>
      <c r="D208" s="1673"/>
      <c r="E208" s="1673"/>
      <c r="F208" s="1673"/>
      <c r="G208" s="1673"/>
      <c r="H208" s="1681">
        <f>SUM(H204,H205,H206,H207)</f>
        <v>43290</v>
      </c>
      <c r="I208" s="1673"/>
      <c r="J208" s="1673"/>
      <c r="K208" s="1681">
        <f>SUM(K204,K205,K206,K207)</f>
        <v>43290</v>
      </c>
      <c r="L208" s="1681">
        <f>SUM(L204,L205,L206,L207)</f>
        <v>34500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92586</v>
      </c>
      <c r="D210" s="1674">
        <f>SUM(D184,D185)</f>
        <v>1335</v>
      </c>
      <c r="E210" s="1674">
        <f>SUM(E184,E185,E196)</f>
        <v>8074</v>
      </c>
      <c r="F210" s="1674">
        <f>SUM(F184,F185)</f>
        <v>16960</v>
      </c>
      <c r="G210" s="1674">
        <f>SUM(G184,G185)</f>
        <v>28860</v>
      </c>
      <c r="H210" s="1674">
        <f>SUM(H184,H185,H196,H208,H209)</f>
        <v>43634</v>
      </c>
      <c r="I210" s="1674">
        <f>SUM(I184,I185)</f>
        <v>0</v>
      </c>
      <c r="J210" s="1674">
        <f>SUM(J184,J185)</f>
        <v>0</v>
      </c>
      <c r="K210" s="1672">
        <f>SUM(K184,K185,K196,K208,K209)</f>
        <v>191449</v>
      </c>
      <c r="L210" s="1674">
        <f>SUM(L184,L185,L196,L208,L209)</f>
        <v>173810</v>
      </c>
    </row>
    <row r="211" spans="1:14" ht="13.5" thickTop="1" x14ac:dyDescent="0.2">
      <c r="A211" s="2261" t="s">
        <v>989</v>
      </c>
      <c r="B211" s="2262"/>
      <c r="C211" s="1675"/>
      <c r="D211" s="1675"/>
      <c r="E211" s="1675"/>
      <c r="F211" s="1675"/>
      <c r="G211" s="1675"/>
      <c r="H211" s="1675"/>
      <c r="I211" s="1673"/>
      <c r="J211" s="1673"/>
      <c r="K211" s="1689">
        <f>'Revenues 9-14'!F268-'Expenditures 15-22'!K210</f>
        <v>-25839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18834</v>
      </c>
      <c r="E215" s="1673"/>
      <c r="F215" s="1673"/>
      <c r="G215" s="1673"/>
      <c r="H215" s="1673"/>
      <c r="I215" s="1673"/>
      <c r="J215" s="1673"/>
      <c r="K215" s="1672">
        <f>D215</f>
        <v>18834</v>
      </c>
      <c r="L215" s="1573">
        <v>20861</v>
      </c>
    </row>
    <row r="216" spans="1:14" x14ac:dyDescent="0.2">
      <c r="A216" s="1274" t="s">
        <v>162</v>
      </c>
      <c r="B216" s="503" t="s">
        <v>961</v>
      </c>
      <c r="C216" s="1673"/>
      <c r="D216" s="1574">
        <v>2583</v>
      </c>
      <c r="E216" s="1673"/>
      <c r="F216" s="1673"/>
      <c r="G216" s="1673"/>
      <c r="H216" s="1673"/>
      <c r="I216" s="1673"/>
      <c r="J216" s="1673"/>
      <c r="K216" s="1672">
        <f t="shared" ref="K216:K228" si="19">D216</f>
        <v>2583</v>
      </c>
      <c r="L216" s="1573"/>
    </row>
    <row r="217" spans="1:14" x14ac:dyDescent="0.2">
      <c r="A217" s="1274" t="s">
        <v>163</v>
      </c>
      <c r="B217" s="503">
        <v>1200</v>
      </c>
      <c r="C217" s="1673"/>
      <c r="D217" s="1573">
        <v>19417</v>
      </c>
      <c r="E217" s="1673"/>
      <c r="F217" s="1673"/>
      <c r="G217" s="1673"/>
      <c r="H217" s="1673"/>
      <c r="I217" s="1673"/>
      <c r="J217" s="1673"/>
      <c r="K217" s="1672">
        <f t="shared" si="19"/>
        <v>19417</v>
      </c>
      <c r="L217" s="1573">
        <v>18875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3418</v>
      </c>
      <c r="E219" s="1673"/>
      <c r="F219" s="1673"/>
      <c r="G219" s="1673"/>
      <c r="H219" s="1673"/>
      <c r="I219" s="1673"/>
      <c r="J219" s="1673"/>
      <c r="K219" s="1672">
        <f t="shared" si="19"/>
        <v>3418</v>
      </c>
      <c r="L219" s="1573">
        <v>4810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963</v>
      </c>
      <c r="E222" s="1673"/>
      <c r="F222" s="1673"/>
      <c r="G222" s="1673"/>
      <c r="H222" s="1673"/>
      <c r="I222" s="1673"/>
      <c r="J222" s="1673"/>
      <c r="K222" s="1672">
        <f t="shared" si="19"/>
        <v>963</v>
      </c>
      <c r="L222" s="1573">
        <v>530</v>
      </c>
    </row>
    <row r="223" spans="1:14" x14ac:dyDescent="0.2">
      <c r="A223" s="1274" t="s">
        <v>957</v>
      </c>
      <c r="B223" s="503">
        <v>1500</v>
      </c>
      <c r="C223" s="1673"/>
      <c r="D223" s="1573">
        <v>2396</v>
      </c>
      <c r="E223" s="1673"/>
      <c r="F223" s="1673"/>
      <c r="G223" s="1673"/>
      <c r="H223" s="1673"/>
      <c r="I223" s="1673"/>
      <c r="J223" s="1673"/>
      <c r="K223" s="1672">
        <f t="shared" si="19"/>
        <v>2396</v>
      </c>
      <c r="L223" s="1573">
        <v>2500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81</v>
      </c>
      <c r="E226" s="1673"/>
      <c r="F226" s="1673"/>
      <c r="G226" s="1673"/>
      <c r="H226" s="1673"/>
      <c r="I226" s="1673"/>
      <c r="J226" s="1673"/>
      <c r="K226" s="1672">
        <f t="shared" si="19"/>
        <v>81</v>
      </c>
      <c r="L226" s="1573">
        <v>100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47692</v>
      </c>
      <c r="E229" s="1673"/>
      <c r="F229" s="1673"/>
      <c r="G229" s="1673"/>
      <c r="H229" s="1673"/>
      <c r="I229" s="1673"/>
      <c r="J229" s="1673"/>
      <c r="K229" s="1674">
        <f>SUM(K215:K228)</f>
        <v>47692</v>
      </c>
      <c r="L229" s="1674">
        <f>SUM(L215:L228)</f>
        <v>47676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1707</v>
      </c>
      <c r="E233" s="1673"/>
      <c r="F233" s="1673"/>
      <c r="G233" s="1673"/>
      <c r="H233" s="1673"/>
      <c r="I233" s="1673"/>
      <c r="J233" s="1673"/>
      <c r="K233" s="1672">
        <f t="shared" si="20"/>
        <v>1707</v>
      </c>
      <c r="L233" s="1573">
        <v>550</v>
      </c>
    </row>
    <row r="234" spans="1:12" x14ac:dyDescent="0.2">
      <c r="A234" s="1274" t="s">
        <v>196</v>
      </c>
      <c r="B234" s="503">
        <v>2130</v>
      </c>
      <c r="C234" s="1673"/>
      <c r="D234" s="1573"/>
      <c r="E234" s="1673"/>
      <c r="F234" s="1673"/>
      <c r="G234" s="1673"/>
      <c r="H234" s="1673"/>
      <c r="I234" s="1673"/>
      <c r="J234" s="1673"/>
      <c r="K234" s="1672">
        <f t="shared" si="20"/>
        <v>0</v>
      </c>
      <c r="L234" s="1573">
        <v>2500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156</v>
      </c>
      <c r="E237" s="1673"/>
      <c r="F237" s="1673"/>
      <c r="G237" s="1673"/>
      <c r="H237" s="1673"/>
      <c r="I237" s="1673"/>
      <c r="J237" s="1673"/>
      <c r="K237" s="1672">
        <f t="shared" si="20"/>
        <v>156</v>
      </c>
      <c r="L237" s="1573">
        <v>500</v>
      </c>
    </row>
    <row r="238" spans="1:12" ht="12.75" customHeight="1" thickBot="1" x14ac:dyDescent="0.25">
      <c r="A238" s="1380" t="s">
        <v>556</v>
      </c>
      <c r="B238" s="1383" t="s">
        <v>711</v>
      </c>
      <c r="C238" s="1673"/>
      <c r="D238" s="1674">
        <f>SUM(D232:D237)</f>
        <v>1863</v>
      </c>
      <c r="E238" s="1673"/>
      <c r="F238" s="1673"/>
      <c r="G238" s="1673"/>
      <c r="H238" s="1673"/>
      <c r="I238" s="1673"/>
      <c r="J238" s="1673"/>
      <c r="K238" s="1674">
        <f>SUM(K232:K237)</f>
        <v>1863</v>
      </c>
      <c r="L238" s="1674">
        <f>SUM(L232:L237)</f>
        <v>3550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382</v>
      </c>
      <c r="E240" s="1673"/>
      <c r="F240" s="1673"/>
      <c r="G240" s="1673"/>
      <c r="H240" s="1673"/>
      <c r="I240" s="1673"/>
      <c r="J240" s="1673"/>
      <c r="K240" s="1678">
        <f>D240</f>
        <v>382</v>
      </c>
      <c r="L240" s="1586">
        <v>100</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382</v>
      </c>
      <c r="E243" s="1673"/>
      <c r="F243" s="1673"/>
      <c r="G243" s="1673"/>
      <c r="H243" s="1673"/>
      <c r="I243" s="1673"/>
      <c r="J243" s="1673"/>
      <c r="K243" s="1674">
        <f>SUM(K240:K242)</f>
        <v>382</v>
      </c>
      <c r="L243" s="1674">
        <f>SUM(L240:L242)</f>
        <v>100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368</v>
      </c>
      <c r="E246" s="1673"/>
      <c r="F246" s="1673"/>
      <c r="G246" s="1673"/>
      <c r="H246" s="1673"/>
      <c r="I246" s="1673"/>
      <c r="J246" s="1673"/>
      <c r="K246" s="1678">
        <f t="shared" ref="K246:K256" si="21">D246</f>
        <v>368</v>
      </c>
      <c r="L246" s="1573">
        <v>350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10038</v>
      </c>
      <c r="E252" s="1673"/>
      <c r="F252" s="1673"/>
      <c r="G252" s="1673"/>
      <c r="H252" s="1673"/>
      <c r="I252" s="1673"/>
      <c r="J252" s="1673"/>
      <c r="K252" s="1678">
        <f t="shared" si="21"/>
        <v>10038</v>
      </c>
      <c r="L252" s="1573">
        <v>5950</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10406</v>
      </c>
      <c r="E257" s="1673"/>
      <c r="F257" s="1673"/>
      <c r="G257" s="1673"/>
      <c r="H257" s="1673"/>
      <c r="I257" s="1673"/>
      <c r="J257" s="1673"/>
      <c r="K257" s="1674">
        <f>SUM(K245:K256)</f>
        <v>10406</v>
      </c>
      <c r="L257" s="1674">
        <f>SUM(L245:L256)</f>
        <v>6300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13336</v>
      </c>
      <c r="E259" s="1673"/>
      <c r="F259" s="1673"/>
      <c r="G259" s="1673"/>
      <c r="H259" s="1673"/>
      <c r="I259" s="1673"/>
      <c r="J259" s="1673"/>
      <c r="K259" s="1678">
        <f>D259</f>
        <v>13336</v>
      </c>
      <c r="L259" s="1586">
        <v>12500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13336</v>
      </c>
      <c r="E261" s="1673"/>
      <c r="F261" s="1673"/>
      <c r="G261" s="1673"/>
      <c r="H261" s="1673"/>
      <c r="I261" s="1673"/>
      <c r="J261" s="1673"/>
      <c r="K261" s="1674">
        <f>SUM(K259:K260)</f>
        <v>13336</v>
      </c>
      <c r="L261" s="1674">
        <f>SUM(L259:L260)</f>
        <v>12500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8414</v>
      </c>
      <c r="E264" s="1673"/>
      <c r="F264" s="1673"/>
      <c r="G264" s="1673"/>
      <c r="H264" s="1673"/>
      <c r="I264" s="1673"/>
      <c r="J264" s="1673"/>
      <c r="K264" s="1678">
        <f t="shared" ref="K264:K269" si="22">D264</f>
        <v>8414</v>
      </c>
      <c r="L264" s="1573">
        <v>7500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15859</v>
      </c>
      <c r="E266" s="1673"/>
      <c r="F266" s="1673"/>
      <c r="G266" s="1673"/>
      <c r="H266" s="1673"/>
      <c r="I266" s="1673"/>
      <c r="J266" s="1673"/>
      <c r="K266" s="1678">
        <f t="shared" si="22"/>
        <v>15859</v>
      </c>
      <c r="L266" s="1573">
        <v>19525</v>
      </c>
    </row>
    <row r="267" spans="1:14" x14ac:dyDescent="0.2">
      <c r="A267" s="1274" t="s">
        <v>947</v>
      </c>
      <c r="B267" s="503">
        <v>2550</v>
      </c>
      <c r="C267" s="1673"/>
      <c r="D267" s="1573">
        <v>13199</v>
      </c>
      <c r="E267" s="1673"/>
      <c r="F267" s="1673"/>
      <c r="G267" s="1673"/>
      <c r="H267" s="1673"/>
      <c r="I267" s="1673"/>
      <c r="J267" s="1673"/>
      <c r="K267" s="1678">
        <f t="shared" si="22"/>
        <v>13199</v>
      </c>
      <c r="L267" s="1573">
        <v>14350</v>
      </c>
    </row>
    <row r="268" spans="1:14" x14ac:dyDescent="0.2">
      <c r="A268" s="1274" t="s">
        <v>100</v>
      </c>
      <c r="B268" s="503">
        <v>2560</v>
      </c>
      <c r="C268" s="1673"/>
      <c r="D268" s="1573">
        <v>8525</v>
      </c>
      <c r="E268" s="1673"/>
      <c r="F268" s="1673"/>
      <c r="G268" s="1673"/>
      <c r="H268" s="1673"/>
      <c r="I268" s="1673"/>
      <c r="J268" s="1673"/>
      <c r="K268" s="1678">
        <f t="shared" si="22"/>
        <v>8525</v>
      </c>
      <c r="L268" s="1573">
        <v>9000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45997</v>
      </c>
      <c r="E270" s="1673"/>
      <c r="F270" s="1673"/>
      <c r="G270" s="1673"/>
      <c r="H270" s="1673"/>
      <c r="I270" s="1673"/>
      <c r="J270" s="1673"/>
      <c r="K270" s="1674">
        <f>SUM(K263:K269)</f>
        <v>45997</v>
      </c>
      <c r="L270" s="1674">
        <f>SUM(L263:L269)</f>
        <v>50375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v>100</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100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71984</v>
      </c>
      <c r="E279" s="1673"/>
      <c r="F279" s="1673"/>
      <c r="G279" s="1673"/>
      <c r="H279" s="1673"/>
      <c r="I279" s="1673"/>
      <c r="J279" s="1673"/>
      <c r="K279" s="1681">
        <f>SUM(K238,K243,K257,K261,K270,K277,K278)</f>
        <v>71984</v>
      </c>
      <c r="L279" s="1681">
        <f>SUM(L238,L243,L257,L261,L270,L277,L278)</f>
        <v>72925</v>
      </c>
    </row>
    <row r="280" spans="1:12" ht="15.75" customHeight="1" thickTop="1" thickBot="1" x14ac:dyDescent="0.25">
      <c r="A280" s="1362" t="s">
        <v>870</v>
      </c>
      <c r="B280" s="1351">
        <v>3000</v>
      </c>
      <c r="C280" s="1673"/>
      <c r="D280" s="1651">
        <v>4840</v>
      </c>
      <c r="E280" s="1673"/>
      <c r="F280" s="1673"/>
      <c r="G280" s="1673"/>
      <c r="H280" s="1673"/>
      <c r="I280" s="1673"/>
      <c r="J280" s="1673"/>
      <c r="K280" s="1687">
        <f>D280</f>
        <v>4840</v>
      </c>
      <c r="L280" s="1651">
        <v>4900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124516</v>
      </c>
      <c r="E295" s="1673"/>
      <c r="F295" s="1673"/>
      <c r="G295" s="1673"/>
      <c r="H295" s="1674">
        <f>H293</f>
        <v>0</v>
      </c>
      <c r="I295" s="1673"/>
      <c r="J295" s="1673"/>
      <c r="K295" s="1674">
        <f>SUM(K229,K279,K280,K285,K293,K294)</f>
        <v>124516</v>
      </c>
      <c r="L295" s="1674">
        <f>SUM(L229,L279,L280,L285,L293,L294)</f>
        <v>125501</v>
      </c>
    </row>
    <row r="296" spans="1:14" ht="13.5" thickTop="1" x14ac:dyDescent="0.2">
      <c r="A296" s="2261" t="s">
        <v>989</v>
      </c>
      <c r="B296" s="2262"/>
      <c r="C296" s="1673"/>
      <c r="D296" s="1675"/>
      <c r="E296" s="1673"/>
      <c r="F296" s="1673"/>
      <c r="G296" s="1673"/>
      <c r="H296" s="1707"/>
      <c r="I296" s="1673"/>
      <c r="J296" s="1673"/>
      <c r="K296" s="1689">
        <f>'Revenues 9-14'!G268-'Expenditures 15-22'!K295</f>
        <v>-1242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1653</v>
      </c>
      <c r="F301" s="1573"/>
      <c r="G301" s="1573">
        <v>8009</v>
      </c>
      <c r="H301" s="1573">
        <v>550</v>
      </c>
      <c r="I301" s="1574"/>
      <c r="J301" s="1574"/>
      <c r="K301" s="1672">
        <f>SUM(C301:J301)</f>
        <v>10212</v>
      </c>
      <c r="L301" s="1574">
        <v>10270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1653</v>
      </c>
      <c r="F303" s="1681">
        <f t="shared" si="23"/>
        <v>0</v>
      </c>
      <c r="G303" s="1681">
        <f t="shared" si="23"/>
        <v>8009</v>
      </c>
      <c r="H303" s="1681">
        <f t="shared" si="23"/>
        <v>550</v>
      </c>
      <c r="I303" s="1681">
        <f t="shared" si="23"/>
        <v>0</v>
      </c>
      <c r="J303" s="1681">
        <f t="shared" si="23"/>
        <v>0</v>
      </c>
      <c r="K303" s="1681">
        <f t="shared" si="23"/>
        <v>10212</v>
      </c>
      <c r="L303" s="1681">
        <f t="shared" si="23"/>
        <v>10270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v>119088</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119088</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1653</v>
      </c>
      <c r="F312" s="1674">
        <f>SUM(F303)</f>
        <v>0</v>
      </c>
      <c r="G312" s="1674">
        <f>SUM(G303)</f>
        <v>8009</v>
      </c>
      <c r="H312" s="1674">
        <f>SUM(H303,H310)</f>
        <v>550</v>
      </c>
      <c r="I312" s="1674">
        <f>SUM(I303)</f>
        <v>0</v>
      </c>
      <c r="J312" s="1674">
        <f>SUM(J303)</f>
        <v>0</v>
      </c>
      <c r="K312" s="1674">
        <f>SUM(K303,K310,K311)</f>
        <v>10212</v>
      </c>
      <c r="L312" s="1674">
        <f>SUM(L303,L310,L311)</f>
        <v>129358</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168350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16587</v>
      </c>
      <c r="F320" s="1574"/>
      <c r="G320" s="1574"/>
      <c r="H320" s="1574"/>
      <c r="I320" s="1574"/>
      <c r="J320" s="1574"/>
      <c r="K320" s="1672">
        <f t="shared" ref="K320:K327" si="24">SUM(C320:J320)</f>
        <v>16587</v>
      </c>
      <c r="L320" s="1574">
        <v>16600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3869</v>
      </c>
      <c r="F322" s="1574"/>
      <c r="G322" s="1574"/>
      <c r="H322" s="1574"/>
      <c r="I322" s="1574"/>
      <c r="J322" s="1574"/>
      <c r="K322" s="1672">
        <f t="shared" si="24"/>
        <v>3869</v>
      </c>
      <c r="L322" s="1574">
        <v>4000</v>
      </c>
      <c r="M322" s="539"/>
      <c r="N322" s="539"/>
    </row>
    <row r="323" spans="1:14" s="548" customFormat="1" x14ac:dyDescent="0.2">
      <c r="A323" s="1289" t="s">
        <v>697</v>
      </c>
      <c r="B323" s="567" t="s">
        <v>283</v>
      </c>
      <c r="C323" s="1574">
        <v>100325</v>
      </c>
      <c r="D323" s="1574">
        <v>8231</v>
      </c>
      <c r="E323" s="1574">
        <v>64924</v>
      </c>
      <c r="F323" s="1574"/>
      <c r="G323" s="1574"/>
      <c r="H323" s="1574"/>
      <c r="I323" s="1574"/>
      <c r="J323" s="1574"/>
      <c r="K323" s="1672">
        <f t="shared" si="24"/>
        <v>173480</v>
      </c>
      <c r="L323" s="1574">
        <v>174124</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950</v>
      </c>
      <c r="F325" s="1574"/>
      <c r="G325" s="1574"/>
      <c r="H325" s="1574"/>
      <c r="I325" s="1574"/>
      <c r="J325" s="1574"/>
      <c r="K325" s="1672">
        <f t="shared" si="24"/>
        <v>950</v>
      </c>
      <c r="L325" s="1574">
        <v>1000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12987</v>
      </c>
      <c r="F327" s="1574"/>
      <c r="G327" s="1574"/>
      <c r="H327" s="1574"/>
      <c r="I327" s="1574"/>
      <c r="J327" s="1574"/>
      <c r="K327" s="1672">
        <f t="shared" si="24"/>
        <v>12987</v>
      </c>
      <c r="L327" s="1574">
        <v>14600</v>
      </c>
      <c r="M327" s="539"/>
      <c r="N327" s="539"/>
    </row>
    <row r="328" spans="1:14" s="548" customFormat="1" x14ac:dyDescent="0.2">
      <c r="A328" s="1290" t="s">
        <v>469</v>
      </c>
      <c r="B328" s="562" t="s">
        <v>1122</v>
      </c>
      <c r="C328" s="1579"/>
      <c r="D328" s="1579"/>
      <c r="E328" s="1579">
        <v>35197</v>
      </c>
      <c r="F328" s="1579"/>
      <c r="G328" s="1579"/>
      <c r="H328" s="1579"/>
      <c r="I328" s="1579"/>
      <c r="J328" s="1579"/>
      <c r="K328" s="1713">
        <f>SUM(C328:J328)</f>
        <v>35197</v>
      </c>
      <c r="L328" s="1579">
        <v>35197</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100325</v>
      </c>
      <c r="D330" s="1674">
        <f t="shared" ref="D330:J330" si="25">SUM(D319:D329)</f>
        <v>8231</v>
      </c>
      <c r="E330" s="1674">
        <f t="shared" si="25"/>
        <v>134514</v>
      </c>
      <c r="F330" s="1674">
        <f t="shared" si="25"/>
        <v>0</v>
      </c>
      <c r="G330" s="1674">
        <f t="shared" si="25"/>
        <v>0</v>
      </c>
      <c r="H330" s="1674">
        <f t="shared" si="25"/>
        <v>0</v>
      </c>
      <c r="I330" s="1674">
        <f t="shared" si="25"/>
        <v>0</v>
      </c>
      <c r="J330" s="1674">
        <f t="shared" si="25"/>
        <v>0</v>
      </c>
      <c r="K330" s="1674">
        <f>SUM(K319:K329)</f>
        <v>243070</v>
      </c>
      <c r="L330" s="1674">
        <f>SUM(L319:L329)</f>
        <v>245521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100325</v>
      </c>
      <c r="D342" s="1674">
        <f>SUM(D330)</f>
        <v>8231</v>
      </c>
      <c r="E342" s="1674">
        <f>SUM(E330)</f>
        <v>134514</v>
      </c>
      <c r="F342" s="1674">
        <f>SUM(F330)</f>
        <v>0</v>
      </c>
      <c r="G342" s="1674">
        <f>SUM(G330)</f>
        <v>0</v>
      </c>
      <c r="H342" s="1674">
        <f>SUM(H330,H334,H340)</f>
        <v>0</v>
      </c>
      <c r="I342" s="1674">
        <f>SUM(I330)</f>
        <v>0</v>
      </c>
      <c r="J342" s="1674">
        <f>SUM(J330)</f>
        <v>0</v>
      </c>
      <c r="K342" s="1674">
        <f>SUM(K330,K334,K340)</f>
        <v>243070</v>
      </c>
      <c r="L342" s="1681">
        <f>SUM(L330,L334,L340,L341)</f>
        <v>245521</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-2773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12053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infopath/2007/PartnerControls"/>
    <ds:schemaRef ds:uri="6ce3111e-7420-4802-b50a-75d4e9a0b980"/>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 Tort 32-33</vt:lpstr>
      <vt:lpstr>Shared Outsourced Services 31</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2020-10-12T12:59:45Z</cp:lastPrinted>
  <dcterms:created xsi:type="dcterms:W3CDTF">2003-10-29T19:06:34Z</dcterms:created>
  <dcterms:modified xsi:type="dcterms:W3CDTF">2020-10-18T18:36:54Z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