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F599F9A-15F2-452D-8572-AC269D6AC635}" xr6:coauthVersionLast="36" xr6:coauthVersionMax="36" xr10:uidLastSave="{00000000-0000-0000-0000-000000000000}"/>
  <bookViews>
    <workbookView xWindow="-577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34" i="183" l="1"/>
  <c r="F33" i="183"/>
  <c r="F32" i="183"/>
  <c r="F31" i="183"/>
  <c r="F30" i="183"/>
  <c r="F29" i="183"/>
  <c r="F28" i="183"/>
  <c r="F27" i="183"/>
  <c r="F26" i="183"/>
  <c r="F25" i="183"/>
  <c r="F24" i="183"/>
  <c r="F23" i="183"/>
  <c r="F22" i="183"/>
  <c r="F21" i="183"/>
  <c r="F20" i="183"/>
  <c r="F19"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35" i="183" l="1"/>
  <c r="A15" i="183"/>
  <c r="D82" i="36" l="1"/>
  <c r="F35" i="183"/>
  <c r="E35"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2" i="127"/>
  <c r="B63" i="127"/>
  <c r="E27" i="108"/>
  <c r="G27" i="108"/>
  <c r="F36"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68" i="36" l="1"/>
  <c r="F64" i="34"/>
  <c r="F67" i="34"/>
  <c r="I210" i="29"/>
  <c r="B7071" i="106" s="1"/>
  <c r="D7071" i="106" s="1"/>
  <c r="D69" i="36"/>
  <c r="D22" i="37"/>
  <c r="D24" i="37"/>
  <c r="B4270" i="106" s="1"/>
  <c r="D4270" i="106" s="1"/>
  <c r="H28" i="118"/>
  <c r="L22" i="37"/>
  <c r="B7078" i="106"/>
  <c r="D7078" i="106" s="1"/>
  <c r="F72" i="34"/>
  <c r="G14" i="4"/>
  <c r="B2609" i="106" s="1"/>
  <c r="D2609" i="106" s="1"/>
  <c r="F71" i="34"/>
  <c r="B2724" i="106"/>
  <c r="D2724" i="106" s="1"/>
  <c r="G30" i="108"/>
  <c r="D14" i="4"/>
  <c r="B2570" i="106" s="1"/>
  <c r="D2570" i="106" s="1"/>
  <c r="F56" i="34"/>
  <c r="B7832" i="106" s="1"/>
  <c r="D7832" i="106" s="1"/>
  <c r="B2836" i="106"/>
  <c r="D2836" i="106" s="1"/>
  <c r="G39" i="108"/>
  <c r="G35" i="108"/>
  <c r="B7047" i="106"/>
  <c r="D7047" i="106" s="1"/>
  <c r="E34" i="108"/>
  <c r="H342" i="29"/>
  <c r="B7221" i="106" s="1"/>
  <c r="D7221" i="106" s="1"/>
  <c r="F50" i="34"/>
  <c r="F68" i="34"/>
  <c r="D36" i="108"/>
  <c r="F36" i="34"/>
  <c r="B7828" i="106" s="1"/>
  <c r="D7828" i="106" s="1"/>
  <c r="G26" i="108"/>
  <c r="B6995" i="106"/>
  <c r="D6995" i="106" s="1"/>
  <c r="C129" i="29"/>
  <c r="C151" i="29" s="1"/>
  <c r="B1226" i="106" s="1"/>
  <c r="D1226" i="106" s="1"/>
  <c r="B6289" i="106"/>
  <c r="D6289" i="106" s="1"/>
  <c r="H365" i="29"/>
  <c r="B7242" i="106" s="1"/>
  <c r="D7242" i="106" s="1"/>
  <c r="I129" i="29"/>
  <c r="B7037" i="106" s="1"/>
  <c r="D7037" i="106" s="1"/>
  <c r="H33" i="118"/>
  <c r="F70" i="34"/>
  <c r="C352" i="29"/>
  <c r="C367" i="29" s="1"/>
  <c r="B3622" i="106" s="1"/>
  <c r="D3622" i="106" s="1"/>
  <c r="H76" i="4"/>
  <c r="B3298" i="106" s="1"/>
  <c r="D3298" i="106" s="1"/>
  <c r="B1274" i="106"/>
  <c r="D1274" i="106" s="1"/>
  <c r="B7189" i="106"/>
  <c r="D7189" i="106" s="1"/>
  <c r="E64" i="184"/>
  <c r="N64" i="184" s="1"/>
  <c r="B7153" i="106"/>
  <c r="D7153" i="106" s="1"/>
  <c r="E60" i="184"/>
  <c r="N60" i="184" s="1"/>
  <c r="H12" i="184"/>
  <c r="J210" i="29"/>
  <c r="B7072" i="106" s="1"/>
  <c r="D7072" i="106" s="1"/>
  <c r="J129" i="29"/>
  <c r="B7038" i="106" s="1"/>
  <c r="D7038" i="106" s="1"/>
  <c r="B7198" i="106"/>
  <c r="D7198" i="106" s="1"/>
  <c r="E65" i="184"/>
  <c r="N65" i="184" s="1"/>
  <c r="B7162" i="106"/>
  <c r="D7162" i="106" s="1"/>
  <c r="E61" i="184"/>
  <c r="N61" i="184" s="1"/>
  <c r="B7126" i="106"/>
  <c r="D7126" i="106" s="1"/>
  <c r="E57" i="184"/>
  <c r="F34" i="34"/>
  <c r="B7826" i="106" s="1"/>
  <c r="D7826" i="106" s="1"/>
  <c r="F77" i="4"/>
  <c r="B3255" i="106" s="1"/>
  <c r="D3255" i="106" s="1"/>
  <c r="B7705" i="106"/>
  <c r="D7705" i="106" s="1"/>
  <c r="E67" i="184"/>
  <c r="N67" i="184" s="1"/>
  <c r="B7696" i="106"/>
  <c r="D7696" i="106" s="1"/>
  <c r="E66" i="184"/>
  <c r="N66" i="184" s="1"/>
  <c r="B7171" i="106"/>
  <c r="D7171" i="106" s="1"/>
  <c r="E62" i="184"/>
  <c r="N62" i="184" s="1"/>
  <c r="B7135" i="106"/>
  <c r="D7135" i="106" s="1"/>
  <c r="E58" i="184"/>
  <c r="N58" i="184" s="1"/>
  <c r="H15" i="184"/>
  <c r="F37" i="34"/>
  <c r="B7829" i="106" s="1"/>
  <c r="D7829" i="106" s="1"/>
  <c r="D31" i="108"/>
  <c r="E16" i="184"/>
  <c r="H16" i="184" s="1"/>
  <c r="F42" i="34"/>
  <c r="C342" i="29"/>
  <c r="B7216" i="106" s="1"/>
  <c r="D7216" i="106" s="1"/>
  <c r="B7180" i="106"/>
  <c r="D7180" i="106" s="1"/>
  <c r="E63" i="184"/>
  <c r="N63" i="184"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F66" i="34" l="1"/>
  <c r="B3621" i="106"/>
  <c r="D3621" i="106" s="1"/>
  <c r="K28" i="118"/>
  <c r="O27" i="118" s="1"/>
  <c r="O29" i="118" s="1"/>
  <c r="K342" i="29"/>
  <c r="F13" i="34" s="1"/>
  <c r="B1266" i="106"/>
  <c r="D1266" i="106" s="1"/>
  <c r="B1225" i="106"/>
  <c r="D1225" i="106" s="1"/>
  <c r="I151" i="29"/>
  <c r="F59" i="34" s="1"/>
  <c r="B1381" i="106"/>
  <c r="D1381" i="106" s="1"/>
  <c r="I7" i="4"/>
  <c r="B4444" i="106" s="1"/>
  <c r="D4444" i="106" s="1"/>
  <c r="B5770" i="106"/>
  <c r="D5770" i="106" s="1"/>
  <c r="K77" i="4"/>
  <c r="B3587" i="106" s="1"/>
  <c r="D3587" i="106" s="1"/>
  <c r="H77" i="4"/>
  <c r="B3299" i="106" s="1"/>
  <c r="D3299" i="106" s="1"/>
  <c r="F41" i="108"/>
  <c r="G43" i="108" s="1"/>
  <c r="L114" i="29"/>
  <c r="D44" i="36"/>
  <c r="N23" i="3"/>
  <c r="B284" i="106" s="1"/>
  <c r="D284" i="106" s="1"/>
  <c r="K365" i="29"/>
  <c r="K16" i="4" s="1"/>
  <c r="H19" i="184"/>
  <c r="L20" i="184" s="1"/>
  <c r="B6216" i="106"/>
  <c r="D6216" i="106" s="1"/>
  <c r="E19" i="184"/>
  <c r="L16" i="11"/>
  <c r="B2061" i="106" s="1"/>
  <c r="D2061" i="106" s="1"/>
  <c r="N57" i="184"/>
  <c r="N68" i="184" s="1"/>
  <c r="E68" i="184"/>
  <c r="J151" i="29"/>
  <c r="B7052" i="106" s="1"/>
  <c r="D7052" i="106" s="1"/>
  <c r="B7235" i="106"/>
  <c r="D7235" i="106" s="1"/>
  <c r="E367" i="29"/>
  <c r="B3636" i="106" s="1"/>
  <c r="D3636" i="106" s="1"/>
  <c r="B3635" i="106"/>
  <c r="D3635" i="106" s="1"/>
  <c r="J16" i="4"/>
  <c r="B6226" i="106" s="1"/>
  <c r="D6226" i="106" s="1"/>
  <c r="B5527" i="106"/>
  <c r="D5527" i="106" s="1"/>
  <c r="B1328" i="106"/>
  <c r="D1328" i="106" s="1"/>
  <c r="B7215" i="106"/>
  <c r="D7215"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7243" i="106" l="1"/>
  <c r="D7243" i="106" s="1"/>
  <c r="B7051" i="106"/>
  <c r="D7051" i="106" s="1"/>
  <c r="K367" i="29"/>
  <c r="K368" i="29" s="1"/>
  <c r="B3681" i="106" s="1"/>
  <c r="D3681"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K17" i="4"/>
  <c r="B3575" i="106" s="1"/>
  <c r="D3575" i="106" s="1"/>
  <c r="F77" i="34"/>
  <c r="B7834" i="106" s="1"/>
  <c r="D7834" i="106" s="1"/>
  <c r="J19" i="4"/>
  <c r="B6229" i="106" s="1"/>
  <c r="D6229" i="106" s="1"/>
  <c r="J20" i="4"/>
  <c r="B6230" i="106" s="1"/>
  <c r="D6230" i="106" s="1"/>
  <c r="B6223" i="106"/>
  <c r="D6223" i="106" s="1"/>
  <c r="F8" i="4"/>
  <c r="J10" i="4"/>
  <c r="B6225" i="106" s="1"/>
  <c r="D62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B3576" i="106"/>
  <c r="D3576" i="106" s="1"/>
  <c r="B6263" i="106"/>
  <c r="D6263" i="106" s="1"/>
  <c r="D78" i="4"/>
  <c r="D81" i="4" s="1"/>
  <c r="F8" i="14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B3239" i="106" l="1"/>
  <c r="D3239" i="106" s="1"/>
  <c r="F10" i="146"/>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<sst xmlns="http://schemas.openxmlformats.org/spreadsheetml/2006/main" count="5193" uniqueCount="2111">
  <si>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</si>
  <si>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</si>
  <si>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</si>
  <si>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</si>
  <si>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</si>
  <si>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</si>
  <si>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</si>
  <si>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</si>
  <si>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</si>
  <si>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</si>
  <si>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</si>
  <si>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</si>
  <si>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</si>
  <si>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</si>
  <si>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</si>
  <si>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</si>
  <si>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</si>
  <si>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</si>
  <si>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</si>
  <si>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</si>
  <si>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</si>
  <si>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</si>
  <si>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</si>
  <si>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</si>
  <si>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</si>
  <si>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</si>
  <si>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</si>
  <si>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</si>
  <si>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</si>
  <si>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</si>
  <si>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</si>
  <si>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</si>
  <si>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</si>
  <si>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</si>
  <si>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</si>
  <si>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</si>
  <si>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</si>
  <si>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</si>
  <si>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</si>
  <si>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</si>
  <si>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</si>
  <si>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</si>
  <si>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</si>
  <si>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</si>
  <si>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</si>
  <si>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</si>
  <si>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</si>
  <si>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</si>
  <si>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</si>
  <si>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</si>
  <si>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</si>
  <si>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</si>
  <si>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</si>
  <si>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</si>
  <si>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</si>
  <si>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</si>
  <si>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</si>
  <si>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</si>
  <si>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</si>
  <si>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</si>
  <si>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</si>
  <si>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</si>
  <si>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</si>
  <si>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</si>
  <si>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</si>
  <si>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</si>
  <si>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</si>
  <si>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</si>
  <si>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</si>
  <si>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</si>
  <si>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</si>
  <si>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</si>
  <si>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</si>
  <si>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</si>
  <si>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</si>
  <si>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</si>
  <si>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</si>
  <si>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</si>
  <si>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</si>
  <si>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</si>
  <si>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</si>
  <si>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</si>
  <si>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</si>
  <si>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</si>
  <si>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</si>
  <si>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</si>
  <si>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</si>
  <si>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</si>
  <si>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</si>
  <si>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</si>
  <si>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</si>
  <si>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</si>
  <si>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</si>
  <si>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</si>
  <si>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</si>
  <si>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</si>
  <si>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</si>
  <si>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</si>
  <si>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</si>
  <si>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</si>
  <si>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</si>
  <si>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</si>
  <si>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</si>
  <si>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</si>
  <si>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</si>
  <si>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</si>
  <si>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</si>
  <si>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</si>
  <si>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</si>
  <si>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</si>
  <si>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</si>
  <si>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</si>
  <si>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</si>
  <si>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</si>
  <si>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</si>
  <si>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</si>
  <si>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</si>
  <si>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</si>
  <si>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</si>
  <si>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</si>
  <si>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</si>
  <si>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</si>
  <si>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</si>
  <si>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</si>
  <si>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</si>
  <si>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</si>
  <si>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</si>
  <si>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</si>
  <si>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</si>
  <si>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</si>
  <si>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</si>
  <si>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</si>
  <si>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</si>
  <si>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</si>
  <si>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</si>
  <si>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</si>
  <si>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</si>
  <si>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</si>
  <si>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</si>
  <si>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</si>
  <si>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</si>
  <si>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</si>
  <si>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</si>
  <si>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</si>
  <si>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</si>
  <si>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</si>
  <si>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</si>
  <si>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</si>
  <si>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</si>
  <si>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</si>
  <si>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</si>
  <si>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</si>
  <si>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</si>
  <si>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</si>
  <si>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</si>
  <si>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</si>
  <si>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</si>
  <si>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</si>
  <si>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</si>
  <si>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</si>
  <si>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</si>
  <si>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</si>
  <si>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</si>
  <si>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</si>
  <si>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</si>
  <si>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</si>
  <si>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</si>
  <si>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</si>
  <si>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</si>
  <si>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</si>
  <si>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</si>
  <si>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</si>
  <si>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</si>
  <si>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</si>
  <si>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</si>
  <si>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</si>
  <si>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</si>
  <si>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</si>
  <si>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</si>
  <si>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</si>
  <si>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</si>
  <si>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</si>
  <si>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</si>
  <si>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</si>
  <si>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</si>
  <si>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</si>
  <si>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</si>
  <si>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</si>
  <si>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</si>
  <si>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</si>
  <si>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</si>
  <si>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</si>
  <si>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</si>
  <si>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</si>
  <si>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</si>
  <si>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</si>
  <si>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</si>
  <si>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</si>
  <si>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</si>
  <si>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</si>
  <si>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</si>
  <si>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</si>
  <si>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</si>
  <si>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</si>
  <si>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</si>
  <si>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</si>
  <si>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</si>
  <si>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</si>
  <si>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</si>
  <si>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</si>
  <si>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</si>
  <si>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</si>
  <si>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</si>
  <si>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</si>
  <si>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</si>
  <si>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</si>
  <si>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</si>
  <si>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</si>
  <si>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</si>
  <si>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</si>
  <si>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</si>
  <si>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</si>
  <si>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</si>
  <si>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</si>
  <si>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</si>
  <si>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</si>
  <si>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</si>
  <si>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</si>
  <si>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</si>
  <si>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</si>
  <si>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</si>
  <si>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</si>
  <si>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</si>
  <si>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</si>
  <si>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</si>
  <si>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</si>
  <si>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</si>
  <si>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</si>
  <si>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</si>
  <si>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</si>
  <si>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</si>
  <si>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</si>
  <si>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</si>
  <si>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</si>
  <si>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</si>
  <si>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</si>
  <si>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</si>
  <si>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</si>
  <si>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</si>
  <si>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</si>
  <si>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</si>
  <si>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</si>
  <si>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</si>
  <si>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</si>
  <si>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</si>
  <si>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</si>
  <si>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</si>
  <si>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</si>
  <si>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</si>
  <si>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</si>
  <si>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</si>
  <si>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</si>
  <si>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</si>
  <si>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</si>
  <si>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</si>
  <si>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</si>
  <si>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</si>
  <si>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</si>
  <si>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</si>
  <si>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</si>
  <si>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</si>
  <si>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</si>
  <si>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</si>
  <si>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</si>
  <si>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</si>
  <si>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</si>
  <si>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</si>
  <si>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</si>
  <si>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</si>
  <si>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</si>
  <si>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</si>
  <si>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</si>
  <si>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</si>
  <si>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</si>
  <si>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</si>
  <si>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</si>
  <si>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</si>
  <si>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</si>
  <si>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</si>
  <si>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</si>
  <si>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</si>
  <si>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</si>
  <si>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</si>
  <si>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</si>
  <si>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</si>
  <si>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</si>
  <si>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</si>
  <si>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</si>
  <si>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</si>
  <si>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</si>
  <si>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</si>
  <si>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</si>
  <si>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</si>
  <si>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</si>
  <si>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</si>
  <si>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</si>
  <si>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</si>
  <si>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</si>
  <si>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</si>
  <si>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</si>
  <si>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</si>
  <si>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</si>
  <si>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</si>
  <si>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</si>
  <si>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</si>
  <si>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</si>
  <si>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</si>
  <si>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</si>
  <si>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</si>
  <si>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</si>
  <si>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</si>
  <si>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</si>
  <si>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</si>
  <si>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</si>
  <si>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</si>
  <si>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</si>
  <si>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</si>
  <si>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</si>
  <si>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</si>
  <si>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</si>
  <si>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</si>
  <si>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</si>
  <si>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</si>
  <si>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</si>
  <si>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</si>
  <si>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</si>
  <si>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</si>
  <si>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</si>
  <si>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</si>
  <si>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</si>
  <si>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</si>
  <si>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</si>
  <si>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</si>
  <si>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</si>
  <si>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</si>
  <si>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</si>
  <si>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</si>
  <si>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</si>
  <si>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</si>
  <si>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</si>
  <si>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</si>
  <si>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</si>
  <si>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</si>
  <si>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</si>
  <si>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</si>
  <si>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</si>
  <si>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</si>
  <si>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</si>
  <si>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</si>
  <si>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</si>
  <si>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</si>
  <si>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</si>
  <si>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</si>
  <si>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</si>
  <si>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</si>
  <si>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</si>
  <si>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</si>
  <si>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</si>
  <si>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</si>
  <si>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</si>
  <si>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</si>
  <si>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</si>
  <si>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</si>
  <si>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</si>
  <si>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</si>
  <si>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</si>
  <si>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</si>
  <si>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</si>
  <si>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</si>
  <si>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</si>
  <si>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</si>
  <si>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</si>
  <si>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</si>
  <si>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</si>
  <si>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</si>
  <si>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</si>
  <si>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</si>
  <si>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</si>
  <si>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</si>
  <si>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</si>
  <si>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</si>
  <si>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</si>
  <si>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</si>
  <si>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</si>
  <si>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</si>
  <si>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</si>
  <si>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</si>
  <si>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</si>
  <si>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</si>
  <si>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</si>
  <si>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</si>
  <si>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</si>
  <si>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</si>
  <si>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</si>
  <si>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</si>
  <si>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</si>
  <si>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</si>
  <si>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</si>
  <si>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</si>
  <si>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</si>
  <si>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</si>
  <si>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</si>
  <si>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</si>
  <si>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</si>
  <si>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</si>
  <si>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</si>
  <si>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</si>
  <si>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</si>
  <si>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</si>
  <si>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</si>
  <si>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</si>
  <si>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</si>
  <si>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</si>
  <si>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</si>
  <si>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</si>
  <si>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</si>
  <si>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</si>
  <si>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</si>
  <si>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</si>
  <si>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</si>
  <si>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</si>
  <si>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</si>
  <si>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</si>
  <si>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</si>
  <si>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</si>
  <si>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</si>
  <si>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</si>
  <si>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</si>
  <si>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</si>
  <si>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</si>
  <si>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</si>
  <si>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</si>
  <si>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</si>
  <si>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</si>
  <si>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</si>
  <si>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</si>
  <si>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</si>
  <si>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</si>
  <si>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</si>
  <si>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</si>
  <si>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</si>
  <si>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</si>
  <si>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</si>
  <si>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</si>
  <si>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</si>
  <si>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</si>
  <si>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</si>
  <si>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</si>
  <si>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</si>
  <si>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</si>
  <si>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</si>
  <si>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</si>
  <si>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</si>
  <si>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</si>
  <si>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</si>
  <si>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</si>
  <si>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</si>
  <si>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</si>
  <si>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</si>
  <si>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</si>
  <si>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</si>
  <si>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</si>
  <si>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</si>
  <si>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</si>
  <si>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</si>
  <si>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</si>
  <si>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</si>
  <si>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</si>
  <si>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</si>
  <si>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</si>
  <si>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</si>
  <si>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</si>
  <si>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</si>
  <si>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</si>
  <si>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</si>
  <si>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</si>
  <si>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</si>
  <si>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</si>
  <si>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</si>
  <si>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</si>
  <si>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</si>
  <si>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</si>
  <si>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</si>
  <si>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</si>
  <si>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</si>
  <si>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</si>
  <si>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</si>
  <si>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</si>
  <si>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</si>
  <si>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</si>
  <si>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</si>
  <si>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</si>
  <si>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</si>
  <si>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</si>
  <si>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</si>
  <si>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</si>
  <si>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</si>
  <si>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</si>
  <si>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</si>
  <si>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</si>
  <si>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</si>
  <si>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</si>
  <si>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</si>
  <si>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</si>
  <si>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</si>
  <si>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</si>
  <si>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</si>
  <si>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</si>
  <si>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</si>
  <si>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</si>
  <si>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</si>
  <si>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</si>
  <si>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</si>
  <si>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</si>
  <si>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</si>
  <si>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</si>
  <si>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</si>
  <si>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</si>
  <si>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</si>
  <si>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</si>
  <si>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</si>
  <si>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</si>
  <si>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</si>
  <si>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</si>
  <si>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</si>
  <si>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</si>
  <si>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</si>
  <si>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</si>
  <si>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</si>
  <si>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</si>
  <si>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</si>
  <si>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</si>
  <si>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</si>
  <si>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</si>
  <si>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</si>
  <si>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</si>
  <si>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</si>
  <si>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</si>
  <si>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</si>
  <si>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</si>
  <si>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</si>
  <si>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</si>
  <si>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</si>
  <si>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</si>
  <si>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</si>
  <si>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</si>
  <si>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</si>
  <si>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</si>
  <si>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</si>
  <si>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</si>
  <si>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</si>
  <si>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</si>
  <si>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</si>
  <si>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</si>
  <si>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</si>
  <si>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</si>
  <si>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</si>
  <si>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</si>
  <si>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</si>
  <si>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</si>
  <si>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</si>
  <si>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</si>
  <si>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</si>
  <si>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</si>
  <si>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</si>
  <si>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</si>
  <si>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</si>
  <si>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</si>
  <si>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</si>
  <si>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</si>
  <si>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</si>
  <si>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</si>
  <si>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</si>
  <si>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</si>
  <si>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</si>
  <si>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</si>
  <si>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</si>
  <si>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</si>
  <si>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</si>
  <si>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</si>
  <si>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</si>
  <si>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</si>
  <si>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</si>
  <si>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</si>
  <si>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</si>
  <si>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</si>
  <si>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</si>
  <si>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</si>
  <si>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</si>
  <si>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</si>
  <si>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</si>
  <si>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</si>
  <si>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</si>
  <si>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</si>
  <si>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</si>
  <si>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</si>
  <si>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</si>
  <si>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</si>
  <si>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</si>
  <si>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</si>
  <si>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</si>
  <si>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</si>
  <si>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</si>
  <si>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</si>
  <si>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</si>
  <si>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</si>
  <si>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</si>
  <si>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</si>
  <si>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</si>
  <si>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</si>
  <si>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</si>
  <si>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</si>
  <si>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</si>
  <si>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</si>
  <si>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</si>
  <si>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</si>
  <si>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</si>
  <si>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</si>
  <si>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</si>
  <si>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</si>
  <si>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</si>
  <si>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</si>
  <si>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</si>
  <si>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</si>
  <si>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</si>
  <si>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</si>
  <si>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</si>
  <si>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</si>
  <si>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</si>
  <si>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</si>
  <si>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</si>
  <si>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</si>
  <si>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</si>
  <si>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</si>
  <si>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</si>
  <si>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</si>
  <si>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</si>
  <si>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</si>
  <si>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</si>
  <si>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</si>
  <si>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</si>
  <si>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</si>
  <si>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</si>
  <si>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</si>
  <si>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</si>
  <si>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</si>
  <si>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</si>
  <si>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</si>
  <si>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</si>
  <si>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</si>
  <si>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</si>
  <si>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</si>
  <si>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</si>
  <si>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</si>
  <si>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</si>
  <si>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</si>
  <si>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</si>
  <si>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</si>
  <si>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</si>
  <si>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</si>
  <si>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</si>
  <si>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</si>
  <si>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</si>
  <si>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</si>
  <si>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</si>
  <si>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</si>
  <si>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</si>
  <si>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</si>
  <si>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</si>
  <si>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</si>
  <si>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</si>
  <si>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</si>
  <si>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</si>
  <si>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</si>
  <si>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</si>
  <si>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</si>
  <si>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</si>
  <si>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</si>
  <si>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</si>
  <si>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</si>
  <si>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</si>
  <si>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</si>
  <si>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</si>
  <si>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</si>
  <si>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</si>
  <si>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</si>
  <si>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</si>
  <si>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</si>
  <si>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</si>
  <si>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</si>
  <si>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</si>
  <si>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</si>
  <si>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</si>
  <si>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</si>
  <si>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</si>
  <si>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</si>
  <si>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</si>
  <si>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</si>
  <si>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</si>
  <si>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</si>
  <si>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</si>
  <si>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</si>
  <si>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</si>
  <si>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</si>
  <si>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</si>
  <si>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</si>
  <si>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</si>
  <si>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</si>
  <si>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</si>
  <si>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</si>
  <si>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</si>
  <si>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</si>
  <si>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</si>
  <si>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</si>
  <si>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</si>
  <si>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</si>
  <si>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</si>
  <si>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</si>
  <si>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</si>
  <si>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</si>
  <si>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</si>
  <si>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</si>
  <si>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</si>
  <si>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</si>
  <si>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</si>
  <si>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</si>
  <si>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</si>
  <si>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</si>
  <si>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</si>
  <si>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</si>
  <si>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</si>
  <si>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</si>
  <si>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</si>
  <si>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</si>
  <si>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</si>
  <si>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</si>
  <si>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</si>
  <si>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</si>
  <si>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</si>
  <si>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</si>
  <si>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</si>
  <si>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</si>
  <si>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</si>
  <si>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</si>
  <si>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</si>
  <si>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</si>
  <si>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</si>
  <si>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</si>
  <si>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</si>
  <si>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</si>
  <si>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</si>
  <si>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</si>
  <si>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</si>
  <si>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</si>
  <si>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</si>
  <si>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</si>
  <si>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</si>
  <si>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</si>
  <si>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</si>
  <si>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</si>
  <si>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</si>
  <si>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</si>
  <si>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</si>
  <si>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</si>
  <si>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</si>
  <si>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</si>
  <si>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</si>
  <si>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</si>
  <si>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</si>
  <si>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</si>
  <si>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</si>
  <si>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</si>
  <si>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</si>
  <si>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</si>
  <si>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</si>
  <si>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</si>
  <si>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</si>
  <si>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</si>
  <si>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</si>
  <si>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</si>
  <si>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</si>
  <si>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</si>
  <si>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</si>
  <si>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</si>
  <si>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</si>
  <si>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</si>
  <si>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</si>
  <si>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</si>
  <si>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</si>
  <si>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</si>
  <si>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</si>
  <si>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</si>
  <si>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</si>
  <si>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</si>
  <si>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</si>
  <si>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</si>
  <si>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</si>
  <si>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</si>
  <si>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</si>
  <si>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</si>
  <si>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</si>
  <si>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</si>
  <si>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</si>
  <si>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</si>
  <si>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</si>
  <si>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</si>
  <si>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</si>
  <si>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</si>
  <si>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</si>
  <si>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</si>
  <si>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</si>
  <si>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</si>
  <si>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</si>
  <si>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</si>
  <si>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</si>
  <si>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</si>
  <si>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</si>
  <si>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</si>
  <si>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</si>
  <si>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</si>
  <si>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</si>
  <si>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</si>
  <si>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</si>
  <si>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</si>
  <si>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</si>
  <si>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</si>
  <si>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</si>
  <si>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</si>
  <si>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</si>
  <si>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</si>
  <si>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</si>
  <si>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</si>
  <si>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</si>
  <si>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</si>
  <si>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</si>
  <si>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</si>
  <si>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</si>
  <si>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</si>
  <si>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</si>
  <si>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</si>
  <si>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</si>
  <si>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</si>
  <si>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</si>
  <si>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</si>
  <si>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</si>
  <si>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</si>
  <si>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</si>
  <si>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</si>
  <si>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</si>
  <si>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</si>
  <si>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</si>
  <si>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</si>
  <si>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</si>
  <si>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</si>
  <si>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</si>
  <si>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</si>
  <si>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</si>
  <si>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</si>
  <si>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</si>
  <si>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</si>
  <si>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</si>
  <si>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</si>
  <si>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</si>
  <si>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</si>
  <si>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</si>
  <si>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</si>
  <si>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</si>
  <si>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</si>
  <si>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</si>
  <si>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</si>
  <si>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</si>
  <si>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</si>
  <si>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</si>
  <si>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</si>
  <si>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</si>
  <si>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</si>
  <si>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</si>
  <si>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</si>
  <si>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</si>
  <si>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</si>
  <si>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</si>
  <si>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</si>
  <si>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</si>
  <si>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</si>
  <si>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</si>
  <si>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</si>
  <si>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</si>
  <si>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</si>
  <si>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</si>
  <si>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</si>
  <si>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</si>
  <si>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</si>
  <si>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</si>
  <si>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</si>
  <si>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</si>
  <si>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</si>
  <si>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</si>
  <si>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</si>
  <si>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</si>
  <si>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</si>
  <si>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</si>
  <si>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</si>
  <si>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</si>
  <si>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</si>
  <si>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</si>
  <si>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</si>
  <si>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</si>
  <si>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</si>
  <si>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</si>
  <si>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</si>
  <si>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</si>
  <si>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</si>
  <si>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</si>
  <si>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</si>
  <si>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</si>
  <si>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</si>
  <si>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</si>
  <si>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</si>
  <si>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</si>
  <si>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</si>
  <si>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</si>
  <si>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</si>
  <si>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</si>
  <si>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</si>
  <si>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</si>
  <si>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</si>
  <si>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</si>
  <si>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</si>
  <si>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</si>
  <si>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</si>
  <si>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</si>
  <si>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</si>
  <si>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</si>
  <si>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</si>
  <si>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</si>
  <si>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</si>
  <si>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</si>
  <si>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</si>
  <si>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</si>
  <si>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</si>
  <si>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</si>
  <si>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</si>
  <si>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</si>
  <si>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</si>
  <si>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</si>
  <si>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</si>
  <si>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</si>
  <si>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</si>
  <si>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</si>
  <si>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</si>
  <si>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</si>
  <si>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</si>
  <si>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</si>
  <si>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</si>
  <si>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</si>
  <si>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</si>
  <si>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</si>
  <si>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</si>
  <si>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</si>
  <si>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</si>
  <si>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</si>
  <si>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</si>
  <si>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</si>
  <si>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</si>
  <si>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</si>
  <si>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</si>
  <si>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</si>
  <si>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</si>
  <si>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</si>
  <si>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</si>
  <si>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</si>
  <si>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</si>
  <si>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</si>
  <si>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</si>
  <si>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</si>
  <si>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</si>
  <si>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</si>
  <si>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</si>
  <si>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</si>
  <si>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</si>
  <si>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</si>
  <si>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</si>
  <si>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</si>
  <si>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</si>
  <si>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</si>
  <si>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</si>
  <si>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</si>
  <si>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</si>
  <si>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</si>
  <si>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</si>
  <si>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</si>
  <si>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</si>
  <si>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</si>
  <si>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</si>
  <si>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</si>
  <si>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</si>
  <si>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</si>
  <si>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</si>
  <si>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</si>
  <si>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</si>
  <si>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</si>
  <si>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</si>
  <si>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</si>
  <si>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</si>
  <si>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</si>
  <si>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</si>
  <si>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</si>
  <si>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</si>
  <si>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</si>
  <si>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</si>
  <si>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</si>
  <si>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</si>
  <si>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</si>
  <si>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</si>
  <si>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</si>
  <si>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</si>
  <si>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</si>
  <si>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</si>
  <si>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</si>
  <si>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</si>
  <si>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</si>
  <si>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</si>
  <si>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</si>
  <si>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</si>
  <si>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</si>
  <si>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</si>
  <si>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</si>
  <si>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</si>
  <si>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</si>
  <si>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</si>
  <si>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</si>
  <si>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</si>
  <si>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</si>
  <si>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</si>
  <si>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</si>
  <si>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</si>
  <si>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</si>
  <si>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</si>
  <si>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</si>
  <si>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</si>
  <si>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</si>
  <si>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</si>
  <si>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</si>
  <si>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</si>
  <si>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</si>
  <si>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</si>
  <si>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</si>
  <si>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</si>
  <si>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</si>
  <si>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</si>
  <si>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</si>
  <si>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</si>
  <si>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</si>
  <si>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</si>
  <si>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</si>
  <si>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</si>
  <si>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</si>
  <si>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</si>
  <si>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</si>
  <si>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</si>
  <si>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</si>
  <si>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</si>
  <si>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</si>
  <si>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</si>
  <si>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</si>
  <si>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</si>
  <si>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</si>
  <si>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</si>
  <si>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</si>
  <si>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</si>
  <si>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</si>
  <si>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</si>
  <si>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</si>
  <si>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</si>
  <si>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</si>
  <si>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</si>
  <si>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</si>
  <si>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</si>
  <si>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</si>
  <si>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</si>
  <si>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</si>
  <si>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</si>
  <si>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</si>
  <si>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</si>
  <si>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</si>
  <si>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</si>
  <si>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</si>
  <si>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</si>
  <si>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</si>
  <si>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</si>
  <si>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</si>
  <si>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</si>
  <si>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</si>
  <si>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</si>
  <si>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</si>
  <si>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</si>
  <si>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</si>
  <si>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</si>
  <si>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</si>
  <si>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</si>
  <si>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</si>
  <si>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</si>
  <si>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</si>
  <si>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</si>
  <si>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</si>
  <si>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</si>
  <si>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</si>
  <si>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</si>
  <si>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</si>
  <si>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</si>
  <si>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</si>
  <si>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</si>
  <si>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</si>
  <si>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</si>
  <si>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</si>
  <si>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</si>
  <si>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</si>
  <si>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</si>
  <si>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</si>
  <si>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</si>
  <si>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</si>
  <si>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</si>
  <si>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</si>
  <si>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</si>
  <si>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</si>
  <si>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</si>
  <si>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</si>
  <si>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</si>
  <si>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</si>
  <si>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</si>
  <si>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</si>
  <si>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</si>
  <si>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</si>
  <si>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</si>
  <si>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</si>
  <si>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</si>
  <si>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</si>
  <si>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</si>
  <si>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</si>
  <si>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</si>
  <si>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</si>
  <si>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</si>
  <si>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</si>
  <si>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</si>
  <si>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</si>
  <si>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</si>
  <si>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</si>
  <si>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</si>
  <si>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</si>
  <si>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</si>
  <si>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</si>
  <si>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</si>
  <si>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</si>
  <si>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</si>
  <si>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</si>
  <si>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</si>
  <si>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</si>
  <si>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</si>
  <si>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</si>
  <si>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</si>
  <si>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</si>
  <si>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</si>
  <si>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</si>
  <si>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</si>
  <si>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</si>
  <si>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</si>
  <si>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</si>
  <si>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</si>
  <si>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</si>
  <si>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</si>
  <si>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</si>
  <si>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</si>
  <si>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</si>
  <si>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</si>
  <si>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</si>
  <si>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</si>
  <si>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</si>
  <si>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</si>
  <si>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</si>
  <si>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</si>
  <si>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</si>
  <si>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</si>
  <si>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</si>
  <si>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</si>
  <si>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</si>
  <si>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</si>
  <si>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</si>
  <si>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</si>
  <si>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</si>
  <si>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</si>
  <si>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</si>
  <si>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</si>
  <si>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</si>
  <si>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</si>
  <si>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</si>
  <si>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</si>
  <si>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</si>
  <si>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</si>
  <si>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</si>
  <si>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</si>
  <si>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</si>
  <si>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</si>
  <si>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</si>
  <si>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</si>
  <si>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</si>
  <si>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</si>
  <si>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</si>
  <si>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</si>
  <si>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</si>
  <si>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</si>
  <si>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</si>
  <si>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</si>
  <si>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</si>
  <si>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</si>
  <si>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</si>
  <si>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</si>
  <si>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</si>
  <si>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</si>
  <si>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</si>
  <si>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</si>
  <si>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</si>
  <si>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</si>
  <si>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</si>
  <si>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</si>
  <si>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</si>
  <si>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</si>
  <si>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</si>
  <si>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</si>
  <si>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</si>
  <si>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</si>
  <si>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</si>
  <si>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</si>
  <si>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</si>
  <si>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</si>
  <si>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</si>
  <si>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</si>
  <si>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</si>
  <si>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</si>
  <si>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</si>
  <si>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</si>
  <si>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</si>
  <si>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</si>
  <si>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</si>
  <si>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</si>
  <si>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</si>
  <si>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</si>
  <si>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</si>
  <si>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</si>
  <si>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</si>
  <si>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</si>
  <si>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</si>
  <si>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</si>
  <si>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</si>
  <si>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</si>
  <si>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</si>
  <si>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</si>
  <si>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</si>
  <si>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</si>
  <si>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</si>
  <si>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</si>
  <si>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</si>
  <si>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</si>
  <si>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</si>
  <si>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</si>
  <si>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</si>
  <si>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</si>
  <si>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</si>
  <si>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</si>
  <si>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</si>
  <si>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</si>
  <si>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</si>
  <si>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</si>
  <si>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</si>
  <si>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</si>
  <si>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</si>
  <si>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</si>
  <si>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</si>
  <si>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</si>
  <si>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</si>
  <si>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</si>
  <si>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</si>
  <si>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</si>
  <si>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</si>
  <si>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</si>
  <si>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</si>
  <si>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</si>
  <si>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</si>
  <si>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</si>
  <si>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</si>
  <si>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</si>
  <si>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</si>
  <si>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</si>
  <si>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</si>
  <si>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</si>
  <si>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</si>
  <si>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</si>
  <si>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</si>
  <si>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</si>
  <si>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</si>
  <si>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</si>
  <si>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</si>
  <si>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</si>
  <si>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</si>
  <si>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</si>
  <si>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</si>
  <si>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</si>
  <si>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</si>
  <si>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</si>
  <si>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</si>
  <si>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</si>
  <si>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</si>
  <si>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</si>
  <si>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</si>
  <si>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</si>
  <si>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</si>
  <si>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</si>
  <si>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</si>
  <si>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</si>
  <si>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</si>
  <si>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</si>
  <si>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</si>
  <si>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</si>
  <si>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</si>
  <si>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</si>
  <si>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</si>
  <si>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</si>
  <si>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</si>
  <si>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</si>
  <si>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</si>
  <si>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</si>
  <si>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</si>
  <si>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</si>
  <si>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</si>
  <si>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</si>
  <si>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</si>
  <si>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</si>
  <si>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</si>
  <si>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</si>
  <si>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</si>
  <si>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</si>
  <si>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</si>
  <si>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</si>
  <si>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</si>
  <si>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</si>
  <si>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</si>
  <si>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</si>
  <si>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</si>
  <si>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</si>
  <si>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</si>
  <si>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</si>
  <si>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</si>
  <si>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</si>
  <si>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</si>
  <si>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</si>
  <si>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</si>
  <si>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</si>
  <si>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</si>
  <si>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</si>
  <si>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</si>
  <si>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</si>
  <si>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</si>
  <si>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</si>
  <si>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</si>
  <si>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</si>
  <si>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</si>
  <si>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</si>
  <si>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</si>
  <si>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</si>
  <si>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</si>
  <si>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</si>
  <si>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</si>
  <si>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</si>
  <si>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</si>
  <si>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</si>
  <si>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</si>
  <si>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</si>
  <si>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</si>
  <si>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</si>
  <si>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</si>
  <si>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</si>
  <si>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</si>
  <si>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</si>
  <si>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</si>
  <si>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</si>
  <si>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</si>
  <si>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</si>
  <si>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</si>
  <si>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</si>
  <si>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</si>
  <si>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</si>
  <si>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</si>
  <si>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</si>
  <si>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</si>
  <si>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</si>
  <si>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</si>
  <si>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</si>
  <si>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</si>
  <si>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</si>
  <si>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</si>
  <si>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</si>
  <si>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</si>
  <si>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</si>
  <si>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</si>
  <si>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</si>
  <si>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</si>
  <si>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</si>
  <si>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</si>
  <si>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</si>
  <si>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</si>
  <si>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</si>
  <si>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</si>
  <si>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</si>
  <si>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</si>
  <si>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</si>
  <si>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</si>
  <si>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</si>
  <si>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</si>
  <si>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</si>
  <si>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</si>
  <si>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</si>
  <si>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</si>
  <si>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</si>
  <si>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</si>
  <si>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</si>
  <si>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</si>
  <si>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</si>
  <si>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</si>
  <si>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</si>
  <si>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</si>
  <si>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</si>
  <si>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</si>
  <si>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</si>
  <si>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</si>
  <si>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</si>
  <si>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</si>
  <si>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</si>
  <si>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</si>
  <si>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</si>
  <si>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</si>
  <si>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</si>
  <si>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</si>
  <si>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</si>
  <si>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</si>
  <si>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</si>
  <si>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</si>
  <si>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</si>
  <si>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</si>
  <si>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</si>
  <si>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</si>
  <si>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</si>
  <si>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</si>
  <si>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</si>
  <si>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</si>
  <si>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</si>
  <si>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</si>
  <si>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</si>
  <si>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</si>
  <si>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</si>
  <si>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</si>
  <si>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</si>
  <si>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</si>
  <si>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</si>
  <si>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</si>
  <si>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</si>
  <si>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</si>
  <si>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</si>
  <si>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</si>
  <si>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</si>
  <si>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</si>
  <si>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</si>
  <si>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</si>
  <si>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</si>
  <si>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</si>
  <si>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</si>
  <si>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</si>
  <si>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</si>
  <si>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</si>
  <si>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</si>
  <si>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</si>
  <si>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</si>
  <si>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</si>
  <si>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</si>
  <si>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</si>
  <si>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</si>
  <si>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</si>
  <si>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</si>
  <si>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</si>
  <si>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</si>
  <si>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</si>
  <si>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</si>
  <si>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</si>
  <si>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</si>
  <si>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</si>
  <si>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</si>
  <si>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</si>
  <si>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</si>
  <si>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</si>
  <si>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</si>
  <si>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</si>
  <si>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</si>
  <si>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</si>
  <si>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</si>
  <si>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</si>
  <si>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</si>
  <si>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</si>
  <si>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</si>
  <si>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</si>
  <si>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</si>
  <si>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</si>
  <si>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</si>
  <si>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</si>
  <si>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</si>
  <si>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</si>
  <si>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</si>
  <si>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</si>
  <si>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</si>
  <si>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</si>
  <si>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</si>
  <si>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</si>
  <si>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</si>
  <si>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</si>
  <si>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</si>
  <si>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</si>
  <si>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</si>
  <si>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</si>
  <si>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</si>
  <si>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</si>
  <si>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</si>
  <si>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</si>
  <si>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</si>
  <si>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</si>
  <si>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</si>
  <si>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</si>
  <si>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</si>
  <si>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</si>
  <si>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</si>
  <si>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</si>
  <si>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</si>
  <si>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</si>
  <si>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</si>
  <si>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</si>
  <si>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</si>
  <si>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</si>
  <si>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</si>
  <si>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</si>
  <si>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</si>
  <si>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</si>
  <si>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</si>
  <si>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</si>
  <si>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</si>
  <si>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</si>
  <si>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</si>
  <si>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</si>
  <si>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</si>
  <si>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</si>
  <si>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</si>
  <si>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</si>
  <si>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</si>
  <si>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</si>
  <si>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</si>
  <si>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</si>
  <si>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</si>
  <si>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</si>
  <si>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</si>
  <si>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</si>
  <si>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</si>
  <si>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</si>
  <si>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</si>
  <si>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</si>
  <si>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</si>
  <si>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</si>
  <si>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</si>
  <si>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</si>
  <si>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</si>
  <si>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</si>
  <si>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</si>
  <si>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</si>
  <si>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</si>
  <si>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</si>
  <si>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</si>
  <si>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</si>
  <si>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</si>
  <si>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</si>
  <si>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</si>
  <si>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</si>
  <si>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</si>
  <si>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</si>
  <si>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</si>
  <si>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</si>
  <si>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</si>
  <si>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</si>
  <si>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</si>
  <si>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</si>
  <si>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</si>
  <si>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</si>
  <si>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</si>
  <si>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</si>
  <si>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</si>
  <si>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</si>
  <si>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</si>
  <si>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</si>
  <si>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</si>
  <si>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</si>
  <si>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</si>
  <si>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</si>
  <si>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</si>
  <si>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</si>
  <si>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</si>
  <si>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</si>
  <si>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</si>
  <si>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</si>
  <si>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</si>
  <si>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</si>
  <si>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</si>
  <si>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</si>
  <si>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</si>
  <si>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</si>
  <si>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</si>
  <si>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</si>
  <si>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</si>
  <si>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</si>
  <si>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</si>
  <si>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</si>
  <si>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</si>
  <si>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</si>
  <si>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</si>
  <si>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</si>
  <si>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</si>
  <si>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</si>
  <si>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</si>
  <si>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</si>
  <si>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</si>
  <si>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</si>
  <si>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</si>
  <si>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</si>
  <si>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</si>
  <si>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</si>
  <si>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</si>
  <si>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</si>
  <si>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</si>
  <si>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</si>
  <si>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</si>
  <si>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</si>
  <si>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</si>
  <si>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</si>
  <si>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</si>
  <si>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</si>
  <si>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</si>
  <si>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</si>
  <si>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</si>
  <si>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</si>
  <si>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</si>
  <si>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</si>
  <si>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</si>
  <si>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</si>
  <si>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</si>
  <si>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</si>
  <si>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</si>
  <si>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</si>
  <si>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</si>
  <si>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</si>
  <si>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</si>
  <si>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</si>
  <si>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</si>
  <si>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</si>
  <si>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</si>
  <si>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</si>
  <si>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</si>
  <si>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</si>
  <si>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</si>
  <si>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</si>
  <si>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</si>
  <si>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</si>
  <si>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</si>
  <si>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</si>
  <si>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</si>
  <si>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</si>
  <si>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</si>
  <si>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</si>
  <si>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</si>
  <si>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</si>
  <si>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</si>
  <si>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</si>
  <si>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</si>
  <si>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</si>
  <si>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</si>
  <si>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</si>
  <si>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</si>
  <si>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</si>
  <si>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</si>
  <si>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</si>
  <si>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</si>
  <si>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</si>
  <si>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</si>
  <si>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</si>
  <si>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</si>
  <si>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</si>
  <si>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</si>
  <si>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</si>
  <si>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</si>
  <si>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</si>
  <si>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</si>
  <si>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</si>
  <si>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</si>
  <si>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</si>
  <si>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</si>
  <si>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</si>
  <si>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</si>
  <si>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</si>
  <si>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</si>
  <si>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</si>
  <si>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</si>
  <si>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</si>
  <si>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</si>
  <si>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</si>
  <si>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</si>
  <si>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</si>
  <si>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</si>
  <si>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</si>
  <si>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</si>
  <si>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</si>
  <si>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</si>
  <si>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</si>
  <si>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</si>
  <si>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</si>
  <si>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</si>
  <si>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</si>
  <si>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</si>
  <si>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</si>
  <si>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</si>
  <si>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</si>
  <si>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</si>
  <si>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</si>
  <si>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</si>
  <si>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</si>
  <si>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</si>
  <si>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</si>
  <si>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</si>
  <si>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</si>
  <si>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</si>
  <si>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</si>
  <si>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</si>
  <si>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</si>
  <si>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</si>
  <si>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</si>
  <si>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</si>
  <si>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</si>
  <si>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</si>
  <si>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</si>
  <si>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</si>
  <si>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</si>
  <si>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</si>
  <si>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</si>
  <si>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</si>
  <si>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</si>
  <si>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</si>
  <si>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</si>
  <si>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</si>
  <si>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</si>
  <si>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</si>
  <si>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</si>
  <si>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</si>
  <si>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</si>
  <si>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</si>
  <si>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</si>
  <si>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</si>
  <si>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</si>
  <si>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</si>
  <si>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</si>
  <si>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</si>
  <si>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</si>
  <si>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</si>
  <si>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</si>
  <si>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</si>
  <si>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</si>
  <si>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</si>
  <si>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</si>
  <si>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</si>
  <si>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</si>
  <si>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</si>
  <si>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</si>
  <si>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</si>
  <si>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</si>
  <si>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</si>
  <si>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</si>
  <si>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</si>
  <si>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</si>
  <si>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</si>
  <si>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</si>
  <si>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</si>
  <si>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</si>
  <si>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</si>
  <si>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</si>
  <si>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</si>
  <si>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</si>
  <si>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</si>
  <si>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</si>
  <si>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</si>
  <si>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</si>
  <si>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</si>
  <si>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</si>
  <si>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</si>
  <si>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</si>
  <si>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</si>
  <si>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</si>
  <si>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</si>
  <si>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</si>
  <si>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</si>
  <si>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</si>
  <si>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</si>
  <si>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</si>
  <si>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</si>
  <si>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</si>
  <si>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</si>
  <si>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</si>
  <si>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</si>
  <si>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</si>
  <si>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</si>
  <si>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</si>
  <si>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</si>
  <si>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</si>
  <si>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</si>
  <si>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</si>
  <si>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</si>
  <si>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</si>
  <si>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</si>
  <si>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</si>
  <si>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</si>
  <si>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</si>
  <si>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</si>
  <si>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</si>
  <si>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</si>
  <si>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</si>
  <si>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</si>
  <si>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</si>
  <si>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</si>
  <si>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</si>
  <si>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</si>
  <si>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</si>
  <si>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</si>
  <si>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</si>
  <si>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</si>
  <si>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</si>
  <si>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</si>
  <si>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</si>
  <si>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</si>
  <si>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</si>
  <si>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</si>
  <si>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</si>
  <si>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</si>
  <si>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</si>
  <si>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</si>
  <si>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</si>
  <si>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</si>
  <si>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</si>
  <si>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</si>
  <si>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</si>
  <si>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</si>
  <si>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</si>
  <si>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</si>
  <si>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</si>
  <si>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</si>
  <si>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</si>
  <si>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</si>
  <si>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</si>
  <si>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</si>
  <si>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</si>
  <si>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</si>
  <si>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</si>
  <si>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</si>
  <si>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</si>
  <si>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</si>
  <si>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</si>
  <si>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</si>
  <si>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</si>
  <si>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</si>
  <si>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</si>
  <si>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</si>
  <si>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</si>
  <si>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</si>
  <si>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</si>
  <si>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</si>
  <si>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</si>
  <si>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</si>
  <si>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</si>
  <si>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</si>
  <si>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</si>
  <si>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</si>
  <si>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</si>
  <si>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</si>
  <si>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</si>
  <si>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</si>
  <si>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</si>
  <si>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</si>
  <si>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</si>
  <si>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</si>
  <si>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</si>
  <si>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</si>
  <si>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</si>
  <si>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</si>
  <si>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</si>
  <si>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</si>
  <si>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</si>
  <si>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</si>
  <si>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</si>
  <si>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</si>
  <si>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</si>
  <si>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</si>
  <si>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</si>
  <si>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</si>
  <si>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</si>
  <si>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</si>
  <si>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</si>
  <si>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</si>
  <si>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</si>
  <si>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</si>
  <si>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</si>
  <si>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</si>
  <si>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</si>
  <si>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</si>
  <si>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</si>
  <si>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</si>
  <si>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</si>
  <si>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</si>
  <si>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</si>
  <si>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</si>
  <si>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</si>
  <si>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</si>
  <si>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</si>
  <si>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</si>
  <si>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</si>
  <si>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</si>
  <si>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</si>
  <si>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</si>
  <si>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</si>
  <si>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</si>
  <si>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</si>
  <si>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</si>
  <si>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</si>
  <si>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</si>
  <si>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</si>
  <si>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</si>
  <si>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</si>
  <si>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</si>
  <si>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</si>
  <si>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</si>
  <si>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</si>
  <si>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</si>
  <si>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</si>
  <si>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</si>
  <si>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</si>
  <si>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</si>
  <si>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</si>
  <si>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</si>
  <si>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</si>
  <si>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</si>
  <si>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</si>
  <si>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</si>
  <si>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</si>
  <si>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</si>
  <si>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</si>
  <si>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</si>
  <si>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</si>
  <si>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</si>
  <si>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</si>
  <si>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</si>
  <si>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</si>
  <si>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</si>
  <si>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</si>
  <si>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</si>
  <si>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</si>
  <si>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</si>
  <si>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</si>
  <si>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</si>
  <si>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</si>
  <si>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</si>
  <si>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</si>
  <si>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</si>
  <si>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</si>
  <si>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</si>
  <si>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</si>
  <si>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</si>
  <si>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</si>
  <si>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</si>
  <si>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</si>
  <si>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</si>
  <si>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</si>
  <si>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</si>
  <si>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</si>
  <si>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</si>
  <si>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</si>
  <si>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</si>
  <si>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</si>
  <si>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</si>
  <si>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</si>
  <si>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</si>
  <si>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</si>
  <si>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</si>
  <si>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</si>
  <si>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</si>
  <si>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</si>
  <si>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</si>
  <si>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</si>
  <si>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</si>
  <si>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</si>
  <si>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</si>
  <si>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</si>
  <si>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</si>
  <si>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</si>
  <si>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</si>
  <si>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</si>
  <si>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</si>
  <si>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</si>
  <si>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</si>
  <si>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</si>
  <si>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</si>
  <si>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</si>
  <si>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</si>
  <si>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</si>
  <si>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</si>
  <si>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</si>
  <si>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</si>
  <si>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</si>
  <si>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</si>
  <si>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</si>
  <si>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</si>
  <si>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</si>
  <si>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</si>
  <si>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</si>
  <si>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</si>
  <si>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</si>
  <si>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</si>
  <si>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</si>
  <si>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</si>
  <si>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</si>
  <si>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</si>
  <si>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</si>
  <si>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</si>
  <si>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</si>
  <si>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</si>
  <si>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</si>
  <si>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</si>
  <si>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Kemper CPA Group LLP</t>
  </si>
  <si>
    <t>Krista McLaren</t>
  </si>
  <si>
    <t>703 W. Main St</t>
  </si>
  <si>
    <t>Olney</t>
  </si>
  <si>
    <t>IL</t>
  </si>
  <si>
    <t>618-395-2105</t>
  </si>
  <si>
    <t>618-395-7079</t>
  </si>
  <si>
    <t>Wayne</t>
  </si>
  <si>
    <t>North Wayne CUSD 200</t>
  </si>
  <si>
    <t>P.O. Box 235</t>
  </si>
  <si>
    <t>Cisne</t>
  </si>
  <si>
    <t>Lucas Schroeder</t>
  </si>
  <si>
    <t>lschroeder@northwayne.net</t>
  </si>
  <si>
    <t>618-673-2151</t>
  </si>
  <si>
    <t>618-673-2152</t>
  </si>
  <si>
    <t>kmclaren@kempercpa.com</t>
  </si>
  <si>
    <t>Part C, Number 23:  The Auditor's Report contains a qualified opinion because the financial statements do not include disclosures regarding postemployment health insurance benefits required by the financial reporting provisions of the ISBE.</t>
  </si>
  <si>
    <t>Municpal Retirement/Social Security Fund</t>
  </si>
  <si>
    <t>Page 14, Line 265: Other Restricted Revenue from Federal Sources - Reap Grant - $19,398</t>
  </si>
  <si>
    <t>Page 10, Line 74: Other Food Service - Adult-a-la-carte - $431</t>
  </si>
  <si>
    <t>Page 15, Line 41: Other Support Services - Pupil - Other Support Salaries - $5,884, Other Support Subs - $32</t>
  </si>
  <si>
    <t>Education - Guidance budget</t>
  </si>
  <si>
    <t>Common Goal Systems</t>
  </si>
  <si>
    <t>Bushue Human Resources</t>
  </si>
  <si>
    <t>Aramark</t>
  </si>
  <si>
    <t>AAA Disposal Service</t>
  </si>
  <si>
    <t>Security Alarm</t>
  </si>
  <si>
    <t>Terminix</t>
  </si>
  <si>
    <t>FESSI</t>
  </si>
  <si>
    <t>Johnston Sanitation</t>
  </si>
  <si>
    <t>Miller, Tracy, Braun, Funk, Miller</t>
  </si>
  <si>
    <t>Sonitrol</t>
  </si>
  <si>
    <t>Kemper CPA Group</t>
  </si>
  <si>
    <t>Building Fund - Operation &amp; Maintenance of Plant Services</t>
  </si>
  <si>
    <t>Tort Fund - Risk Management &amp; Claims Services</t>
  </si>
  <si>
    <t>Education Fund - Food Services</t>
  </si>
  <si>
    <t>Tort Fund - Legal Services</t>
  </si>
  <si>
    <t>Education Fund - Board of Education Services</t>
  </si>
  <si>
    <t>Outsourced services to Wabash &amp; Ohio Valley Special Ed</t>
  </si>
  <si>
    <t>Outsourced services to Clay, Jasper, Richland, North Wayne</t>
  </si>
  <si>
    <t>Continuation of Special Education Cooperatives - Education District and Carmi CUSD 5</t>
  </si>
  <si>
    <t>Continuation of Vocational Education Cooperatives - Regional Vocational System</t>
  </si>
  <si>
    <t>2019-001</t>
  </si>
  <si>
    <t>The District does not currently employ an individual with the necessary knowledge and expertise to draft the footnotes to the financial statements.</t>
  </si>
  <si>
    <t>Repeated as 2020-001</t>
  </si>
  <si>
    <t>Not applicable</t>
  </si>
  <si>
    <t>District did not spend more than $750,000 of Federal Awards</t>
  </si>
  <si>
    <t>N/A</t>
  </si>
  <si>
    <t>The District cannot prepare the notes to the financial statements in accordance with the financial reporting provisions of the Illinois State Board of Education.</t>
  </si>
  <si>
    <t>The District's personnel have not obtained the necessary knowledge, training, or expertise.</t>
  </si>
  <si>
    <t>The District should provide the necessary training to personnel of contract with an independent contractor with the knowledge to properly prepare the financial statements.</t>
  </si>
  <si>
    <t>District personnel do not possess the necessary technical accounting expertise to prevent, detect, or correct potential omissions in the footnotes to the financial statements prepared in accordance with the financial reporting provisions of the Illinois State Board of Education.</t>
  </si>
  <si>
    <t>The District does not currently employ an individual with the necessary knowledge and technical expertise to draft the footnotes to the financial statements in accordance with the financial reporting provisions of the Illinois State Board of Education.</t>
  </si>
  <si>
    <t>In the absence of the necessary knowledge, training, and technical expertise, the District must rely on the auditors to ensure the notes to the financial statements are properly presented in accordance with the financial reporting provisions of the Illinois State Board of Education.</t>
  </si>
  <si>
    <t>Page 10, Line 107: Other Local Revenues - Other Revenue - $10,698</t>
  </si>
  <si>
    <t>Page 10, Line 107: Other Local Revenues - Insurance proceeds - $123,357; Other receipts - $6,720</t>
  </si>
  <si>
    <t>Page 10, Line 107: Other Local Revenues - Other Revenues - $4,647</t>
  </si>
  <si>
    <t>Page 19, Line 237: Other Support Services - Pupils - Other Support IMRF - $319, Other Support FICA - $413, Other Support FICA/Medicare - $39</t>
  </si>
  <si>
    <t>The District does not intend to correct the finding in the next fiscal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</si>
</sst>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65" fillId="0" borderId="78" xfId="0" applyFont="1" applyBorder="1" applyAlignment="1">
      <alignment horizont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57" fillId="0" borderId="0" xfId="3" applyFont="1" applyBorder="1" applyAlignment="1" applyProtection="1">
      <alignment horizontal="left" wrapText="1"/>
      <protection locked="0"/>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123825</xdr:rowOff>
        </xdr:from>
        <xdr:to>
          <xdr:col>1</xdr:col>
          <xdr:colOff>781050</xdr:colOff>
          <xdr:row>10</xdr:row>
          <xdr:rowOff>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5</xdr:row>
          <xdr:rowOff>123825</xdr:rowOff>
        </xdr:from>
        <xdr:to>
          <xdr:col>1</xdr:col>
          <xdr:colOff>1952625</xdr:colOff>
          <xdr:row>10</xdr:row>
          <xdr:rowOff>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2219325</xdr:colOff>
          <xdr:row>5</xdr:row>
          <xdr:rowOff>123825</xdr:rowOff>
        </xdr:from>
        <xdr:to>
          <xdr:col>1</xdr:col>
          <xdr:colOff>3133725</xdr:colOff>
          <xdr:row>10</xdr:row>
          <xdr:rowOff>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3362325</xdr:colOff>
          <xdr:row>5</xdr:row>
          <xdr:rowOff>104775</xdr:rowOff>
        </xdr:from>
        <xdr:to>
          <xdr:col>2</xdr:col>
          <xdr:colOff>95250</xdr:colOff>
          <xdr:row>9</xdr:row>
          <xdr:rowOff>142875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6">
        <f>+'AFR20'!E4</f>
        <v>44119</v>
      </c>
      <c r="C1" s="2036"/>
      <c r="D1" s="2037"/>
      <c r="I1" s="2115" t="s">
        <v>402</v>
      </c>
      <c r="J1" s="2116"/>
      <c r="K1" s="2116"/>
      <c r="L1" s="2116"/>
      <c r="M1" s="2116"/>
      <c r="N1" s="2116"/>
      <c r="O1" s="2116"/>
      <c r="P1" s="2116"/>
      <c r="Q1" s="2116"/>
      <c r="R1" s="2116"/>
      <c r="S1" s="2116"/>
    </row>
    <row r="2" spans="1:32" ht="12" customHeight="1" x14ac:dyDescent="0.2">
      <c r="A2" s="1831" t="str">
        <f>"Due to ISBE on "</f>
        <v xml:space="preserve">Due to ISBE on </v>
      </c>
      <c r="B2" s="2038">
        <f>+'AFR20'!F4</f>
        <v>44151</v>
      </c>
      <c r="C2" s="2038"/>
      <c r="D2" s="2039"/>
      <c r="I2" s="2117" t="s">
        <v>2003</v>
      </c>
      <c r="J2" s="2116"/>
      <c r="K2" s="2116"/>
      <c r="L2" s="2116"/>
      <c r="M2" s="2116"/>
      <c r="N2" s="2116"/>
      <c r="O2" s="2116"/>
      <c r="P2" s="2116"/>
      <c r="Q2" s="2116"/>
      <c r="R2" s="2116"/>
      <c r="S2" s="2116"/>
    </row>
    <row r="3" spans="1:32" ht="12" customHeight="1" x14ac:dyDescent="0.2">
      <c r="A3" s="1834" t="str">
        <f>"SD/JA"&amp;MID('AFR20'!E2,3,2)</f>
        <v>SD/JA20</v>
      </c>
      <c r="B3" s="151"/>
      <c r="C3" s="151"/>
      <c r="D3" s="152"/>
      <c r="I3" s="2117" t="s">
        <v>52</v>
      </c>
      <c r="J3" s="2116"/>
      <c r="K3" s="2116"/>
      <c r="L3" s="2116"/>
      <c r="M3" s="2116"/>
      <c r="N3" s="2116"/>
      <c r="O3" s="2116"/>
      <c r="P3" s="2116"/>
      <c r="Q3" s="2116"/>
      <c r="R3" s="2116"/>
      <c r="S3" s="2116"/>
    </row>
    <row r="4" spans="1:32" ht="12" customHeight="1" x14ac:dyDescent="0.2">
      <c r="A4" s="37"/>
      <c r="I4" s="2117" t="s">
        <v>521</v>
      </c>
      <c r="J4" s="2116"/>
      <c r="K4" s="2116"/>
      <c r="L4" s="2116"/>
      <c r="M4" s="2116"/>
      <c r="N4" s="2116"/>
      <c r="O4" s="2116"/>
      <c r="P4" s="2116"/>
      <c r="Q4" s="2116"/>
      <c r="R4" s="2116"/>
      <c r="S4" s="2116"/>
    </row>
    <row r="5" spans="1:32" ht="14.1" customHeight="1" x14ac:dyDescent="0.2">
      <c r="B5" s="101"/>
      <c r="C5" s="26" t="s">
        <v>904</v>
      </c>
      <c r="D5" s="81"/>
      <c r="E5" s="81"/>
      <c r="H5" s="38"/>
      <c r="I5" s="2124" t="s">
        <v>675</v>
      </c>
      <c r="J5" s="2069"/>
      <c r="K5" s="2069"/>
      <c r="L5" s="2069"/>
      <c r="M5" s="2069"/>
      <c r="N5" s="2069"/>
      <c r="O5" s="2069"/>
      <c r="P5" s="2069"/>
      <c r="Q5" s="2069"/>
      <c r="R5" s="2069"/>
      <c r="S5" s="2069"/>
      <c r="AF5" s="1827"/>
    </row>
    <row r="6" spans="1:32" ht="14.1" customHeight="1" x14ac:dyDescent="0.2">
      <c r="B6" s="101"/>
      <c r="C6" s="26" t="s">
        <v>905</v>
      </c>
      <c r="D6" s="81"/>
      <c r="E6" s="81"/>
      <c r="I6" s="2123" t="s">
        <v>877</v>
      </c>
      <c r="J6" s="2069"/>
      <c r="K6" s="2069"/>
      <c r="L6" s="2069"/>
      <c r="M6" s="2069"/>
      <c r="N6" s="2069"/>
      <c r="O6" s="2069"/>
      <c r="P6" s="2069"/>
      <c r="Q6" s="2069"/>
      <c r="R6" s="2069"/>
      <c r="S6" s="2069"/>
    </row>
    <row r="7" spans="1:32" ht="12.2" customHeight="1" x14ac:dyDescent="0.2">
      <c r="I7" s="2118" t="str">
        <f>"June 30, "&amp;'AFR20'!E2</f>
        <v>June 30, 2020</v>
      </c>
      <c r="J7" s="2119"/>
      <c r="K7" s="2119"/>
      <c r="L7" s="2119"/>
      <c r="M7" s="2119"/>
      <c r="N7" s="2119"/>
      <c r="O7" s="2119"/>
      <c r="P7" s="2119"/>
      <c r="Q7" s="2119"/>
      <c r="R7" s="2119"/>
      <c r="S7" s="211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0" t="s">
        <v>669</v>
      </c>
      <c r="J9" s="2121"/>
      <c r="K9" s="2121"/>
      <c r="L9" s="2121"/>
      <c r="M9" s="2121"/>
      <c r="N9" s="2121"/>
      <c r="O9" s="2121"/>
      <c r="P9" s="2121"/>
      <c r="Q9" s="2121"/>
      <c r="R9" s="2121"/>
      <c r="S9" s="2122"/>
      <c r="T9" s="2065" t="s">
        <v>530</v>
      </c>
      <c r="U9" s="2066"/>
      <c r="V9" s="2066"/>
      <c r="W9" s="2066"/>
      <c r="X9" s="2066"/>
      <c r="Y9" s="2066"/>
      <c r="Z9" s="2066"/>
      <c r="AA9" s="2067"/>
    </row>
    <row r="10" spans="1:32" ht="13.5" customHeight="1" x14ac:dyDescent="0.2">
      <c r="A10" s="2074" t="s">
        <v>670</v>
      </c>
      <c r="B10" s="2075"/>
      <c r="C10" s="2075"/>
      <c r="D10" s="2075"/>
      <c r="E10" s="2075"/>
      <c r="F10" s="2075"/>
      <c r="G10" s="2075"/>
      <c r="H10" s="2076"/>
      <c r="I10" s="29"/>
      <c r="J10" s="30"/>
      <c r="K10" s="28"/>
      <c r="R10" s="30"/>
      <c r="S10" s="30"/>
      <c r="T10" s="2068"/>
      <c r="U10" s="2069"/>
      <c r="V10" s="2069"/>
      <c r="W10" s="2069"/>
      <c r="X10" s="2069"/>
      <c r="Y10" s="2069"/>
      <c r="Z10" s="2069"/>
      <c r="AA10" s="2070"/>
    </row>
    <row r="11" spans="1:32" ht="14.25" customHeight="1" x14ac:dyDescent="0.2">
      <c r="A11" s="2077" t="s">
        <v>949</v>
      </c>
      <c r="B11" s="2078"/>
      <c r="C11" s="2078"/>
      <c r="D11" s="2078"/>
      <c r="E11" s="2078"/>
      <c r="F11" s="2078"/>
      <c r="G11" s="2078"/>
      <c r="H11" s="2079"/>
      <c r="I11" s="27"/>
      <c r="J11" s="71"/>
      <c r="K11" s="27"/>
      <c r="O11" s="144" t="s">
        <v>2051</v>
      </c>
      <c r="P11" s="97" t="s">
        <v>199</v>
      </c>
      <c r="Q11" s="30"/>
      <c r="R11" s="28"/>
      <c r="S11" s="27"/>
      <c r="T11" s="2071"/>
      <c r="U11" s="2072"/>
      <c r="V11" s="2072"/>
      <c r="W11" s="2072"/>
      <c r="X11" s="2072"/>
      <c r="Y11" s="2072"/>
      <c r="Z11" s="2072"/>
      <c r="AA11" s="207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5">
        <v>20096200026</v>
      </c>
      <c r="B13" s="2086"/>
      <c r="C13" s="2086"/>
      <c r="D13" s="2086"/>
      <c r="E13" s="2086"/>
      <c r="F13" s="2086"/>
      <c r="G13" s="2086"/>
      <c r="H13" s="2087"/>
      <c r="I13" s="31"/>
      <c r="J13" s="30"/>
      <c r="K13" s="28"/>
      <c r="L13" s="30"/>
      <c r="M13" s="30"/>
      <c r="N13" s="30"/>
      <c r="O13" s="30"/>
      <c r="P13" s="30"/>
      <c r="Q13" s="30"/>
      <c r="R13" s="30"/>
      <c r="S13" s="30"/>
      <c r="T13" s="2090" t="s">
        <v>2052</v>
      </c>
      <c r="U13" s="2091"/>
      <c r="V13" s="2091"/>
      <c r="W13" s="2091"/>
      <c r="X13" s="2091"/>
      <c r="Y13" s="2092"/>
      <c r="Z13" s="2092"/>
      <c r="AA13" s="2093"/>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3" t="s">
        <v>2059</v>
      </c>
      <c r="B15" s="2088"/>
      <c r="C15" s="2088"/>
      <c r="D15" s="2088"/>
      <c r="E15" s="2088"/>
      <c r="F15" s="2088"/>
      <c r="G15" s="2088"/>
      <c r="H15" s="2089"/>
      <c r="T15" s="2051" t="s">
        <v>2053</v>
      </c>
      <c r="U15" s="2052"/>
      <c r="V15" s="2052"/>
      <c r="W15" s="2052"/>
      <c r="X15" s="2052"/>
      <c r="Y15" s="2094"/>
      <c r="Z15" s="2094"/>
      <c r="AA15" s="209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3" t="s">
        <v>2060</v>
      </c>
      <c r="B17" s="2113"/>
      <c r="C17" s="2113"/>
      <c r="D17" s="2113"/>
      <c r="E17" s="2113"/>
      <c r="F17" s="2113"/>
      <c r="G17" s="2113"/>
      <c r="H17" s="2114"/>
      <c r="T17" s="2100" t="s">
        <v>2054</v>
      </c>
      <c r="U17" s="2101"/>
      <c r="V17" s="2101"/>
      <c r="W17" s="2101"/>
      <c r="X17" s="2101"/>
      <c r="Y17" s="2101"/>
      <c r="Z17" s="2101"/>
      <c r="AA17" s="2102"/>
    </row>
    <row r="18" spans="1:27" ht="13.5" customHeight="1" x14ac:dyDescent="0.2">
      <c r="A18" s="82" t="s">
        <v>527</v>
      </c>
      <c r="B18" s="73"/>
      <c r="C18" s="69"/>
      <c r="D18" s="73"/>
      <c r="E18" s="73"/>
      <c r="F18" s="73"/>
      <c r="G18" s="73"/>
      <c r="H18" s="53"/>
      <c r="I18" s="2110" t="s">
        <v>671</v>
      </c>
      <c r="J18" s="2111"/>
      <c r="K18" s="2111"/>
      <c r="L18" s="2111"/>
      <c r="M18" s="2111"/>
      <c r="N18" s="2111"/>
      <c r="O18" s="2111"/>
      <c r="P18" s="2111"/>
      <c r="Q18" s="2111"/>
      <c r="R18" s="2111"/>
      <c r="S18" s="2112"/>
      <c r="T18" s="82" t="s">
        <v>706</v>
      </c>
      <c r="U18" s="48"/>
      <c r="V18" s="69"/>
      <c r="W18" s="47"/>
      <c r="X18" s="82" t="s">
        <v>264</v>
      </c>
      <c r="Y18" s="78"/>
      <c r="Z18" s="154" t="s">
        <v>672</v>
      </c>
      <c r="AA18" s="44"/>
    </row>
    <row r="19" spans="1:27" ht="13.5" customHeight="1" x14ac:dyDescent="0.2">
      <c r="A19" s="2083" t="s">
        <v>2061</v>
      </c>
      <c r="B19" s="2084"/>
      <c r="C19" s="2084"/>
      <c r="D19" s="2084"/>
      <c r="E19" s="2084"/>
      <c r="F19" s="2084"/>
      <c r="G19" s="2084"/>
      <c r="H19" s="2082"/>
      <c r="I19" s="30"/>
      <c r="J19" s="96"/>
      <c r="K19" s="40"/>
      <c r="L19" s="38"/>
      <c r="M19" s="109" t="s">
        <v>312</v>
      </c>
      <c r="P19" s="27"/>
      <c r="Q19" s="27"/>
      <c r="R19" s="27"/>
      <c r="S19" s="31"/>
      <c r="T19" s="2083" t="s">
        <v>2055</v>
      </c>
      <c r="U19" s="2081"/>
      <c r="V19" s="2081"/>
      <c r="W19" s="2082"/>
      <c r="X19" s="2098" t="s">
        <v>2056</v>
      </c>
      <c r="Y19" s="2099"/>
      <c r="Z19" s="2096">
        <v>62450</v>
      </c>
      <c r="AA19" s="209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0" t="s">
        <v>2062</v>
      </c>
      <c r="B21" s="2081"/>
      <c r="C21" s="2081"/>
      <c r="D21" s="2081"/>
      <c r="E21" s="2081"/>
      <c r="F21" s="2081"/>
      <c r="G21" s="2081"/>
      <c r="H21" s="2082"/>
      <c r="I21" s="2106" t="s">
        <v>673</v>
      </c>
      <c r="J21" s="2069"/>
      <c r="K21" s="2069"/>
      <c r="L21" s="2069"/>
      <c r="M21" s="2069"/>
      <c r="N21" s="2069"/>
      <c r="O21" s="2069"/>
      <c r="P21" s="2069"/>
      <c r="Q21" s="2069"/>
      <c r="R21" s="2069"/>
      <c r="S21" s="2070"/>
      <c r="T21" s="2048" t="s">
        <v>2057</v>
      </c>
      <c r="U21" s="2049"/>
      <c r="V21" s="2049"/>
      <c r="W21" s="2049"/>
      <c r="X21" s="2062" t="s">
        <v>2058</v>
      </c>
      <c r="Y21" s="2063"/>
      <c r="Z21" s="2063"/>
      <c r="AA21" s="2064"/>
    </row>
    <row r="22" spans="1:27" ht="13.5" customHeight="1" x14ac:dyDescent="0.2">
      <c r="A22" s="84" t="s">
        <v>528</v>
      </c>
      <c r="B22" s="56"/>
      <c r="C22" s="56"/>
      <c r="D22" s="56"/>
      <c r="E22" s="56"/>
      <c r="F22" s="56"/>
      <c r="G22" s="56"/>
      <c r="H22" s="57"/>
      <c r="I22" s="2107" t="s">
        <v>1412</v>
      </c>
      <c r="J22" s="2108"/>
      <c r="K22" s="2108"/>
      <c r="L22" s="2108"/>
      <c r="M22" s="2108"/>
      <c r="N22" s="2108"/>
      <c r="O22" s="2108"/>
      <c r="P22" s="2108"/>
      <c r="Q22" s="2108"/>
      <c r="R22" s="2108"/>
      <c r="S22" s="2109"/>
      <c r="T22" s="82" t="s">
        <v>1499</v>
      </c>
      <c r="U22" s="48"/>
      <c r="V22" s="69"/>
      <c r="W22" s="48"/>
      <c r="X22" s="155" t="s">
        <v>1307</v>
      </c>
      <c r="Z22" s="43"/>
      <c r="AA22" s="44"/>
    </row>
    <row r="23" spans="1:27" ht="13.5" customHeight="1" x14ac:dyDescent="0.2">
      <c r="A23" s="2103"/>
      <c r="B23" s="2104"/>
      <c r="C23" s="2104"/>
      <c r="D23" s="2104"/>
      <c r="E23" s="2104"/>
      <c r="F23" s="2104"/>
      <c r="G23" s="2104"/>
      <c r="H23" s="2105"/>
      <c r="T23" s="2043">
        <v>65.032562999999996</v>
      </c>
      <c r="U23" s="2044"/>
      <c r="V23" s="2044"/>
      <c r="W23" s="2044"/>
      <c r="X23" s="2059">
        <v>44469</v>
      </c>
      <c r="Y23" s="2060"/>
      <c r="Z23" s="2060"/>
      <c r="AA23" s="2061"/>
    </row>
    <row r="24" spans="1:27" ht="14.1" customHeight="1" x14ac:dyDescent="0.2">
      <c r="A24" s="85" t="s">
        <v>672</v>
      </c>
      <c r="B24" s="46"/>
      <c r="C24" s="46"/>
      <c r="D24" s="46"/>
      <c r="E24" s="46"/>
      <c r="F24" s="46"/>
      <c r="G24" s="46"/>
      <c r="H24" s="58"/>
      <c r="J24" s="2145" t="str">
        <f>IF(B5="x",IF(AUDITCHECK!D29="AFR form Incomplete.","",IF(AUDITCHECK!D29="Deficit reduction plan is required.","School District must complete a deficit reduction plan in the 2020-2021 Budget",)),"")</f>
        <v/>
      </c>
      <c r="K24" s="2145"/>
      <c r="L24" s="2145"/>
      <c r="M24" s="2145"/>
      <c r="N24" s="2145"/>
      <c r="O24" s="2145"/>
      <c r="P24" s="2145"/>
      <c r="Q24" s="2145"/>
      <c r="R24" s="2145"/>
      <c r="S24" s="2146"/>
      <c r="T24" s="102" t="s">
        <v>528</v>
      </c>
      <c r="U24" s="103"/>
      <c r="V24" s="103"/>
      <c r="W24" s="103"/>
      <c r="X24" s="104"/>
      <c r="Y24" s="104"/>
      <c r="Z24" s="104"/>
      <c r="AA24" s="105"/>
    </row>
    <row r="25" spans="1:27" ht="14.1" customHeight="1" x14ac:dyDescent="0.2">
      <c r="A25" s="2080">
        <v>62823</v>
      </c>
      <c r="B25" s="2081"/>
      <c r="C25" s="2081"/>
      <c r="D25" s="2081"/>
      <c r="E25" s="2081"/>
      <c r="F25" s="2081"/>
      <c r="G25" s="2081"/>
      <c r="H25" s="2082"/>
      <c r="I25" s="110"/>
      <c r="J25" s="2147"/>
      <c r="K25" s="2147"/>
      <c r="L25" s="2147"/>
      <c r="M25" s="2147"/>
      <c r="N25" s="2147"/>
      <c r="O25" s="2147"/>
      <c r="P25" s="2147"/>
      <c r="Q25" s="2147"/>
      <c r="R25" s="2147"/>
      <c r="S25" s="2148"/>
      <c r="T25" s="2040" t="s">
        <v>2067</v>
      </c>
      <c r="U25" s="2041"/>
      <c r="V25" s="2041"/>
      <c r="W25" s="2041"/>
      <c r="X25" s="2041"/>
      <c r="Y25" s="2041"/>
      <c r="Z25" s="2041"/>
      <c r="AA25" s="204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8" t="s">
        <v>1494</v>
      </c>
      <c r="J27" s="2111"/>
      <c r="K27" s="2111"/>
      <c r="L27" s="2111"/>
      <c r="M27" s="2111"/>
      <c r="N27" s="2111"/>
      <c r="O27" s="2111"/>
      <c r="P27" s="2111"/>
      <c r="Q27" s="2111"/>
      <c r="R27" s="2111"/>
      <c r="S27" s="211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144"/>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4"/>
      <c r="Q35" s="2081"/>
      <c r="R35" s="208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3" t="s">
        <v>2063</v>
      </c>
      <c r="B38" s="2113"/>
      <c r="C38" s="2113"/>
      <c r="D38" s="2113"/>
      <c r="E38" s="2113"/>
      <c r="F38" s="2081"/>
      <c r="G38" s="2081"/>
      <c r="H38" s="2082"/>
      <c r="I38" s="2132"/>
      <c r="J38" s="2052"/>
      <c r="K38" s="2052"/>
      <c r="L38" s="2052"/>
      <c r="M38" s="2052"/>
      <c r="N38" s="2052"/>
      <c r="O38" s="2052"/>
      <c r="P38" s="2053"/>
      <c r="Q38" s="2053"/>
      <c r="R38" s="2053"/>
      <c r="S38" s="2054"/>
      <c r="T38" s="2051"/>
      <c r="U38" s="2052"/>
      <c r="V38" s="2052"/>
      <c r="W38" s="2052"/>
      <c r="X38" s="2053"/>
      <c r="Y38" s="2053"/>
      <c r="Z38" s="2053"/>
      <c r="AA38" s="2054"/>
    </row>
    <row r="39" spans="1:27" ht="12" customHeight="1" x14ac:dyDescent="0.2">
      <c r="A39" s="2136" t="s">
        <v>528</v>
      </c>
      <c r="B39" s="2137"/>
      <c r="C39" s="69"/>
      <c r="D39" s="66"/>
      <c r="E39" s="66"/>
      <c r="F39" s="76"/>
      <c r="G39" s="66"/>
      <c r="H39" s="53"/>
      <c r="I39" s="2136" t="s">
        <v>528</v>
      </c>
      <c r="J39" s="2137"/>
      <c r="K39" s="2137"/>
      <c r="L39" s="2137"/>
      <c r="M39" s="2137"/>
      <c r="N39" s="64"/>
      <c r="O39" s="69"/>
      <c r="P39" s="69"/>
      <c r="Q39" s="75"/>
      <c r="R39" s="69"/>
      <c r="S39" s="53"/>
      <c r="T39" s="69" t="s">
        <v>528</v>
      </c>
      <c r="U39" s="48"/>
      <c r="V39" s="69"/>
      <c r="W39" s="47"/>
      <c r="X39" s="75"/>
      <c r="Y39" s="43"/>
      <c r="Z39" s="43"/>
      <c r="AA39" s="44"/>
    </row>
    <row r="40" spans="1:27" ht="13.5" customHeight="1" x14ac:dyDescent="0.2">
      <c r="A40" s="2139" t="s">
        <v>2064</v>
      </c>
      <c r="B40" s="2140"/>
      <c r="C40" s="2141"/>
      <c r="D40" s="2141"/>
      <c r="E40" s="2141"/>
      <c r="F40" s="2142"/>
      <c r="G40" s="2142"/>
      <c r="H40" s="2143"/>
      <c r="I40" s="2055"/>
      <c r="J40" s="2057"/>
      <c r="K40" s="2057"/>
      <c r="L40" s="2057"/>
      <c r="M40" s="2057"/>
      <c r="N40" s="2057"/>
      <c r="O40" s="2057"/>
      <c r="P40" s="2057"/>
      <c r="Q40" s="2057"/>
      <c r="R40" s="2057"/>
      <c r="S40" s="2058"/>
      <c r="T40" s="2055"/>
      <c r="U40" s="2056"/>
      <c r="V40" s="2057"/>
      <c r="W40" s="2057"/>
      <c r="X40" s="2057"/>
      <c r="Y40" s="2057"/>
      <c r="Z40" s="2057"/>
      <c r="AA40" s="205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9" t="s">
        <v>2065</v>
      </c>
      <c r="B42" s="2130"/>
      <c r="C42" s="2131"/>
      <c r="D42" s="2144" t="s">
        <v>2066</v>
      </c>
      <c r="E42" s="2130"/>
      <c r="F42" s="2130"/>
      <c r="G42" s="2130"/>
      <c r="H42" s="2131"/>
      <c r="I42" s="2050"/>
      <c r="J42" s="2046"/>
      <c r="K42" s="2046"/>
      <c r="L42" s="2046"/>
      <c r="M42" s="2046"/>
      <c r="N42" s="2046"/>
      <c r="O42" s="2047"/>
      <c r="P42" s="2045"/>
      <c r="Q42" s="2046"/>
      <c r="R42" s="2046"/>
      <c r="S42" s="2047"/>
      <c r="T42" s="2050"/>
      <c r="U42" s="2046"/>
      <c r="V42" s="2046"/>
      <c r="W42" s="2047"/>
      <c r="X42" s="2045"/>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3"/>
      <c r="B44" s="2134"/>
      <c r="C44" s="2134"/>
      <c r="D44" s="2134"/>
      <c r="E44" s="2134"/>
      <c r="F44" s="2134"/>
      <c r="G44" s="2134"/>
      <c r="H44" s="2135"/>
      <c r="I44" s="2125"/>
      <c r="J44" s="2127"/>
      <c r="K44" s="2127"/>
      <c r="L44" s="2127"/>
      <c r="M44" s="2127"/>
      <c r="N44" s="2127"/>
      <c r="O44" s="2127"/>
      <c r="P44" s="2127"/>
      <c r="Q44" s="2127"/>
      <c r="R44" s="2127"/>
      <c r="S44" s="2128"/>
      <c r="T44" s="2125"/>
      <c r="U44" s="2126"/>
      <c r="V44" s="2126"/>
      <c r="W44" s="2126"/>
      <c r="X44" s="2126"/>
      <c r="Y44" s="2126"/>
      <c r="Z44" s="2127"/>
      <c r="AA44" s="212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2"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2" sqref="E1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7"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8"/>
      <c r="B3" s="1294"/>
      <c r="C3" s="1295"/>
      <c r="D3" s="1296" t="s">
        <v>254</v>
      </c>
      <c r="E3" s="1295"/>
      <c r="F3" s="1296" t="s">
        <v>255</v>
      </c>
    </row>
    <row r="4" spans="1:8" ht="13.7" customHeight="1" x14ac:dyDescent="0.2">
      <c r="A4" s="579" t="s">
        <v>1145</v>
      </c>
      <c r="B4" s="1721">
        <f>'Revenues 9-14'!C5</f>
        <v>1307004</v>
      </c>
      <c r="C4" s="1722"/>
      <c r="D4" s="1723">
        <f>B4-C4</f>
        <v>1307004</v>
      </c>
      <c r="E4" s="1722">
        <v>1388055</v>
      </c>
      <c r="F4" s="1723">
        <f>E4-C4</f>
        <v>1388055</v>
      </c>
    </row>
    <row r="5" spans="1:8" ht="13.7" customHeight="1" x14ac:dyDescent="0.2">
      <c r="A5" s="579" t="s">
        <v>865</v>
      </c>
      <c r="B5" s="1724">
        <f>'Revenues 9-14'!D5</f>
        <v>180527</v>
      </c>
      <c r="C5" s="1664"/>
      <c r="D5" s="1725">
        <f t="shared" ref="D5:D18" si="0">B5-C5</f>
        <v>180527</v>
      </c>
      <c r="E5" s="1664">
        <v>191720</v>
      </c>
      <c r="F5" s="1725">
        <f>E5-C5</f>
        <v>191720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72212</v>
      </c>
      <c r="C7" s="1664"/>
      <c r="D7" s="1725">
        <f t="shared" si="0"/>
        <v>72212</v>
      </c>
      <c r="E7" s="1664">
        <v>76688</v>
      </c>
      <c r="F7" s="1725">
        <f t="shared" si="1"/>
        <v>76688</v>
      </c>
    </row>
    <row r="8" spans="1:8" ht="13.7" customHeight="1" x14ac:dyDescent="0.2">
      <c r="A8" s="579" t="s">
        <v>1169</v>
      </c>
      <c r="B8" s="1724">
        <f>'Revenues 9-14'!G5</f>
        <v>29884</v>
      </c>
      <c r="C8" s="1664"/>
      <c r="D8" s="1725">
        <f t="shared" si="0"/>
        <v>29884</v>
      </c>
      <c r="E8" s="1664">
        <v>30000</v>
      </c>
      <c r="F8" s="1725">
        <f t="shared" si="1"/>
        <v>30000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18054</v>
      </c>
      <c r="C10" s="1664"/>
      <c r="D10" s="1725">
        <f t="shared" si="0"/>
        <v>18054</v>
      </c>
      <c r="E10" s="1664">
        <v>19172</v>
      </c>
      <c r="F10" s="1725">
        <f t="shared" si="1"/>
        <v>19172</v>
      </c>
    </row>
    <row r="11" spans="1:8" x14ac:dyDescent="0.2">
      <c r="A11" s="579" t="s">
        <v>406</v>
      </c>
      <c r="B11" s="1724">
        <f>'Revenues 9-14'!J5</f>
        <v>114573</v>
      </c>
      <c r="C11" s="1664"/>
      <c r="D11" s="1725">
        <f t="shared" si="0"/>
        <v>114573</v>
      </c>
      <c r="E11" s="1664">
        <v>100000</v>
      </c>
      <c r="F11" s="1725">
        <f t="shared" si="1"/>
        <v>100000</v>
      </c>
    </row>
    <row r="12" spans="1:8" ht="13.7" customHeight="1" x14ac:dyDescent="0.2">
      <c r="A12" s="579" t="s">
        <v>156</v>
      </c>
      <c r="B12" s="1724">
        <f>'Revenues 9-14'!K5</f>
        <v>18054</v>
      </c>
      <c r="C12" s="1664"/>
      <c r="D12" s="1725">
        <f t="shared" si="0"/>
        <v>18054</v>
      </c>
      <c r="E12" s="1664">
        <v>19172</v>
      </c>
      <c r="F12" s="1725">
        <f t="shared" si="1"/>
        <v>19172</v>
      </c>
    </row>
    <row r="13" spans="1:8" ht="13.7" customHeight="1" x14ac:dyDescent="0.2">
      <c r="A13" s="579" t="s">
        <v>930</v>
      </c>
      <c r="B13" s="1724">
        <f>SUM('Revenues 9-14'!C6:D6)</f>
        <v>18054</v>
      </c>
      <c r="C13" s="1664"/>
      <c r="D13" s="1725">
        <f t="shared" si="0"/>
        <v>18054</v>
      </c>
      <c r="E13" s="1664">
        <v>19172</v>
      </c>
      <c r="F13" s="1725">
        <f t="shared" si="1"/>
        <v>19172</v>
      </c>
    </row>
    <row r="14" spans="1:8" ht="13.7" customHeight="1" x14ac:dyDescent="0.2">
      <c r="A14" s="579" t="s">
        <v>407</v>
      </c>
      <c r="B14" s="1724">
        <f>SUM('Revenues 9-14'!C7:D7,'Revenues 9-14'!F7:H7)</f>
        <v>14442</v>
      </c>
      <c r="C14" s="1664"/>
      <c r="D14" s="1725">
        <f t="shared" si="0"/>
        <v>14442</v>
      </c>
      <c r="E14" s="1664">
        <v>15338</v>
      </c>
      <c r="F14" s="1725">
        <f t="shared" si="1"/>
        <v>15338</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83698</v>
      </c>
      <c r="C16" s="1664"/>
      <c r="D16" s="1725">
        <f t="shared" si="0"/>
        <v>83698</v>
      </c>
      <c r="E16" s="1664">
        <v>96000</v>
      </c>
      <c r="F16" s="1725">
        <f t="shared" si="1"/>
        <v>96000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1856502</v>
      </c>
      <c r="C19" s="1726">
        <f>SUM(C4:C18)</f>
        <v>0</v>
      </c>
      <c r="D19" s="1726">
        <f>SUM(D4:D18)</f>
        <v>1856502</v>
      </c>
      <c r="E19" s="1726">
        <f>SUM(E4:E18)</f>
        <v>1955317</v>
      </c>
      <c r="F19" s="1726">
        <f>SUM(F4:F18)</f>
        <v>1955317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activeCell="C48" sqref="C4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625</v>
      </c>
      <c r="B1" s="2294"/>
      <c r="C1" s="585"/>
    </row>
    <row r="2" spans="1:7" ht="33.75" x14ac:dyDescent="0.2">
      <c r="A2" s="2302" t="s">
        <v>1779</v>
      </c>
      <c r="B2" s="2303"/>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6" t="s">
        <v>1104</v>
      </c>
      <c r="B3" s="2307"/>
      <c r="C3" s="2295"/>
      <c r="D3" s="2296"/>
      <c r="E3" s="2296"/>
      <c r="F3" s="2297"/>
    </row>
    <row r="4" spans="1:7" ht="12.75" customHeight="1" thickBot="1" x14ac:dyDescent="0.25">
      <c r="A4" s="2304" t="s">
        <v>626</v>
      </c>
      <c r="B4" s="2305"/>
      <c r="C4" s="1656"/>
      <c r="D4" s="1656"/>
      <c r="E4" s="1656"/>
      <c r="F4" s="1732">
        <f>SUM(C4+D4)-E4</f>
        <v>0</v>
      </c>
    </row>
    <row r="5" spans="1:7" ht="15.75" customHeight="1" thickTop="1" x14ac:dyDescent="0.2">
      <c r="A5" s="2289" t="s">
        <v>1101</v>
      </c>
      <c r="B5" s="2290"/>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1" t="s">
        <v>627</v>
      </c>
      <c r="B15" s="2292"/>
      <c r="C15" s="1732">
        <f>SUM(C6:C14)</f>
        <v>0</v>
      </c>
      <c r="D15" s="1732">
        <f>SUM(D6:D14)</f>
        <v>0</v>
      </c>
      <c r="E15" s="1732">
        <f>SUM(E6:E14)</f>
        <v>0</v>
      </c>
      <c r="F15" s="1732">
        <f>SUM(F6:F14)</f>
        <v>0</v>
      </c>
      <c r="G15" s="473"/>
    </row>
    <row r="16" spans="1:7" s="197" customFormat="1" ht="15.75" customHeight="1" thickTop="1" x14ac:dyDescent="0.2">
      <c r="A16" s="2301" t="s">
        <v>1102</v>
      </c>
      <c r="B16" s="2290"/>
      <c r="C16" s="2298"/>
      <c r="D16" s="2299"/>
      <c r="E16" s="2299"/>
      <c r="F16" s="2300"/>
    </row>
    <row r="17" spans="1:11" ht="12.75" customHeight="1" thickBot="1" x14ac:dyDescent="0.25">
      <c r="A17" s="2314" t="s">
        <v>64</v>
      </c>
      <c r="B17" s="2315"/>
      <c r="C17" s="1733"/>
      <c r="D17" s="1664"/>
      <c r="E17" s="1733"/>
      <c r="F17" s="1732">
        <f>SUM(C17+D17)-E17</f>
        <v>0</v>
      </c>
    </row>
    <row r="18" spans="1:11" ht="12.75" customHeight="1" thickTop="1" thickBot="1" x14ac:dyDescent="0.25">
      <c r="A18" s="2314" t="s">
        <v>6</v>
      </c>
      <c r="B18" s="2315"/>
      <c r="C18" s="1733"/>
      <c r="D18" s="1664"/>
      <c r="E18" s="1733"/>
      <c r="F18" s="1732">
        <f>SUM(C18+D18)-E18</f>
        <v>0</v>
      </c>
    </row>
    <row r="19" spans="1:11" ht="12.75" customHeight="1" thickTop="1" thickBot="1" x14ac:dyDescent="0.25">
      <c r="A19" s="2314" t="s">
        <v>385</v>
      </c>
      <c r="B19" s="2315"/>
      <c r="C19" s="1733"/>
      <c r="D19" s="1664"/>
      <c r="E19" s="1733"/>
      <c r="F19" s="1732">
        <f>SUM(C19+D19)-E19</f>
        <v>0</v>
      </c>
    </row>
    <row r="20" spans="1:11" ht="12.75" customHeight="1" thickTop="1" thickBot="1" x14ac:dyDescent="0.25">
      <c r="A20" s="2314" t="s">
        <v>445</v>
      </c>
      <c r="B20" s="2315"/>
      <c r="C20" s="1733"/>
      <c r="D20" s="1664"/>
      <c r="E20" s="1733"/>
      <c r="F20" s="1732">
        <f>SUM(C20+D20)-E20</f>
        <v>0</v>
      </c>
    </row>
    <row r="21" spans="1:11" ht="14.25" thickTop="1" thickBot="1" x14ac:dyDescent="0.25">
      <c r="A21" s="2291" t="s">
        <v>628</v>
      </c>
      <c r="B21" s="2292"/>
      <c r="C21" s="1732">
        <f>SUM(C17:C20)</f>
        <v>0</v>
      </c>
      <c r="D21" s="1732">
        <f>SUM(D17:D20)</f>
        <v>0</v>
      </c>
      <c r="E21" s="1732">
        <f>SUM(E17:E20)</f>
        <v>0</v>
      </c>
      <c r="F21" s="1732">
        <f>SUM(F17:F20)</f>
        <v>0</v>
      </c>
      <c r="G21" s="473"/>
    </row>
    <row r="22" spans="1:11" ht="15.75" customHeight="1" thickTop="1" x14ac:dyDescent="0.2">
      <c r="A22" s="2316" t="s">
        <v>1103</v>
      </c>
      <c r="B22" s="2290"/>
      <c r="C22" s="2298"/>
      <c r="D22" s="2299"/>
      <c r="E22" s="2299"/>
      <c r="F22" s="2300"/>
    </row>
    <row r="23" spans="1:11" ht="13.5" thickBot="1" x14ac:dyDescent="0.25">
      <c r="A23" s="2304" t="s">
        <v>629</v>
      </c>
      <c r="B23" s="2305"/>
      <c r="C23" s="1656"/>
      <c r="D23" s="1656"/>
      <c r="E23" s="1656"/>
      <c r="F23" s="1732">
        <f>SUM(C23+D23)-E23</f>
        <v>0</v>
      </c>
      <c r="G23" s="473"/>
    </row>
    <row r="24" spans="1:11" ht="15.75" customHeight="1" thickTop="1" x14ac:dyDescent="0.2">
      <c r="A24" s="2316" t="s">
        <v>2006</v>
      </c>
      <c r="B24" s="2290"/>
      <c r="C24" s="2298"/>
      <c r="D24" s="2299"/>
      <c r="E24" s="2299"/>
      <c r="F24" s="2300"/>
    </row>
    <row r="25" spans="1:11" ht="13.5" thickBot="1" x14ac:dyDescent="0.25">
      <c r="A25" s="2304" t="s">
        <v>2007</v>
      </c>
      <c r="B25" s="2305"/>
      <c r="C25" s="1656"/>
      <c r="D25" s="1656"/>
      <c r="E25" s="1656"/>
      <c r="F25" s="1732">
        <f>SUM(C25+D25)-E25</f>
        <v>0</v>
      </c>
      <c r="G25" s="473"/>
    </row>
    <row r="26" spans="1:11" ht="15.75" customHeight="1" thickTop="1" x14ac:dyDescent="0.2">
      <c r="A26" s="2289" t="s">
        <v>652</v>
      </c>
      <c r="B26" s="2290"/>
      <c r="C26" s="589"/>
      <c r="D26" s="589"/>
      <c r="E26" s="589"/>
      <c r="F26" s="590"/>
    </row>
    <row r="27" spans="1:11" ht="13.5" thickBot="1" x14ac:dyDescent="0.25">
      <c r="A27" s="2291" t="s">
        <v>1061</v>
      </c>
      <c r="B27" s="2292"/>
      <c r="C27" s="1664"/>
      <c r="D27" s="1664"/>
      <c r="E27" s="1664"/>
      <c r="F27" s="1732">
        <f>SUM(C27+D27)-E27</f>
        <v>0</v>
      </c>
      <c r="G27" s="473"/>
    </row>
    <row r="28" spans="1:11" ht="7.5" customHeight="1" thickTop="1" x14ac:dyDescent="0.2">
      <c r="A28" s="489"/>
    </row>
    <row r="29" spans="1:11" ht="23.25" customHeight="1" x14ac:dyDescent="0.2">
      <c r="A29" s="2317" t="s">
        <v>578</v>
      </c>
      <c r="B29" s="2294"/>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8" t="s">
        <v>580</v>
      </c>
      <c r="C52" s="2309"/>
      <c r="D52" s="2309"/>
      <c r="E52" s="603" t="s">
        <v>840</v>
      </c>
      <c r="F52" s="2310"/>
      <c r="G52" s="2311"/>
      <c r="H52" s="596"/>
      <c r="I52" s="596"/>
      <c r="J52" s="600"/>
    </row>
    <row r="53" spans="1:11" ht="11.25" customHeight="1" x14ac:dyDescent="0.2">
      <c r="A53" s="604" t="s">
        <v>907</v>
      </c>
      <c r="B53" s="605" t="s">
        <v>945</v>
      </c>
      <c r="C53" s="600"/>
      <c r="D53" s="597"/>
      <c r="E53" s="603" t="s">
        <v>494</v>
      </c>
      <c r="F53" s="2312"/>
      <c r="G53" s="2313"/>
      <c r="H53" s="596"/>
      <c r="I53" s="596"/>
      <c r="J53" s="600"/>
    </row>
    <row r="54" spans="1:11" ht="11.25" customHeight="1" x14ac:dyDescent="0.2">
      <c r="A54" s="606" t="s">
        <v>908</v>
      </c>
      <c r="B54" s="601" t="s">
        <v>946</v>
      </c>
      <c r="C54" s="600"/>
      <c r="D54" s="597"/>
      <c r="E54" s="603" t="s">
        <v>495</v>
      </c>
      <c r="F54" s="2312"/>
      <c r="G54" s="231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4" t="s">
        <v>851</v>
      </c>
      <c r="B1" s="2345"/>
      <c r="C1" s="2345"/>
      <c r="D1" s="2345"/>
      <c r="E1" s="2345"/>
      <c r="F1" s="2345"/>
      <c r="G1" s="2346"/>
      <c r="H1" s="1298"/>
      <c r="I1" s="614"/>
      <c r="J1" s="400"/>
    </row>
    <row r="2" spans="1:11" ht="26.25" x14ac:dyDescent="0.2">
      <c r="A2" s="2321" t="s">
        <v>1658</v>
      </c>
      <c r="B2" s="2322"/>
      <c r="C2" s="2322"/>
      <c r="D2" s="2322"/>
      <c r="E2" s="2323"/>
      <c r="F2" s="615" t="s">
        <v>898</v>
      </c>
      <c r="G2" s="616" t="s">
        <v>1655</v>
      </c>
      <c r="H2" s="616" t="s">
        <v>407</v>
      </c>
      <c r="I2" s="616" t="s">
        <v>1148</v>
      </c>
      <c r="J2" s="616" t="s">
        <v>1789</v>
      </c>
      <c r="K2" s="616" t="s">
        <v>137</v>
      </c>
    </row>
    <row r="3" spans="1:11" x14ac:dyDescent="0.2">
      <c r="A3" s="2324" t="str">
        <f>"Cash Basis Fund Balance as of July 1, "&amp;'AFR20'!E2-1</f>
        <v>Cash Basis Fund Balance as of July 1, 2019</v>
      </c>
      <c r="B3" s="2325"/>
      <c r="C3" s="2325"/>
      <c r="D3" s="2325"/>
      <c r="E3" s="2326"/>
      <c r="F3" s="617"/>
      <c r="G3" s="1744"/>
      <c r="H3" s="1744"/>
      <c r="I3" s="1744"/>
      <c r="J3" s="1745"/>
      <c r="K3" s="1745"/>
    </row>
    <row r="4" spans="1:11" x14ac:dyDescent="0.2">
      <c r="A4" s="2327" t="s">
        <v>366</v>
      </c>
      <c r="B4" s="2328"/>
      <c r="C4" s="2328"/>
      <c r="D4" s="2328"/>
      <c r="E4" s="2309"/>
      <c r="F4" s="620"/>
      <c r="G4" s="1746"/>
      <c r="H4" s="1747"/>
      <c r="I4" s="1746"/>
      <c r="J4" s="1748"/>
      <c r="K4" s="1748"/>
    </row>
    <row r="5" spans="1:11" x14ac:dyDescent="0.2">
      <c r="A5" s="2347" t="s">
        <v>1060</v>
      </c>
      <c r="B5" s="2318"/>
      <c r="C5" s="2318"/>
      <c r="D5" s="2318"/>
      <c r="E5" s="2348"/>
      <c r="F5" s="622" t="s">
        <v>843</v>
      </c>
      <c r="G5" s="1749"/>
      <c r="H5" s="1744">
        <v>14442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1370</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4100</v>
      </c>
    </row>
    <row r="10" spans="1:11" x14ac:dyDescent="0.2">
      <c r="A10" s="2347" t="s">
        <v>1790</v>
      </c>
      <c r="B10" s="2318"/>
      <c r="C10" s="2318"/>
      <c r="D10" s="2318"/>
      <c r="E10" s="2349"/>
      <c r="F10" s="633" t="s">
        <v>857</v>
      </c>
      <c r="G10" s="1753"/>
      <c r="H10" s="1754"/>
      <c r="I10" s="1744"/>
      <c r="J10" s="1745"/>
      <c r="K10" s="1745"/>
    </row>
    <row r="11" spans="1:11" x14ac:dyDescent="0.2">
      <c r="A11" s="2347" t="s">
        <v>159</v>
      </c>
      <c r="B11" s="2318"/>
      <c r="C11" s="2318"/>
      <c r="D11" s="2318"/>
      <c r="E11" s="2348"/>
      <c r="F11" s="622" t="s">
        <v>847</v>
      </c>
      <c r="G11" s="1749"/>
      <c r="H11" s="1744"/>
      <c r="I11" s="1744"/>
      <c r="J11" s="1745"/>
      <c r="K11" s="1751"/>
    </row>
    <row r="12" spans="1:11" ht="13.5" thickBot="1" x14ac:dyDescent="0.25">
      <c r="A12" s="2335" t="s">
        <v>899</v>
      </c>
      <c r="B12" s="2336"/>
      <c r="C12" s="2336"/>
      <c r="D12" s="2336"/>
      <c r="E12" s="2337"/>
      <c r="F12" s="1433"/>
      <c r="G12" s="1755">
        <f>SUM(G5:G11)</f>
        <v>0</v>
      </c>
      <c r="H12" s="1755">
        <f>SUM(H5:H11)</f>
        <v>14442</v>
      </c>
      <c r="I12" s="1755">
        <f>SUM(I5:I11)</f>
        <v>0</v>
      </c>
      <c r="J12" s="1755">
        <f>SUM(J5:J11)</f>
        <v>0</v>
      </c>
      <c r="K12" s="1755">
        <f>SUM(K5:K11)</f>
        <v>5470</v>
      </c>
    </row>
    <row r="13" spans="1:11" ht="13.5" thickTop="1" x14ac:dyDescent="0.2">
      <c r="A13" s="2329" t="s">
        <v>367</v>
      </c>
      <c r="B13" s="2330"/>
      <c r="C13" s="2330"/>
      <c r="D13" s="2330"/>
      <c r="E13" s="2331"/>
      <c r="F13" s="634"/>
      <c r="G13" s="1756"/>
      <c r="H13" s="1757"/>
      <c r="I13" s="1758"/>
      <c r="J13" s="1758"/>
      <c r="K13" s="1758"/>
    </row>
    <row r="14" spans="1:11" x14ac:dyDescent="0.2">
      <c r="A14" s="2353" t="s">
        <v>453</v>
      </c>
      <c r="B14" s="2353"/>
      <c r="C14" s="2353"/>
      <c r="D14" s="2353"/>
      <c r="E14" s="2354"/>
      <c r="F14" s="635" t="s">
        <v>849</v>
      </c>
      <c r="G14" s="1753"/>
      <c r="H14" s="1744">
        <v>14442</v>
      </c>
      <c r="I14" s="1749"/>
      <c r="J14" s="1751"/>
      <c r="K14" s="1745">
        <v>5470</v>
      </c>
    </row>
    <row r="15" spans="1:11" x14ac:dyDescent="0.2">
      <c r="A15" s="2318" t="s">
        <v>4</v>
      </c>
      <c r="B15" s="2318"/>
      <c r="C15" s="2318"/>
      <c r="D15" s="2318"/>
      <c r="E15" s="2348"/>
      <c r="F15" s="635" t="s">
        <v>850</v>
      </c>
      <c r="G15" s="1749"/>
      <c r="H15" s="1744"/>
      <c r="I15" s="1744"/>
      <c r="J15" s="1745"/>
      <c r="K15" s="1745"/>
    </row>
    <row r="16" spans="1:11" x14ac:dyDescent="0.2">
      <c r="A16" s="2318" t="s">
        <v>295</v>
      </c>
      <c r="B16" s="2318"/>
      <c r="C16" s="2318"/>
      <c r="D16" s="2318"/>
      <c r="E16" s="2348"/>
      <c r="F16" s="635" t="s">
        <v>917</v>
      </c>
      <c r="G16" s="1750"/>
      <c r="H16" s="1746"/>
      <c r="I16" s="1746"/>
      <c r="J16" s="1748"/>
      <c r="K16" s="1748"/>
    </row>
    <row r="17" spans="1:15" x14ac:dyDescent="0.2">
      <c r="A17" s="2342" t="s">
        <v>929</v>
      </c>
      <c r="B17" s="2342"/>
      <c r="C17" s="2342"/>
      <c r="D17" s="2342"/>
      <c r="E17" s="2343"/>
      <c r="F17" s="636"/>
      <c r="G17" s="1759"/>
      <c r="H17" s="1760"/>
      <c r="I17" s="1760"/>
      <c r="J17" s="1761"/>
      <c r="K17" s="1762"/>
    </row>
    <row r="18" spans="1:15" x14ac:dyDescent="0.2">
      <c r="A18" s="2332" t="s">
        <v>365</v>
      </c>
      <c r="B18" s="2333"/>
      <c r="C18" s="2333"/>
      <c r="D18" s="2333"/>
      <c r="E18" s="2334"/>
      <c r="F18" s="635" t="s">
        <v>926</v>
      </c>
      <c r="G18" s="1753"/>
      <c r="H18" s="1753"/>
      <c r="I18" s="1753"/>
      <c r="J18" s="1745"/>
      <c r="K18" s="1763"/>
    </row>
    <row r="19" spans="1:15" ht="21.75" customHeight="1" x14ac:dyDescent="0.2">
      <c r="A19" s="2355" t="s">
        <v>1786</v>
      </c>
      <c r="B19" s="2355"/>
      <c r="C19" s="2355"/>
      <c r="D19" s="2355"/>
      <c r="E19" s="2356"/>
      <c r="F19" s="635" t="s">
        <v>927</v>
      </c>
      <c r="G19" s="1753"/>
      <c r="H19" s="1753"/>
      <c r="I19" s="1753"/>
      <c r="J19" s="1745"/>
      <c r="K19" s="1763"/>
    </row>
    <row r="20" spans="1:15" x14ac:dyDescent="0.2">
      <c r="A20" s="2332" t="s">
        <v>1791</v>
      </c>
      <c r="B20" s="2333"/>
      <c r="C20" s="2333"/>
      <c r="D20" s="2333"/>
      <c r="E20" s="2334"/>
      <c r="F20" s="635" t="s">
        <v>928</v>
      </c>
      <c r="G20" s="1753"/>
      <c r="H20" s="1753"/>
      <c r="I20" s="1753"/>
      <c r="J20" s="1745"/>
      <c r="K20" s="1763"/>
    </row>
    <row r="21" spans="1:15" ht="13.5" thickBot="1" x14ac:dyDescent="0.25">
      <c r="A21" s="2338" t="s">
        <v>633</v>
      </c>
      <c r="B21" s="2338"/>
      <c r="C21" s="2338"/>
      <c r="D21" s="2338"/>
      <c r="E21" s="2338"/>
      <c r="F21" s="1434"/>
      <c r="G21" s="1760"/>
      <c r="H21" s="1764"/>
      <c r="I21" s="1764"/>
      <c r="J21" s="1765">
        <f>SUM(J18:J20)</f>
        <v>0</v>
      </c>
      <c r="K21" s="1761"/>
    </row>
    <row r="22" spans="1:15" ht="13.5" thickTop="1" x14ac:dyDescent="0.2">
      <c r="A22" s="2318" t="s">
        <v>1792</v>
      </c>
      <c r="B22" s="2318"/>
      <c r="C22" s="2318"/>
      <c r="D22" s="2318"/>
      <c r="E22" s="2348"/>
      <c r="F22" s="635" t="s">
        <v>857</v>
      </c>
      <c r="G22" s="1753"/>
      <c r="H22" s="1744"/>
      <c r="I22" s="1744"/>
      <c r="J22" s="1766"/>
      <c r="K22" s="1745"/>
    </row>
    <row r="23" spans="1:15" ht="13.5" thickBot="1" x14ac:dyDescent="0.25">
      <c r="A23" s="2339" t="s">
        <v>900</v>
      </c>
      <c r="B23" s="2338"/>
      <c r="C23" s="2338"/>
      <c r="D23" s="2338"/>
      <c r="E23" s="2338"/>
      <c r="F23" s="1436"/>
      <c r="G23" s="1755">
        <f>SUM(G14:G16,G21,G22)</f>
        <v>0</v>
      </c>
      <c r="H23" s="1755">
        <f>SUM(H14:H16,H21,H22)</f>
        <v>14442</v>
      </c>
      <c r="I23" s="1755">
        <f>SUM(I14:I16,I21,I22)</f>
        <v>0</v>
      </c>
      <c r="J23" s="1755">
        <f>SUM(J14:J16,J21,J22)</f>
        <v>0</v>
      </c>
      <c r="K23" s="1755">
        <f>SUM(K14:K16,K21,K22)</f>
        <v>5470</v>
      </c>
      <c r="M23" s="1846"/>
      <c r="N23" s="1846"/>
      <c r="O23" s="1846"/>
    </row>
    <row r="24" spans="1:15" ht="14.25" thickTop="1" thickBot="1" x14ac:dyDescent="0.25">
      <c r="A24" s="2340" t="str">
        <f>"Ending Cash Basis Fund Balance as of June 30, "&amp;'AFR20'!E2</f>
        <v>Ending Cash Basis Fund Balance as of June 30, 2020</v>
      </c>
      <c r="B24" s="2341"/>
      <c r="C24" s="2341"/>
      <c r="D24" s="2341"/>
      <c r="E24" s="2341"/>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50"/>
      <c r="I31" s="2351"/>
      <c r="J31" s="2351"/>
      <c r="K31" s="2351"/>
    </row>
    <row r="32" spans="1:15" x14ac:dyDescent="0.2">
      <c r="A32" s="649"/>
      <c r="B32" s="232"/>
      <c r="C32" s="232"/>
      <c r="D32" s="232"/>
      <c r="E32" s="645"/>
      <c r="F32" s="651" t="s">
        <v>537</v>
      </c>
      <c r="G32" s="618"/>
      <c r="H32" s="2352"/>
      <c r="I32" s="2351"/>
      <c r="J32" s="2351"/>
      <c r="K32" s="2351"/>
    </row>
    <row r="33" spans="1:11" ht="1.5" customHeight="1" x14ac:dyDescent="0.2">
      <c r="A33" s="652" t="s">
        <v>1159</v>
      </c>
      <c r="B33" s="341"/>
      <c r="C33" s="341"/>
      <c r="D33" s="341"/>
      <c r="E33" s="341"/>
      <c r="F33" s="341"/>
      <c r="G33" s="653"/>
      <c r="H33" s="2352"/>
      <c r="I33" s="2351"/>
      <c r="J33" s="2351"/>
      <c r="K33" s="2351"/>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8" t="s">
        <v>538</v>
      </c>
      <c r="B41" s="2319"/>
      <c r="C41" s="2319"/>
      <c r="D41" s="2319"/>
      <c r="E41" s="2319"/>
      <c r="F41" s="232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1" sqref="I1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1875</v>
      </c>
      <c r="B1" s="2360"/>
      <c r="C1" s="2361"/>
      <c r="D1" s="666"/>
      <c r="E1" s="667"/>
      <c r="F1" s="667"/>
      <c r="G1" s="668"/>
      <c r="H1" s="669"/>
      <c r="I1" s="670"/>
      <c r="J1" s="2357"/>
      <c r="K1" s="2358"/>
      <c r="L1" s="2358"/>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37050</v>
      </c>
      <c r="D5" s="1770"/>
      <c r="E5" s="1770"/>
      <c r="F5" s="1765">
        <f>(C5+D5)-E5</f>
        <v>37050</v>
      </c>
      <c r="G5" s="676"/>
      <c r="H5" s="680"/>
      <c r="I5" s="680"/>
      <c r="J5" s="680"/>
      <c r="K5" s="637"/>
      <c r="L5" s="1442">
        <f>F5-K5</f>
        <v>37050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2384276</v>
      </c>
      <c r="D8" s="1771">
        <v>221137</v>
      </c>
      <c r="E8" s="1771"/>
      <c r="F8" s="1765">
        <f>(C8+D8)-E8</f>
        <v>2605413</v>
      </c>
      <c r="G8" s="681">
        <v>50</v>
      </c>
      <c r="H8" s="619">
        <v>1745208</v>
      </c>
      <c r="I8" s="619">
        <v>49897</v>
      </c>
      <c r="J8" s="619"/>
      <c r="K8" s="1442">
        <f>(H8+I8)-J8</f>
        <v>1795105</v>
      </c>
      <c r="L8" s="1442">
        <f>F8-K8</f>
        <v>810308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1630571</v>
      </c>
      <c r="D10" s="1772"/>
      <c r="E10" s="1772"/>
      <c r="F10" s="1773">
        <f>(C10+D10)-E10</f>
        <v>1630571</v>
      </c>
      <c r="G10" s="681">
        <v>20</v>
      </c>
      <c r="H10" s="683">
        <v>1147900</v>
      </c>
      <c r="I10" s="683">
        <v>81529</v>
      </c>
      <c r="J10" s="683"/>
      <c r="K10" s="1442">
        <f>(H10+I10)-J10</f>
        <v>1229429</v>
      </c>
      <c r="L10" s="1442">
        <f>F10-K10</f>
        <v>401142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606854</v>
      </c>
      <c r="D12" s="1771">
        <v>45137</v>
      </c>
      <c r="E12" s="1771">
        <v>39094</v>
      </c>
      <c r="F12" s="1765">
        <f>(C12+D12)-E12</f>
        <v>612897</v>
      </c>
      <c r="G12" s="681">
        <v>10</v>
      </c>
      <c r="H12" s="619">
        <v>253192</v>
      </c>
      <c r="I12" s="619">
        <v>55207</v>
      </c>
      <c r="J12" s="619">
        <v>39094</v>
      </c>
      <c r="K12" s="1442">
        <f>(H12+I12)-J12</f>
        <v>269305</v>
      </c>
      <c r="L12" s="1442">
        <f>F12-K12</f>
        <v>343592</v>
      </c>
    </row>
    <row r="13" spans="1:14" ht="14.25" thickTop="1" thickBot="1" x14ac:dyDescent="0.25">
      <c r="A13" s="684" t="s">
        <v>1112</v>
      </c>
      <c r="B13" s="679">
        <v>252</v>
      </c>
      <c r="C13" s="1771">
        <v>919664</v>
      </c>
      <c r="D13" s="1771"/>
      <c r="E13" s="1771">
        <v>251695</v>
      </c>
      <c r="F13" s="1765">
        <f>(C13+D13)-E13</f>
        <v>667969</v>
      </c>
      <c r="G13" s="681">
        <v>5</v>
      </c>
      <c r="H13" s="619">
        <v>702387</v>
      </c>
      <c r="I13" s="619">
        <v>62423</v>
      </c>
      <c r="J13" s="619">
        <v>251695</v>
      </c>
      <c r="K13" s="1442">
        <f>(H13+I13)-J13</f>
        <v>513115</v>
      </c>
      <c r="L13" s="1442">
        <f>F13-K13</f>
        <v>154854</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5578415</v>
      </c>
      <c r="D16" s="1765">
        <f>SUM(D3,D5:D6,D8:D10,D12:D15)</f>
        <v>266274</v>
      </c>
      <c r="E16" s="1765">
        <f>SUM(E3,E5:E6,E8:E10,E12:E15)</f>
        <v>290789</v>
      </c>
      <c r="F16" s="1765">
        <f>SUM(F3,F5:F6,F8:F10,F12:F15)</f>
        <v>5553900</v>
      </c>
      <c r="G16" s="681"/>
      <c r="H16" s="1435">
        <f>SUM(H3,H6,H8:H10,H12:H14,)</f>
        <v>3848687</v>
      </c>
      <c r="I16" s="1435">
        <f>SUM(I3,I6,I8:I10,I12:I14,)</f>
        <v>249056</v>
      </c>
      <c r="J16" s="1435">
        <f>SUM(J3,J6,J8:J10,J12:J14,)</f>
        <v>290789</v>
      </c>
      <c r="K16" s="1435">
        <f>(H16+I16)-J16</f>
        <v>3806954</v>
      </c>
      <c r="L16" s="1435">
        <f>F16-K16</f>
        <v>1746946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249056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17" colorId="8" zoomScale="110" zoomScaleNormal="110" workbookViewId="0">
      <selection activeCell="F172" sqref="F17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3463335</v>
      </c>
      <c r="G8" s="701"/>
    </row>
    <row r="9" spans="1:9" x14ac:dyDescent="0.2">
      <c r="A9" s="705" t="s">
        <v>457</v>
      </c>
      <c r="B9" s="706" t="s">
        <v>1848</v>
      </c>
      <c r="C9" s="707"/>
      <c r="D9" s="705" t="s">
        <v>498</v>
      </c>
      <c r="E9" s="704"/>
      <c r="F9" s="1775">
        <f>'Expenditures 15-22'!K151</f>
        <v>640764</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261922</v>
      </c>
      <c r="G11" s="708"/>
    </row>
    <row r="12" spans="1:9" x14ac:dyDescent="0.2">
      <c r="A12" s="705" t="s">
        <v>459</v>
      </c>
      <c r="B12" s="706" t="s">
        <v>1851</v>
      </c>
      <c r="C12" s="707"/>
      <c r="D12" s="705" t="s">
        <v>498</v>
      </c>
      <c r="E12" s="704"/>
      <c r="F12" s="1775">
        <f>'Expenditures 15-22'!K295</f>
        <v>131386</v>
      </c>
      <c r="G12" s="708"/>
    </row>
    <row r="13" spans="1:9" x14ac:dyDescent="0.2">
      <c r="A13" s="705" t="s">
        <v>106</v>
      </c>
      <c r="B13" s="706" t="s">
        <v>1852</v>
      </c>
      <c r="C13" s="707"/>
      <c r="D13" s="705" t="s">
        <v>498</v>
      </c>
      <c r="E13" s="704"/>
      <c r="F13" s="1775">
        <f>'Expenditures 15-22'!K342</f>
        <v>99237</v>
      </c>
      <c r="G13" s="709"/>
    </row>
    <row r="14" spans="1:9" ht="12" customHeight="1" thickBot="1" x14ac:dyDescent="0.25">
      <c r="A14" s="1443"/>
      <c r="B14" s="1444"/>
      <c r="C14" s="1445"/>
      <c r="D14" s="1446" t="s">
        <v>498</v>
      </c>
      <c r="E14" s="1447" t="s">
        <v>952</v>
      </c>
      <c r="F14" s="1776">
        <f>SUM(F8:F13)</f>
        <v>4596644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88701</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125042</v>
      </c>
      <c r="G53" s="701"/>
    </row>
    <row r="54" spans="1:7" x14ac:dyDescent="0.2">
      <c r="A54" s="705" t="s">
        <v>456</v>
      </c>
      <c r="B54" s="705" t="s">
        <v>1459</v>
      </c>
      <c r="C54" s="724" t="s">
        <v>975</v>
      </c>
      <c r="D54" s="720" t="s">
        <v>1086</v>
      </c>
      <c r="E54" s="704"/>
      <c r="F54" s="1782">
        <f>'Expenditures 15-22'!G114</f>
        <v>28299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237975</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3729</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483746</v>
      </c>
      <c r="G77" s="701"/>
    </row>
    <row r="78" spans="1:9" s="728" customFormat="1" ht="12" customHeight="1" thickTop="1" thickBot="1" x14ac:dyDescent="0.25">
      <c r="A78" s="1450"/>
      <c r="B78" s="1448"/>
      <c r="C78" s="1445"/>
      <c r="D78" s="1449" t="s">
        <v>2012</v>
      </c>
      <c r="E78" s="1447"/>
      <c r="F78" s="1788">
        <f>(F14-F77)</f>
        <v>4112898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371.7</v>
      </c>
      <c r="G79" s="733"/>
      <c r="H79" s="705"/>
      <c r="I79" s="705"/>
    </row>
    <row r="80" spans="1:9" s="728" customFormat="1" ht="12" customHeight="1" thickBot="1" x14ac:dyDescent="0.25">
      <c r="A80" s="1452"/>
      <c r="B80" s="1448"/>
      <c r="C80" s="1445"/>
      <c r="D80" s="1449" t="s">
        <v>2013</v>
      </c>
      <c r="E80" s="1447" t="s">
        <v>952</v>
      </c>
      <c r="F80" s="1790">
        <f>IF(F79&gt;0,F78/F79," Complete Line 79")</f>
        <v>11065.100887812752</v>
      </c>
      <c r="G80" s="705"/>
    </row>
    <row r="81" spans="1:7" s="728" customFormat="1" ht="8.25" customHeight="1" thickTop="1" x14ac:dyDescent="0.2">
      <c r="A81" s="734"/>
      <c r="B81" s="705"/>
      <c r="C81" s="707"/>
      <c r="D81" s="735"/>
      <c r="E81" s="704"/>
      <c r="F81" s="1791"/>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46826</v>
      </c>
      <c r="G95" s="745"/>
    </row>
    <row r="96" spans="1:7" x14ac:dyDescent="0.2">
      <c r="A96" s="741" t="s">
        <v>139</v>
      </c>
      <c r="B96" s="741" t="s">
        <v>174</v>
      </c>
      <c r="C96" s="743">
        <v>1700</v>
      </c>
      <c r="D96" s="751" t="str">
        <f>'Revenues 9-14'!A82</f>
        <v>Total District/School Activity Income</v>
      </c>
      <c r="E96" s="739"/>
      <c r="F96" s="1793">
        <f>SUM('Revenues 9-14'!C82,'Revenues 9-14'!D82)</f>
        <v>18246</v>
      </c>
      <c r="G96" s="745"/>
    </row>
    <row r="97" spans="1:7" x14ac:dyDescent="0.2">
      <c r="A97" s="741" t="s">
        <v>456</v>
      </c>
      <c r="B97" s="741" t="s">
        <v>175</v>
      </c>
      <c r="C97" s="743">
        <f>'Revenues 9-14'!B84</f>
        <v>1811</v>
      </c>
      <c r="D97" s="744" t="str">
        <f>'Revenues 9-14'!A84</f>
        <v>Rentals - Regular Textbooks</v>
      </c>
      <c r="E97" s="739"/>
      <c r="F97" s="1793">
        <f>'Revenues 9-14'!C84</f>
        <v>14646</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31997</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1249</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4100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179766</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126104</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113495</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58940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11</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4200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17423</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3721</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297</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19398</v>
      </c>
      <c r="G171" s="760"/>
    </row>
    <row r="172" spans="1:7" x14ac:dyDescent="0.2">
      <c r="A172" s="1529" t="s">
        <v>5</v>
      </c>
      <c r="B172" s="1530" t="s">
        <v>1885</v>
      </c>
      <c r="C172" s="1531">
        <v>3100</v>
      </c>
      <c r="D172" s="1532" t="s">
        <v>1887</v>
      </c>
      <c r="E172" s="739"/>
      <c r="F172" s="1794">
        <v>140248</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830667</v>
      </c>
    </row>
    <row r="176" spans="1:7" ht="12" customHeight="1" x14ac:dyDescent="0.2">
      <c r="A176" s="1443"/>
      <c r="B176" s="1453"/>
      <c r="C176" s="1454"/>
      <c r="D176" s="1455" t="s">
        <v>2014</v>
      </c>
      <c r="E176" s="1456"/>
      <c r="F176" s="1793">
        <f>'PCTC-OEPP 27-28'!F78-F175</f>
        <v>3282231</v>
      </c>
    </row>
    <row r="177" spans="1:9" ht="12" customHeight="1" x14ac:dyDescent="0.2">
      <c r="A177" s="1443"/>
      <c r="B177" s="1453"/>
      <c r="C177" s="1454"/>
      <c r="D177" s="1455" t="s">
        <v>1794</v>
      </c>
      <c r="E177" s="1456"/>
      <c r="F177" s="1793">
        <f>'Cap Outlay Deprec 26'!I18</f>
        <v>249056</v>
      </c>
    </row>
    <row r="178" spans="1:9" ht="12" customHeight="1" x14ac:dyDescent="0.2">
      <c r="A178" s="1443"/>
      <c r="B178" s="1453"/>
      <c r="C178" s="1454"/>
      <c r="D178" s="1455" t="s">
        <v>2015</v>
      </c>
      <c r="E178" s="1456"/>
      <c r="F178" s="1793">
        <f>F176+F177</f>
        <v>3531287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371.7</v>
      </c>
      <c r="G179" s="763"/>
      <c r="I179" s="701"/>
    </row>
    <row r="180" spans="1:9" ht="12" customHeight="1" thickBot="1" x14ac:dyDescent="0.25">
      <c r="A180" s="1443"/>
      <c r="B180" s="1457"/>
      <c r="C180" s="1454"/>
      <c r="D180" s="1455" t="s">
        <v>2017</v>
      </c>
      <c r="E180" s="1456" t="s">
        <v>1528</v>
      </c>
      <c r="F180" s="1798">
        <f>F178/F179</f>
        <v>9500.3685768092546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35"/>
  <sheetViews>
    <sheetView showGridLines="0" topLeftCell="A16" zoomScaleNormal="100" workbookViewId="0">
      <selection activeCell="A32" sqref="A32:XFD138"/>
    </sheetView>
  </sheetViews>
  <sheetFormatPr defaultRowHeight="15" x14ac:dyDescent="0.25"/>
  <cols>
    <col min="1" max="1" width="59.7109375"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2"/>
  </cols>
  <sheetData>
    <row r="1" spans="1:6" ht="15" customHeight="1" x14ac:dyDescent="0.25">
      <c r="A1" s="1859" t="s">
        <v>1807</v>
      </c>
      <c r="B1" s="1860"/>
      <c r="C1" s="1861"/>
      <c r="D1" s="1861"/>
      <c r="E1" s="1861"/>
      <c r="F1" s="1861"/>
    </row>
    <row r="2" spans="1:6" x14ac:dyDescent="0.25">
      <c r="A2" s="1863"/>
      <c r="B2" s="1864"/>
      <c r="C2" s="1911" t="s">
        <v>2003</v>
      </c>
      <c r="D2" s="1863"/>
      <c r="E2" s="1863"/>
      <c r="F2" s="1863"/>
    </row>
    <row r="3" spans="1:6" ht="5.25" customHeight="1" x14ac:dyDescent="0.25">
      <c r="A3" s="1865"/>
      <c r="B3" s="1866"/>
      <c r="C3" s="1865"/>
      <c r="D3" s="1865"/>
      <c r="E3" s="1865"/>
      <c r="F3" s="1865"/>
    </row>
    <row r="4" spans="1:6" ht="18.75" customHeight="1" x14ac:dyDescent="0.25">
      <c r="A4" s="2376" t="s">
        <v>1795</v>
      </c>
      <c r="B4" s="2377"/>
      <c r="C4" s="2377"/>
      <c r="D4" s="2377"/>
      <c r="E4" s="2377"/>
      <c r="F4" s="2378"/>
    </row>
    <row r="5" spans="1:6" x14ac:dyDescent="0.25">
      <c r="A5" s="2379"/>
      <c r="B5" s="2380"/>
      <c r="C5" s="2380"/>
      <c r="D5" s="2380"/>
      <c r="E5" s="2380"/>
      <c r="F5" s="2381"/>
    </row>
    <row r="6" spans="1:6" ht="18.75" x14ac:dyDescent="0.25">
      <c r="A6" s="1867" t="s">
        <v>1796</v>
      </c>
      <c r="B6" s="1868"/>
      <c r="C6" s="1869"/>
      <c r="D6" s="1869"/>
      <c r="E6" s="1869"/>
      <c r="F6" s="1870"/>
    </row>
    <row r="7" spans="1:6" ht="47.25" customHeight="1" x14ac:dyDescent="0.25">
      <c r="A7" s="2382" t="s">
        <v>1985</v>
      </c>
      <c r="B7" s="2383"/>
      <c r="C7" s="2383"/>
      <c r="D7" s="2383"/>
      <c r="E7" s="2383"/>
      <c r="F7" s="2384"/>
    </row>
    <row r="8" spans="1:6" ht="20.25" customHeight="1" x14ac:dyDescent="0.25">
      <c r="A8" s="1900" t="s">
        <v>1987</v>
      </c>
      <c r="B8" s="1901"/>
      <c r="C8" s="1901"/>
      <c r="D8" s="1901"/>
      <c r="E8" s="1871"/>
      <c r="F8" s="1872"/>
    </row>
    <row r="9" spans="1:6" ht="18" customHeight="1" x14ac:dyDescent="0.25">
      <c r="A9" s="1873" t="s">
        <v>1984</v>
      </c>
      <c r="B9" s="1875"/>
      <c r="C9" s="1875"/>
      <c r="D9" s="1875"/>
      <c r="E9" s="1871"/>
      <c r="F9" s="1872"/>
    </row>
    <row r="10" spans="1:6" ht="15.75" customHeight="1" x14ac:dyDescent="0.25">
      <c r="A10" s="2385" t="s">
        <v>1981</v>
      </c>
      <c r="B10" s="2386"/>
      <c r="C10" s="2386"/>
      <c r="D10" s="2386"/>
      <c r="E10" s="2386"/>
      <c r="F10" s="2387"/>
    </row>
    <row r="11" spans="1:6" ht="33" customHeight="1" x14ac:dyDescent="0.25">
      <c r="A11" s="2382" t="s">
        <v>1986</v>
      </c>
      <c r="B11" s="2383"/>
      <c r="C11" s="2383"/>
      <c r="D11" s="2383"/>
      <c r="E11" s="2383"/>
      <c r="F11" s="2384"/>
    </row>
    <row r="12" spans="1:6" ht="15" customHeight="1" x14ac:dyDescent="0.25">
      <c r="A12" s="1873" t="s">
        <v>1982</v>
      </c>
      <c r="B12" s="1874"/>
      <c r="C12" s="1875"/>
      <c r="D12" s="1875"/>
      <c r="E12" s="1875"/>
      <c r="F12" s="1876"/>
    </row>
    <row r="13" spans="1:6" ht="17.25" customHeight="1" x14ac:dyDescent="0.25">
      <c r="A13" s="2382" t="s">
        <v>1983</v>
      </c>
      <c r="B13" s="2383"/>
      <c r="C13" s="2383"/>
      <c r="D13" s="2383"/>
      <c r="E13" s="2383"/>
      <c r="F13" s="2384"/>
    </row>
    <row r="14" spans="1:6" ht="15" customHeight="1" x14ac:dyDescent="0.25">
      <c r="A14" s="1873" t="s">
        <v>1800</v>
      </c>
      <c r="B14" s="1874"/>
      <c r="C14" s="1875"/>
      <c r="D14" s="1875"/>
      <c r="E14" s="1875"/>
      <c r="F14" s="1876"/>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5" t="s">
        <v>1799</v>
      </c>
      <c r="C17" s="1881" t="s">
        <v>1797</v>
      </c>
      <c r="D17" s="1882">
        <v>500000</v>
      </c>
      <c r="E17" s="1882" t="str">
        <f>IF(D17&lt;25000,D17,"25,000")</f>
        <v>25,000</v>
      </c>
      <c r="F17" s="1883">
        <f>IF(D17&gt;=25000,(D17-E17),"0")</f>
        <v>475000</v>
      </c>
    </row>
    <row r="18" spans="1:7" x14ac:dyDescent="0.25">
      <c r="A18" s="2034" t="s">
        <v>2073</v>
      </c>
      <c r="B18" s="1906">
        <v>102100300</v>
      </c>
      <c r="C18" s="2035" t="s">
        <v>2074</v>
      </c>
      <c r="D18" s="1884">
        <v>4945.3500000000004</v>
      </c>
      <c r="E18" s="1904">
        <f t="shared" ref="E18:E31" si="0">IF(D18&lt;25000,D18,"25,000")</f>
        <v>4945.3500000000004</v>
      </c>
      <c r="F18" s="1904" t="str">
        <f t="shared" ref="F18:F31" si="1">IF(D18&gt;=25000,(D18-E18),"0")</f>
        <v>0</v>
      </c>
      <c r="G18" s="1885"/>
    </row>
    <row r="19" spans="1:7" x14ac:dyDescent="0.25">
      <c r="A19" s="2034" t="s">
        <v>2086</v>
      </c>
      <c r="B19" s="1906">
        <v>802300300</v>
      </c>
      <c r="C19" s="2035" t="s">
        <v>2075</v>
      </c>
      <c r="D19" s="1884">
        <v>6540</v>
      </c>
      <c r="E19" s="1904">
        <f t="shared" si="0"/>
        <v>6540</v>
      </c>
      <c r="F19" s="1904" t="str">
        <f t="shared" si="1"/>
        <v>0</v>
      </c>
    </row>
    <row r="20" spans="1:7" x14ac:dyDescent="0.25">
      <c r="A20" s="2034" t="s">
        <v>2087</v>
      </c>
      <c r="B20" s="1906">
        <v>102560300</v>
      </c>
      <c r="C20" s="2035" t="s">
        <v>2076</v>
      </c>
      <c r="D20" s="1884">
        <v>2430.6799999999998</v>
      </c>
      <c r="E20" s="1904">
        <f t="shared" si="0"/>
        <v>2430.6799999999998</v>
      </c>
      <c r="F20" s="1904" t="str">
        <f t="shared" si="1"/>
        <v>0</v>
      </c>
    </row>
    <row r="21" spans="1:7" x14ac:dyDescent="0.25">
      <c r="A21" s="2034" t="s">
        <v>2085</v>
      </c>
      <c r="B21" s="1906">
        <v>202540300</v>
      </c>
      <c r="C21" s="2035" t="s">
        <v>2076</v>
      </c>
      <c r="D21" s="1884">
        <v>1278.71</v>
      </c>
      <c r="E21" s="1904">
        <f t="shared" si="0"/>
        <v>1278.71</v>
      </c>
      <c r="F21" s="1904" t="str">
        <f t="shared" si="1"/>
        <v>0</v>
      </c>
    </row>
    <row r="22" spans="1:7" x14ac:dyDescent="0.25">
      <c r="A22" s="2034" t="s">
        <v>2085</v>
      </c>
      <c r="B22" s="1906">
        <v>202540300</v>
      </c>
      <c r="C22" s="2035" t="s">
        <v>2077</v>
      </c>
      <c r="D22" s="1884">
        <v>4980</v>
      </c>
      <c r="E22" s="1904">
        <f t="shared" si="0"/>
        <v>4980</v>
      </c>
      <c r="F22" s="1904" t="str">
        <f t="shared" si="1"/>
        <v>0</v>
      </c>
    </row>
    <row r="23" spans="1:7" x14ac:dyDescent="0.25">
      <c r="A23" s="2034" t="s">
        <v>2085</v>
      </c>
      <c r="B23" s="1906">
        <v>202540300</v>
      </c>
      <c r="C23" s="2035" t="s">
        <v>2078</v>
      </c>
      <c r="D23" s="1884">
        <v>5566.25</v>
      </c>
      <c r="E23" s="1904">
        <f t="shared" si="0"/>
        <v>5566.25</v>
      </c>
      <c r="F23" s="1904" t="str">
        <f t="shared" si="1"/>
        <v>0</v>
      </c>
    </row>
    <row r="24" spans="1:7" x14ac:dyDescent="0.25">
      <c r="A24" s="2034" t="s">
        <v>2085</v>
      </c>
      <c r="B24" s="1906">
        <v>202540300</v>
      </c>
      <c r="C24" s="2035" t="s">
        <v>2079</v>
      </c>
      <c r="D24" s="1884">
        <v>2291</v>
      </c>
      <c r="E24" s="1904">
        <f t="shared" si="0"/>
        <v>2291</v>
      </c>
      <c r="F24" s="1904" t="str">
        <f t="shared" si="1"/>
        <v>0</v>
      </c>
    </row>
    <row r="25" spans="1:7" x14ac:dyDescent="0.25">
      <c r="A25" s="2034" t="s">
        <v>2085</v>
      </c>
      <c r="B25" s="1906">
        <v>202540300</v>
      </c>
      <c r="C25" s="2035" t="s">
        <v>2080</v>
      </c>
      <c r="D25" s="1884">
        <v>2566.0700000000002</v>
      </c>
      <c r="E25" s="1904">
        <f t="shared" si="0"/>
        <v>2566.0700000000002</v>
      </c>
      <c r="F25" s="1904" t="str">
        <f t="shared" si="1"/>
        <v>0</v>
      </c>
    </row>
    <row r="26" spans="1:7" x14ac:dyDescent="0.25">
      <c r="A26" s="2034" t="s">
        <v>2085</v>
      </c>
      <c r="B26" s="1906">
        <v>202540300</v>
      </c>
      <c r="C26" s="2035" t="s">
        <v>2081</v>
      </c>
      <c r="D26" s="1884">
        <v>1650</v>
      </c>
      <c r="E26" s="1904">
        <f t="shared" si="0"/>
        <v>1650</v>
      </c>
      <c r="F26" s="1904" t="str">
        <f t="shared" si="1"/>
        <v>0</v>
      </c>
    </row>
    <row r="27" spans="1:7" x14ac:dyDescent="0.25">
      <c r="A27" s="2034" t="s">
        <v>2088</v>
      </c>
      <c r="B27" s="1906">
        <v>802300300</v>
      </c>
      <c r="C27" s="2035" t="s">
        <v>2082</v>
      </c>
      <c r="D27" s="1884">
        <v>2175</v>
      </c>
      <c r="E27" s="1904">
        <f t="shared" si="0"/>
        <v>2175</v>
      </c>
      <c r="F27" s="1904" t="str">
        <f t="shared" si="1"/>
        <v>0</v>
      </c>
    </row>
    <row r="28" spans="1:7" x14ac:dyDescent="0.25">
      <c r="A28" s="2034" t="s">
        <v>2085</v>
      </c>
      <c r="B28" s="1906">
        <v>202540300</v>
      </c>
      <c r="C28" s="2035" t="s">
        <v>2083</v>
      </c>
      <c r="D28" s="1884">
        <v>11467</v>
      </c>
      <c r="E28" s="1904">
        <f t="shared" si="0"/>
        <v>11467</v>
      </c>
      <c r="F28" s="1904" t="str">
        <f t="shared" si="1"/>
        <v>0</v>
      </c>
    </row>
    <row r="29" spans="1:7" x14ac:dyDescent="0.25">
      <c r="A29" s="2034" t="s">
        <v>2089</v>
      </c>
      <c r="B29" s="1906">
        <v>102300300</v>
      </c>
      <c r="C29" s="2035" t="s">
        <v>2084</v>
      </c>
      <c r="D29" s="1884">
        <v>7050</v>
      </c>
      <c r="E29" s="1904">
        <f t="shared" si="0"/>
        <v>7050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7"/>
      <c r="C32" s="1887"/>
      <c r="D32" s="1884"/>
      <c r="E32" s="1904">
        <f t="shared" ref="E32:E34" si="2">IF(D32&lt;25000,D32,"25,000")</f>
        <v>0</v>
      </c>
      <c r="F32" s="1904" t="str">
        <f t="shared" ref="F32:F34" si="3">IF(D32&gt;=25000,(D32-E32),"0")</f>
        <v>0</v>
      </c>
    </row>
    <row r="33" spans="1:6" x14ac:dyDescent="0.25">
      <c r="A33" s="1886"/>
      <c r="B33" s="1907"/>
      <c r="C33" s="1887"/>
      <c r="D33" s="1884"/>
      <c r="E33" s="1904">
        <f t="shared" si="2"/>
        <v>0</v>
      </c>
      <c r="F33" s="1904" t="str">
        <f t="shared" si="3"/>
        <v>0</v>
      </c>
    </row>
    <row r="34" spans="1:6" x14ac:dyDescent="0.25">
      <c r="A34" s="1886"/>
      <c r="B34" s="1908"/>
      <c r="C34" s="1887"/>
      <c r="D34" s="1884"/>
      <c r="E34" s="1904">
        <f t="shared" si="2"/>
        <v>0</v>
      </c>
      <c r="F34" s="1904" t="str">
        <f t="shared" si="3"/>
        <v>0</v>
      </c>
    </row>
    <row r="35" spans="1:6" x14ac:dyDescent="0.25">
      <c r="A35" s="1888" t="s">
        <v>155</v>
      </c>
      <c r="B35" s="1909"/>
      <c r="C35" s="1889"/>
      <c r="D35" s="1890">
        <f>SUM(D18:D34)</f>
        <v>52940.06</v>
      </c>
      <c r="E35" s="1891">
        <f>SUM(E18:E34)</f>
        <v>52940.06</v>
      </c>
      <c r="F35" s="1892">
        <f>SUM(F18:F34)</f>
        <v>0</v>
      </c>
    </row>
  </sheetData>
  <sheetProtection selectLockedCells="1"/>
  <mergeCells count="6">
    <mergeCell ref="A15:F15"/>
    <mergeCell ref="A4:F5"/>
    <mergeCell ref="A7:F7"/>
    <mergeCell ref="A10:F10"/>
    <mergeCell ref="A11:F11"/>
    <mergeCell ref="A13:F13"/>
  </mergeCells>
  <pageMargins left="0.2" right="0.2" top="0.5" bottom="0.25" header="0.3" footer="0.3"/>
  <pageSetup scale="79"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9"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92647</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1">
        <v>17374</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2553445</v>
      </c>
      <c r="F19" s="1802"/>
      <c r="G19" s="1804">
        <f>'Expenditures 15-22'!K33-SUM('Expenditures 15-22'!G33,'Expenditures 15-22'!I33)+'Expenditures 15-22'!D229</f>
        <v>2553445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155146</v>
      </c>
      <c r="F21" s="1805"/>
      <c r="G21" s="1808">
        <f>'Expenditures 15-22'!K42-SUM('Expenditures 15-22'!G42,'Expenditures 15-22'!I42)+'Expenditures 15-22'!K120-SUM('Expenditures 15-22'!G120,'Expenditures 15-22'!I120)+'Expenditures 15-22'!K180-SUM('Expenditures 15-22'!G180,'Expenditures 15-22'!I180)+'Expenditures 15-22'!D238</f>
        <v>155146</v>
      </c>
      <c r="H21" s="817"/>
      <c r="I21" s="157"/>
    </row>
    <row r="22" spans="1:9" s="542" customFormat="1" ht="12" customHeight="1" x14ac:dyDescent="0.2">
      <c r="A22" s="824" t="s">
        <v>560</v>
      </c>
      <c r="B22" s="825"/>
      <c r="C22" s="823">
        <v>2200</v>
      </c>
      <c r="D22" s="1805"/>
      <c r="E22" s="1807">
        <f>'Expenditures 15-22'!K47-SUM('Expenditures 15-22'!G47,'Expenditures 15-22'!I47)+'Expenditures 15-22'!D243</f>
        <v>5284</v>
      </c>
      <c r="F22" s="1805"/>
      <c r="G22" s="1808">
        <f>'Expenditures 15-22'!K47-SUM('Expenditures 15-22'!G47,'Expenditures 15-22'!I47)+'Expenditures 15-22'!D243</f>
        <v>5284</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161674</v>
      </c>
      <c r="F23" s="1805"/>
      <c r="G23" s="1807">
        <f>'Expenditures 15-22'!K53-SUM('Expenditures 15-22'!G53,'Expenditures 15-22'!I53)+'Expenditures 15-22'!D257+'Expenditures 15-22'!K330-SUM('Expenditures 15-22'!G330,'Expenditures 15-22'!I330)</f>
        <v>161674</v>
      </c>
      <c r="H23" s="817"/>
      <c r="I23" s="157"/>
    </row>
    <row r="24" spans="1:9" s="542" customFormat="1" ht="12" customHeight="1" x14ac:dyDescent="0.2">
      <c r="A24" s="824" t="s">
        <v>562</v>
      </c>
      <c r="B24" s="825"/>
      <c r="C24" s="823">
        <v>2400</v>
      </c>
      <c r="D24" s="1805"/>
      <c r="E24" s="1807">
        <f>'Expenditures 15-22'!K57-SUM('Expenditures 15-22'!G57,'Expenditures 15-22'!I57)+'Expenditures 15-22'!D261</f>
        <v>345898</v>
      </c>
      <c r="F24" s="1805"/>
      <c r="G24" s="1808">
        <f>'Expenditures 15-22'!K57-SUM('Expenditures 15-22'!G57,'Expenditures 15-22'!I57)+'Expenditures 15-22'!D261</f>
        <v>345898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88154</v>
      </c>
      <c r="E27" s="1807">
        <f>E8</f>
        <v>0</v>
      </c>
      <c r="F27" s="1807">
        <f>'Expenditures 15-22'!K60-SUM('Expenditures 15-22'!G60,'Expenditures 15-22'!I60)+'Expenditures 15-22'!D264-E8</f>
        <v>88154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420668</v>
      </c>
      <c r="F28" s="1809">
        <f>'Expenditures 15-22'!K61-SUM('Expenditures 15-22'!G61,'Expenditures 15-22'!I61)+'Expenditures 15-22'!K124-SUM('Expenditures 15-22'!G124,'Expenditures 15-22'!I124)+'Expenditures 15-22'!D266-E9</f>
        <v>420668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283856</v>
      </c>
      <c r="F29" s="1805"/>
      <c r="G29" s="1808">
        <f>'Expenditures 15-22'!K62-SUM('Expenditures 15-22'!G62,'Expenditures 15-22'!I62)+'Expenditures 15-22'!K125-SUM('Expenditures 15-22'!G125,'Expenditures 15-22'!I125)+'Expenditures 15-22'!K182-SUM('Expenditures 15-22'!G182,'Expenditures 15-22'!I182)+'Expenditures 15-22'!D267</f>
        <v>283856</v>
      </c>
      <c r="H29" s="815"/>
    </row>
    <row r="30" spans="1:9" ht="12" customHeight="1" x14ac:dyDescent="0.2">
      <c r="A30" s="824" t="s">
        <v>100</v>
      </c>
      <c r="B30" s="827"/>
      <c r="C30" s="823">
        <v>2560</v>
      </c>
      <c r="D30" s="1805"/>
      <c r="E30" s="1807">
        <f>'Expenditures 15-22'!K63-SUM('Expenditures 15-22'!G63,'Expenditures 15-22'!I63)+'Expenditures 15-22'!D268-E10</f>
        <v>98407</v>
      </c>
      <c r="F30" s="1805"/>
      <c r="G30" s="1807">
        <f>'Expenditures 15-22'!K63-SUM('Expenditures 15-22'!G63,'Expenditures 15-22'!I63)+'Expenditures 15-22'!D268-E10</f>
        <v>98407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29'!F35</f>
        <v>0</v>
      </c>
      <c r="F40" s="1805"/>
      <c r="G40" s="1809">
        <f>-'Contracts Paid in CY 29'!F35</f>
        <v>0</v>
      </c>
    </row>
    <row r="41" spans="1:7" ht="12" customHeight="1" x14ac:dyDescent="0.2">
      <c r="A41" s="828" t="s">
        <v>155</v>
      </c>
      <c r="B41" s="829"/>
      <c r="C41" s="830"/>
      <c r="D41" s="1809">
        <f>SUM(D19:D39)</f>
        <v>88154</v>
      </c>
      <c r="E41" s="1809">
        <f>SUM(E19:E40)</f>
        <v>4024378</v>
      </c>
      <c r="F41" s="1809">
        <f>SUM(F19:F39)</f>
        <v>508822</v>
      </c>
      <c r="G41" s="1809">
        <f>SUM(G19:G40)</f>
        <v>3603710</v>
      </c>
    </row>
    <row r="42" spans="1:7" x14ac:dyDescent="0.2">
      <c r="A42" s="817"/>
      <c r="B42" s="157"/>
      <c r="C42" s="831"/>
      <c r="D42" s="2391" t="s">
        <v>519</v>
      </c>
      <c r="E42" s="2392"/>
      <c r="F42" s="832" t="s">
        <v>520</v>
      </c>
      <c r="G42" s="833"/>
    </row>
    <row r="43" spans="1:7" ht="12" customHeight="1" x14ac:dyDescent="0.2">
      <c r="A43" s="817"/>
      <c r="B43" s="157"/>
      <c r="C43" s="831"/>
      <c r="D43" s="1458" t="s">
        <v>470</v>
      </c>
      <c r="E43" s="1810">
        <f>D41</f>
        <v>88154</v>
      </c>
      <c r="F43" s="1458" t="s">
        <v>470</v>
      </c>
      <c r="G43" s="1810">
        <f>F41</f>
        <v>508822</v>
      </c>
    </row>
    <row r="44" spans="1:7" ht="12" customHeight="1" x14ac:dyDescent="0.2">
      <c r="A44" s="817"/>
      <c r="B44" s="157"/>
      <c r="C44" s="831"/>
      <c r="D44" s="1458" t="s">
        <v>471</v>
      </c>
      <c r="E44" s="1810">
        <f>E41</f>
        <v>4024378</v>
      </c>
      <c r="F44" s="1458" t="s">
        <v>471</v>
      </c>
      <c r="G44" s="1810">
        <f>G41</f>
        <v>3603710</v>
      </c>
    </row>
    <row r="45" spans="1:7" ht="12" customHeight="1" x14ac:dyDescent="0.2">
      <c r="A45" s="817"/>
      <c r="B45" s="157"/>
      <c r="C45" s="157"/>
      <c r="D45" s="1459" t="s">
        <v>999</v>
      </c>
      <c r="E45" s="1811">
        <f>(E43/E44)</f>
        <v>2.1904999977636296E-2</v>
      </c>
      <c r="F45" s="1459" t="s">
        <v>999</v>
      </c>
      <c r="G45" s="1811">
        <f>(G43/G44)</f>
        <v>0.14119393624903226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selection activeCell="F14" sqref="F14"/>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9" width="3" style="1507" bestFit="1" customWidth="1"/>
    <col min="10" max="10" width="2.140625" style="1507" bestFit="1" customWidth="1"/>
    <col min="11" max="11" width="9" style="1507" customWidth="1"/>
    <col min="12" max="16384" width="9.140625" style="1477"/>
  </cols>
  <sheetData>
    <row r="1" spans="1:15" x14ac:dyDescent="0.2">
      <c r="A1" s="2399" t="s">
        <v>1363</v>
      </c>
      <c r="B1" s="2399"/>
      <c r="C1" s="2399"/>
      <c r="D1" s="2399"/>
      <c r="E1" s="2399"/>
      <c r="F1" s="2399"/>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0" t="s">
        <v>1529</v>
      </c>
      <c r="B5" s="2401"/>
      <c r="C5" s="2402"/>
      <c r="D5" s="2402"/>
      <c r="E5" s="2402"/>
      <c r="F5" s="2402"/>
      <c r="G5" s="1507"/>
      <c r="L5" s="1507"/>
      <c r="M5" s="1855"/>
      <c r="N5" s="1855"/>
      <c r="O5" s="1855"/>
    </row>
    <row r="6" spans="1:15" ht="12" customHeight="1" x14ac:dyDescent="0.25">
      <c r="A6" s="1480"/>
      <c r="B6" s="1481"/>
      <c r="C6" s="2403" t="str">
        <f>COVER!A17</f>
        <v>North Wayne CUSD 200</v>
      </c>
      <c r="D6" s="2403"/>
      <c r="E6" s="2403"/>
      <c r="F6" s="1482"/>
      <c r="G6" s="1507"/>
      <c r="L6" s="1507"/>
      <c r="M6" s="1855"/>
      <c r="N6" s="1855"/>
      <c r="O6" s="1855"/>
    </row>
    <row r="7" spans="1:15" ht="11.25" customHeight="1" thickBot="1" x14ac:dyDescent="0.3">
      <c r="A7" s="1480"/>
      <c r="B7" s="1481"/>
      <c r="C7" s="2404">
        <f>COVER!A13</f>
        <v>20096200026</v>
      </c>
      <c r="D7" s="2404"/>
      <c r="E7" s="2404"/>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2090</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c r="F31" s="1497" t="s">
        <v>2091</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05"/>
      <c r="D35" s="2405"/>
      <c r="E35" s="2405"/>
      <c r="F35" s="2406"/>
    </row>
    <row r="36" spans="1:15" ht="12" customHeight="1" x14ac:dyDescent="0.2">
      <c r="A36" s="2396"/>
      <c r="B36" s="2397"/>
      <c r="C36" s="2397"/>
      <c r="D36" s="2397"/>
      <c r="E36" s="2397"/>
      <c r="F36" s="2398"/>
    </row>
    <row r="37" spans="1:15" ht="12" customHeight="1" x14ac:dyDescent="0.2">
      <c r="A37" s="2396"/>
      <c r="B37" s="2397"/>
      <c r="C37" s="2397"/>
      <c r="D37" s="2397"/>
      <c r="E37" s="2397"/>
      <c r="F37" s="2398"/>
    </row>
    <row r="38" spans="1:15" ht="12" customHeight="1" x14ac:dyDescent="0.2">
      <c r="A38" s="2410"/>
      <c r="B38" s="2411"/>
      <c r="C38" s="2411"/>
      <c r="D38" s="2411"/>
      <c r="E38" s="2411"/>
      <c r="F38" s="2412"/>
    </row>
    <row r="39" spans="1:15" ht="4.5" hidden="1" customHeight="1" x14ac:dyDescent="0.2">
      <c r="A39" s="1502"/>
      <c r="B39" s="1502"/>
      <c r="C39" s="1502"/>
      <c r="D39" s="1502"/>
      <c r="E39" s="1502"/>
      <c r="F39" s="1502"/>
    </row>
    <row r="40" spans="1:15" s="1499" customFormat="1" ht="12" customHeight="1" x14ac:dyDescent="0.25">
      <c r="A40" s="1503" t="s">
        <v>1375</v>
      </c>
      <c r="B40" s="1504"/>
      <c r="C40" s="2413"/>
      <c r="D40" s="2413"/>
      <c r="E40" s="2413"/>
      <c r="F40" s="2414"/>
      <c r="H40" s="1508"/>
      <c r="I40" s="1508"/>
      <c r="J40" s="1508"/>
      <c r="K40" s="1508"/>
    </row>
    <row r="41" spans="1:15" s="1499" customFormat="1" ht="12" customHeight="1" x14ac:dyDescent="0.25">
      <c r="A41" s="2415" t="s">
        <v>2092</v>
      </c>
      <c r="B41" s="2416"/>
      <c r="C41" s="2416"/>
      <c r="D41" s="2416"/>
      <c r="E41" s="2416"/>
      <c r="F41" s="2417"/>
      <c r="H41" s="1508"/>
      <c r="I41" s="1508"/>
      <c r="J41" s="1508"/>
      <c r="K41" s="1508"/>
    </row>
    <row r="42" spans="1:15" s="1499" customFormat="1" ht="12" customHeight="1" x14ac:dyDescent="0.25">
      <c r="A42" s="2415" t="s">
        <v>2093</v>
      </c>
      <c r="B42" s="2416"/>
      <c r="C42" s="2416"/>
      <c r="D42" s="2416"/>
      <c r="E42" s="2416"/>
      <c r="F42" s="2417"/>
      <c r="H42" s="1508"/>
      <c r="I42" s="1508"/>
      <c r="J42" s="1508"/>
      <c r="K42" s="1508"/>
    </row>
    <row r="43" spans="1:15" s="1499" customFormat="1" ht="15" x14ac:dyDescent="0.25">
      <c r="A43" s="2407"/>
      <c r="B43" s="2408"/>
      <c r="C43" s="2408"/>
      <c r="D43" s="2408"/>
      <c r="E43" s="2408"/>
      <c r="F43" s="2409"/>
      <c r="H43" s="1508"/>
      <c r="I43" s="1508"/>
      <c r="J43" s="1508"/>
      <c r="K43" s="1508"/>
    </row>
    <row r="44" spans="1:15" s="1499" customFormat="1" ht="12" hidden="1" customHeight="1" x14ac:dyDescent="0.25">
      <c r="A44" s="2407"/>
      <c r="B44" s="2408"/>
      <c r="C44" s="2408"/>
      <c r="D44" s="2408"/>
      <c r="E44" s="2408"/>
      <c r="F44" s="240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fitToHeight="0" orientation="landscape" r:id="rId1"/>
  <headerFooter alignWithMargins="0">
    <oddHeader>&amp;RPage 31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Normal="100" workbookViewId="0">
      <selection activeCell="M62" sqref="M62"/>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2002</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7"/>
      <c r="C6" s="1377"/>
      <c r="D6" s="1377"/>
      <c r="E6" s="1378"/>
      <c r="F6" s="1920"/>
      <c r="G6" s="1921"/>
      <c r="H6" s="838"/>
      <c r="I6" s="1922" t="s">
        <v>1021</v>
      </c>
      <c r="J6" s="2419" t="str">
        <f>COVER!A17</f>
        <v>North Wayne CUSD 200</v>
      </c>
      <c r="K6" s="2419"/>
      <c r="L6" s="2420"/>
      <c r="M6" s="838"/>
      <c r="N6" s="1996"/>
    </row>
    <row r="7" spans="1:14" x14ac:dyDescent="0.2">
      <c r="A7" s="2421" t="s">
        <v>864</v>
      </c>
      <c r="B7" s="2422"/>
      <c r="C7" s="2422"/>
      <c r="D7" s="2422"/>
      <c r="E7" s="2423"/>
      <c r="F7" s="839"/>
      <c r="G7" s="838"/>
      <c r="H7" s="838"/>
      <c r="I7" s="1922" t="s">
        <v>369</v>
      </c>
      <c r="J7" s="2424">
        <f>COVER!A13</f>
        <v>20096200026</v>
      </c>
      <c r="K7" s="2424"/>
      <c r="L7" s="2424"/>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2018</v>
      </c>
      <c r="F9" s="1857"/>
      <c r="G9" s="1857"/>
      <c r="H9" s="1857"/>
      <c r="I9" s="1927" t="s">
        <v>2019</v>
      </c>
      <c r="J9" s="1857"/>
      <c r="K9" s="1857"/>
      <c r="L9" s="1858"/>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25" t="s">
        <v>478</v>
      </c>
      <c r="B11" s="2426"/>
      <c r="C11" s="2427"/>
      <c r="D11" s="1935" t="s">
        <v>866</v>
      </c>
      <c r="E11" s="1935" t="s">
        <v>64</v>
      </c>
      <c r="F11" s="1935" t="s">
        <v>6</v>
      </c>
      <c r="G11" s="1936" t="s">
        <v>2020</v>
      </c>
      <c r="H11" s="1937" t="s">
        <v>155</v>
      </c>
      <c r="I11" s="1935" t="s">
        <v>64</v>
      </c>
      <c r="J11" s="1935" t="s">
        <v>6</v>
      </c>
      <c r="K11" s="1936" t="s">
        <v>2001</v>
      </c>
      <c r="L11" s="1937" t="s">
        <v>155</v>
      </c>
      <c r="M11" s="838"/>
      <c r="N11" s="1996"/>
    </row>
    <row r="12" spans="1:14" x14ac:dyDescent="0.2">
      <c r="A12" s="2001">
        <v>1</v>
      </c>
      <c r="B12" s="1938" t="s">
        <v>813</v>
      </c>
      <c r="C12" s="842"/>
      <c r="D12" s="1939">
        <v>2320</v>
      </c>
      <c r="E12" s="1942">
        <f>'Expenditures 15-22'!K50</f>
        <v>38840</v>
      </c>
      <c r="F12" s="1940"/>
      <c r="G12" s="1966">
        <f>G68</f>
        <v>10000</v>
      </c>
      <c r="H12" s="1942">
        <f t="shared" ref="H12:H18" si="0">SUM(E12:G12)</f>
        <v>48840</v>
      </c>
      <c r="I12" s="1941">
        <v>39350</v>
      </c>
      <c r="J12" s="1940"/>
      <c r="K12" s="1941">
        <v>10000</v>
      </c>
      <c r="L12" s="1942">
        <f t="shared" ref="L12:L18" si="1">SUM(I12:K12)</f>
        <v>49350</v>
      </c>
      <c r="M12" s="838"/>
      <c r="N12" s="1996"/>
    </row>
    <row r="13" spans="1:14" x14ac:dyDescent="0.2">
      <c r="A13" s="2001">
        <v>2</v>
      </c>
      <c r="B13" s="1938" t="s">
        <v>42</v>
      </c>
      <c r="C13" s="842"/>
      <c r="D13" s="1939">
        <v>2330</v>
      </c>
      <c r="E13" s="1942">
        <f>'Expenditures 15-22'!K51</f>
        <v>0</v>
      </c>
      <c r="F13" s="1940"/>
      <c r="G13" s="1966">
        <f>H68</f>
        <v>0</v>
      </c>
      <c r="H13" s="1942">
        <f t="shared" si="0"/>
        <v>0</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28" t="s">
        <v>7</v>
      </c>
      <c r="C18" s="2429"/>
      <c r="D18" s="2430"/>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38840</v>
      </c>
      <c r="F19" s="1948">
        <f t="shared" si="2"/>
        <v>0</v>
      </c>
      <c r="G19" s="1948">
        <f t="shared" ref="G19" si="3">SUM(G12:G17)-G18</f>
        <v>10000</v>
      </c>
      <c r="H19" s="1948">
        <f t="shared" si="2"/>
        <v>48840</v>
      </c>
      <c r="I19" s="1948">
        <f t="shared" si="2"/>
        <v>39350</v>
      </c>
      <c r="J19" s="1948">
        <f t="shared" si="2"/>
        <v>0</v>
      </c>
      <c r="K19" s="1948">
        <f t="shared" si="2"/>
        <v>10000</v>
      </c>
      <c r="L19" s="1948">
        <f t="shared" si="2"/>
        <v>49350</v>
      </c>
      <c r="M19" s="838"/>
      <c r="N19" s="1996"/>
    </row>
    <row r="20" spans="1:14" ht="13.5" thickTop="1" x14ac:dyDescent="0.2">
      <c r="A20" s="2001">
        <v>9</v>
      </c>
      <c r="B20" s="2431" t="s">
        <v>2021</v>
      </c>
      <c r="C20" s="2431"/>
      <c r="D20" s="2432"/>
      <c r="E20" s="1949"/>
      <c r="F20" s="1949"/>
      <c r="G20" s="1949"/>
      <c r="H20" s="1949"/>
      <c r="I20" s="1949"/>
      <c r="J20" s="1949"/>
      <c r="K20" s="1949"/>
      <c r="L20" s="1950">
        <f>IF(AND(H19&gt;0,L19&gt;0),(((L19-H19)/H19)),"Enter Budget Data")</f>
        <v>1.0442260442260442E-2</v>
      </c>
      <c r="M20" s="838"/>
      <c r="N20" s="1996"/>
    </row>
    <row r="21" spans="1:14" x14ac:dyDescent="0.2">
      <c r="A21" s="2003" t="s">
        <v>194</v>
      </c>
      <c r="B21" s="2004" t="s">
        <v>2046</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2022</v>
      </c>
      <c r="B24" s="2008"/>
      <c r="C24" s="2009"/>
      <c r="D24" s="2009"/>
      <c r="E24" s="2009"/>
      <c r="F24" s="2009"/>
      <c r="G24" s="2009"/>
      <c r="H24" s="2009"/>
      <c r="I24" s="2009"/>
      <c r="J24" s="2009"/>
      <c r="K24" s="2009"/>
      <c r="L24" s="838"/>
      <c r="M24" s="838"/>
      <c r="N24" s="1996"/>
    </row>
    <row r="25" spans="1:14" x14ac:dyDescent="0.2">
      <c r="A25" s="2007" t="s">
        <v>2023</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33"/>
      <c r="D27" s="2433"/>
      <c r="E27" s="843"/>
      <c r="F27" s="2434"/>
      <c r="G27" s="2434"/>
      <c r="H27" s="2434"/>
      <c r="I27" s="838"/>
      <c r="J27" s="838"/>
      <c r="K27" s="838"/>
      <c r="L27" s="838"/>
      <c r="M27" s="838"/>
      <c r="N27" s="1996"/>
    </row>
    <row r="28" spans="1:14" x14ac:dyDescent="0.2">
      <c r="A28" s="1995"/>
      <c r="B28" s="2005"/>
      <c r="C28" s="1955" t="s">
        <v>1026</v>
      </c>
      <c r="D28" s="844"/>
      <c r="E28" s="1956"/>
      <c r="F28" s="2435" t="s">
        <v>1492</v>
      </c>
      <c r="G28" s="2435"/>
      <c r="H28" s="2435"/>
      <c r="I28" s="838"/>
      <c r="J28" s="838"/>
      <c r="K28" s="838"/>
      <c r="L28" s="838"/>
      <c r="M28" s="838"/>
      <c r="N28" s="1996"/>
    </row>
    <row r="29" spans="1:14" x14ac:dyDescent="0.2">
      <c r="A29" s="1995"/>
      <c r="B29" s="2005"/>
      <c r="C29" s="2436" t="s">
        <v>2063</v>
      </c>
      <c r="D29" s="2436"/>
      <c r="E29" s="845"/>
      <c r="F29" s="2436" t="s">
        <v>2066</v>
      </c>
      <c r="G29" s="2436"/>
      <c r="H29" s="2436"/>
      <c r="I29" s="838"/>
      <c r="J29" s="838"/>
      <c r="K29" s="838"/>
      <c r="L29" s="838"/>
      <c r="M29" s="838"/>
      <c r="N29" s="1996"/>
    </row>
    <row r="30" spans="1:14" x14ac:dyDescent="0.2">
      <c r="A30" s="1995"/>
      <c r="B30" s="2005"/>
      <c r="C30" s="1958" t="s">
        <v>1544</v>
      </c>
      <c r="D30" s="838"/>
      <c r="E30" s="1957"/>
      <c r="F30" s="2418" t="s">
        <v>1493</v>
      </c>
      <c r="G30" s="2418"/>
      <c r="H30" s="2418"/>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39" t="s">
        <v>2024</v>
      </c>
      <c r="D34" s="2440"/>
      <c r="E34" s="2440"/>
      <c r="F34" s="2440"/>
      <c r="G34" s="2440"/>
      <c r="H34" s="2440"/>
      <c r="I34" s="2440"/>
      <c r="J34" s="2440"/>
      <c r="K34" s="2014"/>
      <c r="L34" s="838"/>
      <c r="M34" s="838"/>
      <c r="N34" s="1996"/>
    </row>
    <row r="35" spans="1:14" x14ac:dyDescent="0.2">
      <c r="A35" s="1995"/>
      <c r="B35" s="838"/>
      <c r="C35" s="2440"/>
      <c r="D35" s="2440"/>
      <c r="E35" s="2440"/>
      <c r="F35" s="2440"/>
      <c r="G35" s="2440"/>
      <c r="H35" s="2440"/>
      <c r="I35" s="2440"/>
      <c r="J35" s="2440"/>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39" t="s">
        <v>2025</v>
      </c>
      <c r="D37" s="2440"/>
      <c r="E37" s="2440"/>
      <c r="F37" s="2440"/>
      <c r="G37" s="2440"/>
      <c r="H37" s="2440"/>
      <c r="I37" s="2440"/>
      <c r="J37" s="2440"/>
      <c r="K37" s="2014"/>
      <c r="L37" s="2016"/>
      <c r="M37" s="838"/>
      <c r="N37" s="1996"/>
    </row>
    <row r="38" spans="1:14" x14ac:dyDescent="0.2">
      <c r="A38" s="1995"/>
      <c r="B38" s="838"/>
      <c r="C38" s="2440"/>
      <c r="D38" s="2440"/>
      <c r="E38" s="2440"/>
      <c r="F38" s="2440"/>
      <c r="G38" s="2440"/>
      <c r="H38" s="2440"/>
      <c r="I38" s="2440"/>
      <c r="J38" s="2440"/>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41" t="s">
        <v>2026</v>
      </c>
      <c r="D40" s="2442"/>
      <c r="E40" s="2442"/>
      <c r="F40" s="2442"/>
      <c r="G40" s="2442"/>
      <c r="H40" s="2442"/>
      <c r="I40" s="2442"/>
      <c r="J40" s="2442"/>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43" t="s">
        <v>2027</v>
      </c>
      <c r="B43" s="2444"/>
      <c r="C43" s="2444"/>
      <c r="D43" s="2444"/>
      <c r="E43" s="2444"/>
      <c r="F43" s="2444"/>
      <c r="G43" s="2444"/>
      <c r="H43" s="2444"/>
      <c r="I43" s="2444"/>
      <c r="J43" s="2444"/>
      <c r="K43" s="2444"/>
      <c r="L43" s="2444"/>
      <c r="M43" s="2444"/>
      <c r="N43" s="2445"/>
    </row>
    <row r="44" spans="1:14" x14ac:dyDescent="0.2">
      <c r="A44" s="1980"/>
      <c r="B44" s="1981"/>
      <c r="C44" s="1981"/>
      <c r="D44" s="1981"/>
      <c r="E44" s="1981"/>
      <c r="F44" s="1981"/>
      <c r="G44" s="1981"/>
      <c r="H44" s="1981"/>
      <c r="I44" s="1981"/>
      <c r="J44" s="1981"/>
      <c r="K44" s="1981"/>
      <c r="L44" s="1981"/>
      <c r="M44" s="1981"/>
      <c r="N44" s="1982"/>
    </row>
    <row r="45" spans="1:14" x14ac:dyDescent="0.2">
      <c r="A45" s="1980" t="s">
        <v>2028</v>
      </c>
      <c r="B45" s="1981"/>
      <c r="C45" s="1981"/>
      <c r="D45" s="1981"/>
      <c r="E45" s="1981"/>
      <c r="F45" s="1981"/>
      <c r="G45" s="1981"/>
      <c r="H45" s="1981"/>
      <c r="I45" s="1981"/>
      <c r="J45" s="1981"/>
      <c r="K45" s="1981"/>
      <c r="L45" s="1981"/>
      <c r="M45" s="1981"/>
      <c r="N45" s="1982"/>
    </row>
    <row r="46" spans="1:14" x14ac:dyDescent="0.2">
      <c r="A46" s="2446" t="s">
        <v>2029</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2045</v>
      </c>
      <c r="B49" s="2022"/>
      <c r="C49" s="2022"/>
      <c r="D49" s="2023"/>
      <c r="E49" s="2023"/>
      <c r="F49" s="2023"/>
      <c r="G49" s="2023"/>
      <c r="H49" s="2023"/>
      <c r="I49" s="2023"/>
      <c r="J49" s="2023"/>
      <c r="K49" s="2023"/>
      <c r="L49" s="2023"/>
      <c r="M49" s="2023"/>
      <c r="N49" s="2024"/>
    </row>
    <row r="50" spans="1:14" ht="15" x14ac:dyDescent="0.25">
      <c r="A50" s="2026" t="s">
        <v>2044</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19" t="str">
        <f>J6</f>
        <v>North Wayne CUSD 200</v>
      </c>
      <c r="M52" s="2419"/>
      <c r="N52" s="2449"/>
    </row>
    <row r="53" spans="1:14" x14ac:dyDescent="0.2">
      <c r="A53" s="1980"/>
      <c r="B53" s="1981"/>
      <c r="C53" s="1981"/>
      <c r="D53" s="1981"/>
      <c r="E53" s="1981"/>
      <c r="F53" s="1981"/>
      <c r="G53" s="1981"/>
      <c r="H53" s="1981"/>
      <c r="I53" s="1981"/>
      <c r="J53" s="1981"/>
      <c r="K53" s="1922" t="s">
        <v>369</v>
      </c>
      <c r="L53" s="2424">
        <f>J7</f>
        <v>20096200026</v>
      </c>
      <c r="M53" s="2424"/>
      <c r="N53" s="2450"/>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51"/>
      <c r="B55" s="2452"/>
      <c r="C55" s="2452"/>
      <c r="D55" s="1968"/>
      <c r="E55" s="1968"/>
      <c r="F55" s="1968"/>
      <c r="G55" s="2453" t="s">
        <v>2030</v>
      </c>
      <c r="H55" s="2453"/>
      <c r="I55" s="2453"/>
      <c r="J55" s="2453"/>
      <c r="K55" s="2453"/>
      <c r="L55" s="2453"/>
      <c r="M55" s="2453"/>
      <c r="N55" s="2454"/>
    </row>
    <row r="56" spans="1:14" ht="63.75" x14ac:dyDescent="0.2">
      <c r="A56" s="2455" t="s">
        <v>2031</v>
      </c>
      <c r="B56" s="2456"/>
      <c r="C56" s="2457"/>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2">
      <c r="A57" s="2458" t="s">
        <v>296</v>
      </c>
      <c r="B57" s="2459"/>
      <c r="C57" s="2459"/>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37" t="s">
        <v>2041</v>
      </c>
      <c r="B58" s="2438"/>
      <c r="C58" s="2438"/>
      <c r="D58" s="1965">
        <v>2362</v>
      </c>
      <c r="E58" s="1975">
        <f>'Expenditures 15-22'!K320</f>
        <v>15047</v>
      </c>
      <c r="F58" s="1970"/>
      <c r="G58" s="2029"/>
      <c r="H58" s="2030"/>
      <c r="I58" s="2030"/>
      <c r="J58" s="2030"/>
      <c r="K58" s="2030"/>
      <c r="L58" s="2030"/>
      <c r="M58" s="2030">
        <v>15047</v>
      </c>
      <c r="N58" s="1973">
        <f>IF((SUM(G58:M58))=E58,SUM(G58:M58),"Column N does not agree with Column E")</f>
        <v>15047</v>
      </c>
    </row>
    <row r="59" spans="1:14" ht="24.75" customHeight="1" x14ac:dyDescent="0.2">
      <c r="A59" s="2460" t="s">
        <v>297</v>
      </c>
      <c r="B59" s="2461"/>
      <c r="C59" s="2461"/>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60" t="s">
        <v>236</v>
      </c>
      <c r="B60" s="2461"/>
      <c r="C60" s="2461"/>
      <c r="D60" s="1965">
        <v>2364</v>
      </c>
      <c r="E60" s="1975">
        <f>'Expenditures 15-22'!K322</f>
        <v>26369</v>
      </c>
      <c r="F60" s="1970"/>
      <c r="G60" s="2029"/>
      <c r="H60" s="2030"/>
      <c r="I60" s="2030"/>
      <c r="J60" s="2030"/>
      <c r="K60" s="2030"/>
      <c r="L60" s="2030"/>
      <c r="M60" s="2030">
        <v>26369</v>
      </c>
      <c r="N60" s="1973">
        <f t="shared" ref="N60:N67" si="4">IF((SUM(G60:M60))=E60,SUM(G60:M60),"Column N does not agree with Column E")</f>
        <v>26369</v>
      </c>
    </row>
    <row r="61" spans="1:14" ht="24.75" customHeight="1" x14ac:dyDescent="0.2">
      <c r="A61" s="2460" t="s">
        <v>697</v>
      </c>
      <c r="B61" s="2461"/>
      <c r="C61" s="2461"/>
      <c r="D61" s="1965">
        <v>2365</v>
      </c>
      <c r="E61" s="1975">
        <f>'Expenditures 15-22'!K323</f>
        <v>46540</v>
      </c>
      <c r="F61" s="1970"/>
      <c r="G61" s="2029">
        <v>10000</v>
      </c>
      <c r="H61" s="2030"/>
      <c r="I61" s="2030"/>
      <c r="J61" s="2030"/>
      <c r="K61" s="2030"/>
      <c r="L61" s="2030"/>
      <c r="M61" s="2030">
        <v>36540</v>
      </c>
      <c r="N61" s="1973">
        <f t="shared" si="4"/>
        <v>46540</v>
      </c>
    </row>
    <row r="62" spans="1:14" ht="24" customHeight="1" x14ac:dyDescent="0.2">
      <c r="A62" s="2460" t="s">
        <v>237</v>
      </c>
      <c r="B62" s="2461"/>
      <c r="C62" s="2461"/>
      <c r="D62" s="1965">
        <v>2366</v>
      </c>
      <c r="E62" s="1975">
        <f>'Expenditures 15-22'!K324</f>
        <v>0</v>
      </c>
      <c r="F62" s="1970"/>
      <c r="G62" s="2029"/>
      <c r="H62" s="2030"/>
      <c r="I62" s="2030"/>
      <c r="J62" s="2030"/>
      <c r="K62" s="2030"/>
      <c r="L62" s="2030"/>
      <c r="M62" s="2030"/>
      <c r="N62" s="1973">
        <f t="shared" si="4"/>
        <v>0</v>
      </c>
    </row>
    <row r="63" spans="1:14" ht="24" customHeight="1" x14ac:dyDescent="0.2">
      <c r="A63" s="2437" t="s">
        <v>1022</v>
      </c>
      <c r="B63" s="2438"/>
      <c r="C63" s="2438"/>
      <c r="D63" s="1965">
        <v>2367</v>
      </c>
      <c r="E63" s="1975">
        <f>'Expenditures 15-22'!K325</f>
        <v>0</v>
      </c>
      <c r="F63" s="1970"/>
      <c r="G63" s="2029"/>
      <c r="H63" s="2030"/>
      <c r="I63" s="2030"/>
      <c r="J63" s="2030"/>
      <c r="K63" s="2030"/>
      <c r="L63" s="2030"/>
      <c r="M63" s="2030"/>
      <c r="N63" s="1973">
        <f t="shared" si="4"/>
        <v>0</v>
      </c>
    </row>
    <row r="64" spans="1:14" ht="24" customHeight="1" x14ac:dyDescent="0.2">
      <c r="A64" s="2460" t="s">
        <v>1023</v>
      </c>
      <c r="B64" s="2461"/>
      <c r="C64" s="2461"/>
      <c r="D64" s="1965">
        <v>2368</v>
      </c>
      <c r="E64" s="1975">
        <f>'Expenditures 15-22'!K326</f>
        <v>0</v>
      </c>
      <c r="F64" s="1970"/>
      <c r="G64" s="2029"/>
      <c r="H64" s="2030"/>
      <c r="I64" s="2030"/>
      <c r="J64" s="2030"/>
      <c r="K64" s="2030"/>
      <c r="L64" s="2030"/>
      <c r="M64" s="2030"/>
      <c r="N64" s="1973">
        <f t="shared" si="4"/>
        <v>0</v>
      </c>
    </row>
    <row r="65" spans="1:14" ht="24" customHeight="1" x14ac:dyDescent="0.2">
      <c r="A65" s="2460" t="s">
        <v>965</v>
      </c>
      <c r="B65" s="2461"/>
      <c r="C65" s="2461"/>
      <c r="D65" s="1965">
        <v>2369</v>
      </c>
      <c r="E65" s="1975">
        <f>'Expenditures 15-22'!K327</f>
        <v>2175</v>
      </c>
      <c r="F65" s="1970"/>
      <c r="G65" s="2029"/>
      <c r="H65" s="2030"/>
      <c r="I65" s="2030"/>
      <c r="J65" s="2030"/>
      <c r="K65" s="2030"/>
      <c r="L65" s="2030"/>
      <c r="M65" s="2030">
        <v>2175</v>
      </c>
      <c r="N65" s="1973">
        <f t="shared" si="4"/>
        <v>2175</v>
      </c>
    </row>
    <row r="66" spans="1:14" ht="24" customHeight="1" x14ac:dyDescent="0.2">
      <c r="A66" s="2460" t="s">
        <v>469</v>
      </c>
      <c r="B66" s="2461"/>
      <c r="C66" s="2461"/>
      <c r="D66" s="1965">
        <v>2371</v>
      </c>
      <c r="E66" s="1975">
        <f>'Expenditures 15-22'!K328</f>
        <v>8389</v>
      </c>
      <c r="F66" s="1970"/>
      <c r="G66" s="2029"/>
      <c r="H66" s="2030"/>
      <c r="I66" s="2030"/>
      <c r="J66" s="2030"/>
      <c r="K66" s="2030"/>
      <c r="L66" s="2030"/>
      <c r="M66" s="2030">
        <v>8389</v>
      </c>
      <c r="N66" s="1973">
        <f t="shared" si="4"/>
        <v>8389</v>
      </c>
    </row>
    <row r="67" spans="1:14" ht="24.75" customHeight="1" x14ac:dyDescent="0.2">
      <c r="A67" s="2462" t="s">
        <v>2042</v>
      </c>
      <c r="B67" s="2463"/>
      <c r="C67" s="2463"/>
      <c r="D67" s="1967">
        <v>2372</v>
      </c>
      <c r="E67" s="1976">
        <f>'Expenditures 15-22'!K329</f>
        <v>717</v>
      </c>
      <c r="F67" s="1970"/>
      <c r="G67" s="2031"/>
      <c r="H67" s="2032"/>
      <c r="I67" s="2032"/>
      <c r="J67" s="2032"/>
      <c r="K67" s="2032"/>
      <c r="L67" s="2032"/>
      <c r="M67" s="2032">
        <v>717</v>
      </c>
      <c r="N67" s="1973">
        <f t="shared" si="4"/>
        <v>717</v>
      </c>
    </row>
    <row r="68" spans="1:14" x14ac:dyDescent="0.2">
      <c r="A68" s="2464" t="s">
        <v>1151</v>
      </c>
      <c r="B68" s="2465"/>
      <c r="C68" s="2465"/>
      <c r="D68" s="1968"/>
      <c r="E68" s="1972">
        <f>SUM(E57:E67)</f>
        <v>99237</v>
      </c>
      <c r="F68" s="1971"/>
      <c r="G68" s="1972">
        <f t="shared" ref="G68:N68" si="5">SUM(G57:G67)</f>
        <v>10000</v>
      </c>
      <c r="H68" s="1972">
        <f t="shared" si="5"/>
        <v>0</v>
      </c>
      <c r="I68" s="1972">
        <f t="shared" si="5"/>
        <v>0</v>
      </c>
      <c r="J68" s="1972">
        <f t="shared" si="5"/>
        <v>0</v>
      </c>
      <c r="K68" s="1972">
        <f t="shared" si="5"/>
        <v>0</v>
      </c>
      <c r="L68" s="1972">
        <f t="shared" si="5"/>
        <v>0</v>
      </c>
      <c r="M68" s="1972">
        <f t="shared" si="5"/>
        <v>89237</v>
      </c>
      <c r="N68" s="1986">
        <f t="shared" si="5"/>
        <v>99237</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2043</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3"/>
  <sheetViews>
    <sheetView showGridLines="0" zoomScale="110" zoomScaleNormal="110" workbookViewId="0">
      <selection activeCell="B19" sqref="B19"/>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c r="B5" s="2033" t="s">
        <v>1145</v>
      </c>
    </row>
    <row r="6" spans="1:2" x14ac:dyDescent="0.2">
      <c r="A6" s="847">
        <v>1</v>
      </c>
      <c r="B6" s="307" t="s">
        <v>2071</v>
      </c>
    </row>
    <row r="7" spans="1:2" x14ac:dyDescent="0.2">
      <c r="A7" s="847">
        <v>2</v>
      </c>
      <c r="B7" s="307" t="s">
        <v>2106</v>
      </c>
    </row>
    <row r="8" spans="1:2" x14ac:dyDescent="0.2">
      <c r="A8" s="847">
        <v>3</v>
      </c>
      <c r="B8" s="548" t="s">
        <v>2070</v>
      </c>
    </row>
    <row r="9" spans="1:2" x14ac:dyDescent="0.2">
      <c r="A9" s="847">
        <v>4</v>
      </c>
      <c r="B9" s="548" t="s">
        <v>2072</v>
      </c>
    </row>
    <row r="10" spans="1:2" x14ac:dyDescent="0.2">
      <c r="A10" s="847"/>
    </row>
    <row r="11" spans="1:2" x14ac:dyDescent="0.2">
      <c r="A11" s="848"/>
      <c r="B11" s="2033" t="s">
        <v>865</v>
      </c>
    </row>
    <row r="12" spans="1:2" x14ac:dyDescent="0.2">
      <c r="A12" s="848">
        <v>1</v>
      </c>
      <c r="B12" s="548" t="s">
        <v>2107</v>
      </c>
    </row>
    <row r="13" spans="1:2" x14ac:dyDescent="0.2">
      <c r="A13" s="848"/>
    </row>
    <row r="14" spans="1:2" x14ac:dyDescent="0.2">
      <c r="A14" s="848"/>
      <c r="B14" s="2033" t="s">
        <v>154</v>
      </c>
    </row>
    <row r="15" spans="1:2" x14ac:dyDescent="0.2">
      <c r="A15" s="848">
        <v>1</v>
      </c>
      <c r="B15" s="548" t="s">
        <v>2108</v>
      </c>
    </row>
    <row r="16" spans="1:2" x14ac:dyDescent="0.2">
      <c r="A16" s="848"/>
    </row>
    <row r="17" spans="1:2" x14ac:dyDescent="0.2">
      <c r="A17" s="848"/>
      <c r="B17" s="2033" t="s">
        <v>2069</v>
      </c>
    </row>
    <row r="18" spans="1:2" x14ac:dyDescent="0.2">
      <c r="A18" s="848">
        <v>1</v>
      </c>
      <c r="B18" s="548" t="s">
        <v>2109</v>
      </c>
    </row>
    <row r="19" spans="1:2" x14ac:dyDescent="0.2">
      <c r="A19" s="848"/>
    </row>
    <row r="20" spans="1:2" x14ac:dyDescent="0.2">
      <c r="A20" s="848"/>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c r="B62" s="253" t="str">
        <f>COVER!A17</f>
        <v>North Wayne CUSD 200</v>
      </c>
    </row>
    <row r="63" spans="1:2" x14ac:dyDescent="0.2">
      <c r="B63" s="849">
        <f>COVER!A13</f>
        <v>20096200026</v>
      </c>
    </row>
  </sheetData>
  <phoneticPr fontId="15" type="noConversion"/>
  <pageMargins left="0.2" right="0.2" top="1.17" bottom="0.75" header="0.19" footer="0.16"/>
  <pageSetup scale="80" firstPageNumber="34" orientation="portrait"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82" zoomScale="110" zoomScaleNormal="110" workbookViewId="0">
      <selection activeCell="B32" sqref="B3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5"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view="pageLayout" zoomScaleNormal="110" workbookViewId="0">
      <selection activeCell="B9" sqref="B9"/>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5</xdr:row>
                <xdr:rowOff>123825</xdr:rowOff>
              </from>
              <to>
                <xdr:col>1</xdr:col>
                <xdr:colOff>781050</xdr:colOff>
                <xdr:row>10</xdr:row>
                <xdr:rowOff>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1038225</xdr:colOff>
                <xdr:row>5</xdr:row>
                <xdr:rowOff>123825</xdr:rowOff>
              </from>
              <to>
                <xdr:col>1</xdr:col>
                <xdr:colOff>1952625</xdr:colOff>
                <xdr:row>10</xdr:row>
                <xdr:rowOff>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2219325</xdr:colOff>
                <xdr:row>5</xdr:row>
                <xdr:rowOff>123825</xdr:rowOff>
              </from>
              <to>
                <xdr:col>1</xdr:col>
                <xdr:colOff>3133725</xdr:colOff>
                <xdr:row>10</xdr:row>
                <xdr:rowOff>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3" r:id="rId10">
          <objectPr defaultSize="0" r:id="rId11">
            <anchor moveWithCells="1">
              <from>
                <xdr:col>1</xdr:col>
                <xdr:colOff>3362325</xdr:colOff>
                <xdr:row>5</xdr:row>
                <xdr:rowOff>104775</xdr:rowOff>
              </from>
              <to>
                <xdr:col>2</xdr:col>
                <xdr:colOff>95250</xdr:colOff>
                <xdr:row>9</xdr:row>
                <xdr:rowOff>142875</xdr:rowOff>
              </to>
            </anchor>
          </objectPr>
        </oleObject>
      </mc:Choice>
      <mc:Fallback>
        <oleObject progId="Acrobat Document" dvAspect="DVASPECT_ICON" shapeId="43013"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3"/>
      <c r="H2" s="853"/>
    </row>
    <row r="3" spans="1:8" ht="57" customHeight="1" x14ac:dyDescent="0.2">
      <c r="A3" s="2480" t="s">
        <v>1972</v>
      </c>
      <c r="B3" s="2481"/>
      <c r="C3" s="2481"/>
      <c r="D3" s="2481"/>
      <c r="E3" s="2481"/>
      <c r="F3" s="2482"/>
      <c r="G3" s="853"/>
      <c r="H3" s="853"/>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3"/>
      <c r="H4" s="853"/>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3"/>
      <c r="H5" s="853"/>
    </row>
    <row r="6" spans="1:8" s="854" customFormat="1" ht="41.25" customHeight="1" x14ac:dyDescent="0.2">
      <c r="A6" s="2483" t="s">
        <v>1670</v>
      </c>
      <c r="B6" s="2484"/>
      <c r="C6" s="2484"/>
      <c r="D6" s="2484"/>
      <c r="E6" s="2484"/>
      <c r="F6" s="248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3685915</v>
      </c>
      <c r="C8" s="1813">
        <f>'Acct Summary 7-8'!D8</f>
        <v>676733</v>
      </c>
      <c r="D8" s="1813">
        <f>'Acct Summary 7-8'!F8</f>
        <v>364427</v>
      </c>
      <c r="E8" s="1813">
        <f>'Acct Summary 7-8'!I8</f>
        <v>25519</v>
      </c>
      <c r="F8" s="1813">
        <f>SUM(B8:E8)</f>
        <v>4752594</v>
      </c>
    </row>
    <row r="9" spans="1:8" s="858" customFormat="1" ht="14.25" customHeight="1" thickBot="1" x14ac:dyDescent="0.25">
      <c r="A9" s="857" t="s">
        <v>1353</v>
      </c>
      <c r="B9" s="1814">
        <f>'Acct Summary 7-8'!C17</f>
        <v>3463335</v>
      </c>
      <c r="C9" s="1814">
        <f>'Acct Summary 7-8'!D17</f>
        <v>640764</v>
      </c>
      <c r="D9" s="1814">
        <f>'Acct Summary 7-8'!F17</f>
        <v>261922</v>
      </c>
      <c r="E9" s="1813"/>
      <c r="F9" s="1813">
        <f>SUM(B9:E9)</f>
        <v>4366021</v>
      </c>
    </row>
    <row r="10" spans="1:8" s="858" customFormat="1" ht="14.25" thickTop="1" thickBot="1" x14ac:dyDescent="0.25">
      <c r="A10" s="859" t="s">
        <v>1354</v>
      </c>
      <c r="B10" s="1815">
        <f>(B8-B9)</f>
        <v>222580</v>
      </c>
      <c r="C10" s="1815">
        <f>(C8-C9)</f>
        <v>35969</v>
      </c>
      <c r="D10" s="1815">
        <f>(D8-D9)</f>
        <v>102505</v>
      </c>
      <c r="E10" s="1814">
        <f>(E8-E9)</f>
        <v>25519</v>
      </c>
      <c r="F10" s="1816">
        <f>SUM(F8-F9)</f>
        <v>386573</v>
      </c>
    </row>
    <row r="11" spans="1:8" s="858" customFormat="1" ht="14.25" thickTop="1" thickBot="1" x14ac:dyDescent="0.25">
      <c r="A11" s="860" t="s">
        <v>1903</v>
      </c>
      <c r="B11" s="1817">
        <f>'Acct Summary 7-8'!C81</f>
        <v>2084700</v>
      </c>
      <c r="C11" s="1817">
        <f>'Acct Summary 7-8'!D81</f>
        <v>1157624</v>
      </c>
      <c r="D11" s="1817">
        <f>'Acct Summary 7-8'!F81</f>
        <v>482739</v>
      </c>
      <c r="E11" s="1817">
        <f>'Acct Summary 7-8'!I81</f>
        <v>387963</v>
      </c>
      <c r="F11" s="1818">
        <f>SUM(B11:E11)</f>
        <v>4113026</v>
      </c>
    </row>
    <row r="12" spans="1:8" ht="16.5" customHeight="1" thickTop="1" x14ac:dyDescent="0.2">
      <c r="A12" s="861"/>
      <c r="B12" s="862"/>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3"/>
      <c r="B13" s="864"/>
      <c r="C13" s="2471"/>
      <c r="D13" s="2472"/>
      <c r="E13" s="2472"/>
      <c r="F13" s="2473"/>
      <c r="H13" s="853"/>
    </row>
    <row r="14" spans="1:8" ht="19.5" customHeight="1" x14ac:dyDescent="0.2">
      <c r="A14" s="863"/>
      <c r="B14" s="864"/>
      <c r="C14" s="2471"/>
      <c r="D14" s="2472"/>
      <c r="E14" s="2472"/>
      <c r="F14" s="2473"/>
      <c r="H14" s="853"/>
    </row>
    <row r="15" spans="1:8" ht="17.25" customHeight="1" x14ac:dyDescent="0.2">
      <c r="A15" s="863"/>
      <c r="B15" s="864"/>
      <c r="C15" s="2474"/>
      <c r="D15" s="2475"/>
      <c r="E15" s="2475"/>
      <c r="F15" s="2476"/>
      <c r="H15" s="853"/>
    </row>
    <row r="16" spans="1:8" s="288" customFormat="1" ht="51.75" hidden="1" customHeight="1" x14ac:dyDescent="0.2">
      <c r="A16" s="2470" t="s">
        <v>1666</v>
      </c>
      <c r="B16" s="2470"/>
      <c r="C16" s="2470"/>
      <c r="D16" s="2470"/>
      <c r="E16" s="247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1" colorId="8" zoomScale="110" zoomScaleNormal="110" workbookViewId="0">
      <selection activeCell="C88" sqref="C8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2" t="s">
        <v>660</v>
      </c>
      <c r="B3" s="2493"/>
      <c r="C3" s="2493"/>
      <c r="D3" s="2494"/>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3" t="s">
        <v>1487</v>
      </c>
      <c r="D7" s="2504"/>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7" t="s">
        <v>311</v>
      </c>
      <c r="D21" s="2508"/>
    </row>
    <row r="22" spans="1:10" ht="12.75" x14ac:dyDescent="0.2">
      <c r="A22" s="918"/>
      <c r="B22" s="919">
        <v>2</v>
      </c>
      <c r="C22" s="2505" t="s">
        <v>1507</v>
      </c>
      <c r="D22" s="250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9" t="s">
        <v>533</v>
      </c>
      <c r="D43" s="251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1" t="s">
        <v>779</v>
      </c>
      <c r="D56" s="250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1" t="s">
        <v>1674</v>
      </c>
      <c r="D70" s="250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899" t="str">
        <f>IF('Contracts Paid in CY 29'!$D$35&gt;0,"OK","PLEASE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8" t="s">
        <v>1978</v>
      </c>
    </row>
    <row r="2" spans="1:7" ht="15.75" x14ac:dyDescent="0.25">
      <c r="A2" t="s">
        <v>260</v>
      </c>
      <c r="B2" s="135">
        <f>COVER!A13</f>
        <v>20096200026</v>
      </c>
      <c r="E2" s="1542">
        <v>2020</v>
      </c>
      <c r="F2" s="1542">
        <v>1</v>
      </c>
      <c r="G2" s="1897">
        <v>101000300</v>
      </c>
    </row>
    <row r="3" spans="1:7" ht="15" x14ac:dyDescent="0.25">
      <c r="A3" t="s">
        <v>950</v>
      </c>
      <c r="B3" s="135" t="str">
        <f>COVER!A15</f>
        <v>Wayne</v>
      </c>
      <c r="E3" s="1830" t="s">
        <v>1971</v>
      </c>
      <c r="F3" s="1830" t="s">
        <v>1970</v>
      </c>
      <c r="G3" s="1897">
        <v>101000400</v>
      </c>
    </row>
    <row r="4" spans="1:7" ht="15" x14ac:dyDescent="0.25">
      <c r="A4" t="s">
        <v>1000</v>
      </c>
      <c r="B4" s="135" t="str">
        <f>COVER!A17</f>
        <v>North Wayne CUSD 200</v>
      </c>
      <c r="E4" s="1828">
        <v>44119</v>
      </c>
      <c r="F4" s="1829">
        <v>44151</v>
      </c>
      <c r="G4" s="1897">
        <v>101000600</v>
      </c>
    </row>
    <row r="5" spans="1:7" ht="15" x14ac:dyDescent="0.25">
      <c r="A5" t="s">
        <v>699</v>
      </c>
      <c r="B5" s="135" t="str">
        <f>COVER!A38</f>
        <v>Lucas Schroeder</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f>COVER!T38</f>
        <v>0</v>
      </c>
      <c r="G8" s="1897">
        <v>102100600</v>
      </c>
    </row>
    <row r="9" spans="1:7" ht="15" x14ac:dyDescent="0.25">
      <c r="A9" s="3" t="s">
        <v>951</v>
      </c>
      <c r="B9" s="153" t="str">
        <f>AUDITCHECK!D23</f>
        <v>CASH</v>
      </c>
      <c r="G9" s="1897">
        <v>102100800</v>
      </c>
    </row>
    <row r="10" spans="1:7" ht="15" x14ac:dyDescent="0.25">
      <c r="A10" t="s">
        <v>970</v>
      </c>
      <c r="B10" s="135">
        <f>COVER!B5</f>
        <v>0</v>
      </c>
      <c r="G10" s="1897">
        <v>202100300</v>
      </c>
    </row>
    <row r="11" spans="1:7" ht="15" x14ac:dyDescent="0.25">
      <c r="A11" t="s">
        <v>971</v>
      </c>
      <c r="B11" s="135">
        <f>COVER!B6</f>
        <v>0</v>
      </c>
      <c r="G11" s="1897">
        <v>202100400</v>
      </c>
    </row>
    <row r="12" spans="1:7" ht="15" x14ac:dyDescent="0.25">
      <c r="A12" s="1" t="s">
        <v>1526</v>
      </c>
      <c r="B12" s="135" t="str">
        <f>IF(COVER!J29="x","Yes",IF(COVER!L29="X","No",0))</f>
        <v>No</v>
      </c>
      <c r="G12" s="1897">
        <v>202100600</v>
      </c>
    </row>
    <row r="13" spans="1:7" ht="15" x14ac:dyDescent="0.25">
      <c r="A13" s="1" t="s">
        <v>1527</v>
      </c>
      <c r="B13" s="135" t="str">
        <f>IF(COVER!J30="x","Yes",IF(COVER!L30="x","No",0))</f>
        <v>No</v>
      </c>
      <c r="G13" s="1897">
        <v>202100800</v>
      </c>
    </row>
    <row r="14" spans="1:7" ht="15" x14ac:dyDescent="0.25">
      <c r="A14" t="s">
        <v>473</v>
      </c>
      <c r="B14" s="135" t="str">
        <f>IF(COVER!J31="x","Yes",IF(COVER!L31="x","No",0))</f>
        <v>Yes</v>
      </c>
      <c r="G14" s="1897">
        <v>402100300</v>
      </c>
    </row>
    <row r="15" spans="1:7" ht="15" x14ac:dyDescent="0.25">
      <c r="A15" t="s">
        <v>573</v>
      </c>
      <c r="B15" s="135">
        <f>COVER!T23</f>
        <v>65.032562999999996</v>
      </c>
      <c r="G15" s="1897">
        <v>402100400</v>
      </c>
    </row>
    <row r="16" spans="1:7" ht="15" x14ac:dyDescent="0.25">
      <c r="A16" t="s">
        <v>419</v>
      </c>
      <c r="B16" s="135" t="str">
        <f>COVER!T13</f>
        <v>Kemper CPA Group LLP</v>
      </c>
      <c r="G16" s="1897">
        <v>402100600</v>
      </c>
    </row>
    <row r="17" spans="1:7" ht="15" x14ac:dyDescent="0.25">
      <c r="A17" t="s">
        <v>878</v>
      </c>
      <c r="B17" s="135" t="str">
        <f>COVER!T15</f>
        <v>Krista McLaren</v>
      </c>
      <c r="G17" s="1897">
        <v>402100800</v>
      </c>
    </row>
    <row r="18" spans="1:7" ht="15" x14ac:dyDescent="0.25">
      <c r="A18" t="s">
        <v>1140</v>
      </c>
      <c r="B18" s="135" t="str">
        <f>COVER!T17</f>
        <v>703 W. Main St</v>
      </c>
      <c r="G18" s="1897">
        <v>102200300</v>
      </c>
    </row>
    <row r="19" spans="1:7" ht="15" x14ac:dyDescent="0.25">
      <c r="A19" t="s">
        <v>880</v>
      </c>
      <c r="B19" s="135" t="str">
        <f>COVER!T25</f>
        <v>kmclaren@kempercpa.com</v>
      </c>
      <c r="G19" s="1897">
        <v>102200400</v>
      </c>
    </row>
    <row r="20" spans="1:7" ht="15" x14ac:dyDescent="0.25">
      <c r="A20" t="s">
        <v>881</v>
      </c>
      <c r="B20" s="135" t="str">
        <f>COVER!T19</f>
        <v>Olney</v>
      </c>
      <c r="G20" s="1897">
        <v>102200600</v>
      </c>
    </row>
    <row r="21" spans="1:7" ht="15" x14ac:dyDescent="0.25">
      <c r="A21" t="s">
        <v>476</v>
      </c>
      <c r="B21" s="135" t="str">
        <f>COVER!X19</f>
        <v>IL</v>
      </c>
      <c r="G21" s="1897">
        <v>102200800</v>
      </c>
    </row>
    <row r="22" spans="1:7" ht="15" x14ac:dyDescent="0.25">
      <c r="A22" t="s">
        <v>882</v>
      </c>
      <c r="B22" s="135">
        <f>COVER!Z19</f>
        <v>62450</v>
      </c>
      <c r="G22" s="1897">
        <v>102300300</v>
      </c>
    </row>
    <row r="23" spans="1:7" ht="15" x14ac:dyDescent="0.25">
      <c r="A23" t="s">
        <v>1142</v>
      </c>
      <c r="B23" s="135" t="str">
        <f>COVER!T21</f>
        <v>618-395-2105</v>
      </c>
      <c r="G23" s="1897">
        <v>102300400</v>
      </c>
    </row>
    <row r="24" spans="1:7" ht="15" x14ac:dyDescent="0.25">
      <c r="A24" t="s">
        <v>1141</v>
      </c>
      <c r="B24" s="135">
        <f>COVER!Y21</f>
        <v>0</v>
      </c>
      <c r="G24" s="1897">
        <v>102300600</v>
      </c>
    </row>
    <row r="25" spans="1:7" ht="15" x14ac:dyDescent="0.25">
      <c r="A25" t="s">
        <v>756</v>
      </c>
      <c r="B25" s="135">
        <f>COVER!B34</f>
        <v>0</v>
      </c>
      <c r="G25" s="1897">
        <v>102300800</v>
      </c>
    </row>
    <row r="26" spans="1:7" ht="15" x14ac:dyDescent="0.25">
      <c r="A26" t="s">
        <v>1143</v>
      </c>
      <c r="B26" s="135">
        <f>COVER!L34</f>
        <v>0</v>
      </c>
      <c r="G26" s="1897">
        <v>802300300</v>
      </c>
    </row>
    <row r="27" spans="1:7" ht="15" x14ac:dyDescent="0.25">
      <c r="A27" t="s">
        <v>266</v>
      </c>
      <c r="B27" s="135">
        <f>COVER!U34</f>
        <v>0</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0</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0</v>
      </c>
      <c r="G49" s="1897">
        <v>102540800</v>
      </c>
    </row>
    <row r="50" spans="1:7" ht="15" x14ac:dyDescent="0.25">
      <c r="A50" s="1" t="s">
        <v>1463</v>
      </c>
      <c r="B50" s="146">
        <f>'Aud Quest 2'!H53</f>
        <v>0</v>
      </c>
      <c r="G50" s="1897">
        <v>202540300</v>
      </c>
    </row>
    <row r="51" spans="1:7" ht="15" x14ac:dyDescent="0.25">
      <c r="A51" s="1" t="s">
        <v>1465</v>
      </c>
      <c r="B51" s="135" t="str">
        <f>IF('Aud Quest 2'!B54="x","Yes",IF('Aud Quest 2'!B54&lt;&gt;"x","0"))</f>
        <v>Yes</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2"/>
      <c r="D62" s="2" t="str">
        <f>IF(ISBLANK(B62),"OK",IF(A62-B62=0,"OK","Error?"))</f>
        <v>OK</v>
      </c>
      <c r="G62" s="1897">
        <v>202550300</v>
      </c>
    </row>
    <row r="63" spans="1:7" ht="15" x14ac:dyDescent="0.25">
      <c r="A63" s="10">
        <v>2</v>
      </c>
      <c r="B63" s="1832"/>
      <c r="D63" s="2" t="str">
        <f t="shared" ref="D63:D126" si="0">IF(ISBLANK(B63),"OK",IF(A63-B63=0,"OK","Error?"))</f>
        <v>OK</v>
      </c>
      <c r="G63" s="1897">
        <v>202550400</v>
      </c>
    </row>
    <row r="64" spans="1:7" ht="15" x14ac:dyDescent="0.25">
      <c r="A64" s="10">
        <v>3</v>
      </c>
      <c r="B64" s="1832"/>
      <c r="D64" s="2" t="str">
        <f t="shared" si="0"/>
        <v>OK</v>
      </c>
      <c r="G64" s="1897">
        <v>202550600</v>
      </c>
    </row>
    <row r="65" spans="1:7" ht="15" x14ac:dyDescent="0.25">
      <c r="A65" s="5">
        <v>4</v>
      </c>
      <c r="B65" s="1832">
        <f>'Assets-Liab 5-6'!C6</f>
        <v>0</v>
      </c>
      <c r="D65" s="2" t="str">
        <f t="shared" si="0"/>
        <v>Error?</v>
      </c>
      <c r="G65" s="1897">
        <v>202550800</v>
      </c>
    </row>
    <row r="66" spans="1:7" ht="15" x14ac:dyDescent="0.25">
      <c r="A66" s="10">
        <v>5</v>
      </c>
      <c r="B66" s="1832"/>
      <c r="D66" s="2" t="str">
        <f t="shared" si="0"/>
        <v>OK</v>
      </c>
      <c r="G66" s="1897">
        <v>402550300</v>
      </c>
    </row>
    <row r="67" spans="1:7" ht="15" x14ac:dyDescent="0.25">
      <c r="A67" s="10">
        <v>6</v>
      </c>
      <c r="B67" s="1832"/>
      <c r="D67" s="2" t="str">
        <f t="shared" si="0"/>
        <v>OK</v>
      </c>
      <c r="G67" s="1897">
        <v>402550400</v>
      </c>
    </row>
    <row r="68" spans="1:7" ht="15" x14ac:dyDescent="0.25">
      <c r="A68" s="10">
        <v>7</v>
      </c>
      <c r="B68" s="1832"/>
      <c r="D68" s="2" t="str">
        <f t="shared" si="0"/>
        <v>OK</v>
      </c>
      <c r="G68" s="1897">
        <v>402550600</v>
      </c>
    </row>
    <row r="69" spans="1:7" ht="15" x14ac:dyDescent="0.25">
      <c r="A69" s="10">
        <v>8</v>
      </c>
      <c r="B69" s="1832"/>
      <c r="D69" s="2" t="str">
        <f t="shared" si="0"/>
        <v>OK</v>
      </c>
      <c r="G69" s="1897">
        <v>402550800</v>
      </c>
    </row>
    <row r="70" spans="1:7" ht="15" x14ac:dyDescent="0.25">
      <c r="A70" s="10">
        <v>9</v>
      </c>
      <c r="B70" s="1832"/>
      <c r="D70" s="2" t="str">
        <f t="shared" si="0"/>
        <v>OK</v>
      </c>
      <c r="G70" s="1897">
        <v>102560300</v>
      </c>
    </row>
    <row r="71" spans="1:7" ht="15" x14ac:dyDescent="0.25">
      <c r="A71" s="10">
        <v>10</v>
      </c>
      <c r="B71" s="1832"/>
      <c r="D71" s="2" t="str">
        <f t="shared" si="0"/>
        <v>OK</v>
      </c>
      <c r="G71" s="1897">
        <v>102560400</v>
      </c>
    </row>
    <row r="72" spans="1:7" ht="15" x14ac:dyDescent="0.25">
      <c r="A72" s="5">
        <v>11</v>
      </c>
      <c r="B72" s="1832">
        <f>'Assets-Liab 5-6'!C10</f>
        <v>0</v>
      </c>
      <c r="D72" s="2" t="str">
        <f t="shared" si="0"/>
        <v>Error?</v>
      </c>
      <c r="G72" s="1897">
        <v>102560600</v>
      </c>
    </row>
    <row r="73" spans="1:7" ht="15" x14ac:dyDescent="0.25">
      <c r="A73" s="5">
        <v>12</v>
      </c>
      <c r="B73" s="1832">
        <f>'Assets-Liab 5-6'!C5</f>
        <v>0</v>
      </c>
      <c r="D73" s="2" t="str">
        <f t="shared" si="0"/>
        <v>Error?</v>
      </c>
      <c r="G73" s="1897">
        <v>102560800</v>
      </c>
    </row>
    <row r="74" spans="1:7" ht="15" x14ac:dyDescent="0.25">
      <c r="A74" s="10">
        <v>13</v>
      </c>
      <c r="B74" s="1832"/>
      <c r="D74" s="2" t="str">
        <f t="shared" si="0"/>
        <v>OK</v>
      </c>
      <c r="G74" s="1897">
        <v>102570300</v>
      </c>
    </row>
    <row r="75" spans="1:7" ht="15" x14ac:dyDescent="0.25">
      <c r="A75" s="10">
        <v>14</v>
      </c>
      <c r="B75" s="1832"/>
      <c r="D75" s="2" t="str">
        <f t="shared" si="0"/>
        <v>OK</v>
      </c>
      <c r="G75" s="1897">
        <v>102570400</v>
      </c>
    </row>
    <row r="76" spans="1:7" ht="15" x14ac:dyDescent="0.25">
      <c r="A76" s="5">
        <v>15</v>
      </c>
      <c r="B76" s="1832">
        <f>'Assets-Liab 5-6'!C12</f>
        <v>0</v>
      </c>
      <c r="D76" s="2" t="str">
        <f t="shared" si="0"/>
        <v>Error?</v>
      </c>
      <c r="G76" s="1897">
        <v>102570600</v>
      </c>
    </row>
    <row r="77" spans="1:7" ht="15" x14ac:dyDescent="0.25">
      <c r="A77" s="5">
        <v>16</v>
      </c>
      <c r="B77" s="1832">
        <f>'Assets-Liab 5-6'!C13</f>
        <v>2084700</v>
      </c>
      <c r="C77" s="2" t="s">
        <v>569</v>
      </c>
      <c r="D77" s="2" t="str">
        <f t="shared" si="0"/>
        <v>Error?</v>
      </c>
      <c r="G77" s="1897">
        <v>102570800</v>
      </c>
    </row>
    <row r="78" spans="1:7" ht="15" x14ac:dyDescent="0.25">
      <c r="A78" s="10">
        <v>17</v>
      </c>
      <c r="B78" s="1832"/>
      <c r="D78" s="2" t="str">
        <f t="shared" si="0"/>
        <v>OK</v>
      </c>
      <c r="G78" s="1897">
        <v>102610300</v>
      </c>
    </row>
    <row r="79" spans="1:7" ht="15" x14ac:dyDescent="0.25">
      <c r="A79" s="10">
        <v>18</v>
      </c>
      <c r="B79" s="1832"/>
      <c r="D79" s="2" t="str">
        <f t="shared" si="0"/>
        <v>OK</v>
      </c>
      <c r="G79" s="1897">
        <v>102610400</v>
      </c>
    </row>
    <row r="80" spans="1:7" ht="15" x14ac:dyDescent="0.25">
      <c r="A80" s="10">
        <v>19</v>
      </c>
      <c r="B80" s="1832"/>
      <c r="D80" s="2" t="str">
        <f t="shared" si="0"/>
        <v>OK</v>
      </c>
      <c r="G80" s="1897">
        <v>102610600</v>
      </c>
    </row>
    <row r="81" spans="1:7" ht="15" x14ac:dyDescent="0.25">
      <c r="A81" s="10">
        <v>20</v>
      </c>
      <c r="B81" s="1832"/>
      <c r="D81" s="2" t="str">
        <f t="shared" si="0"/>
        <v>OK</v>
      </c>
      <c r="G81" s="1897">
        <v>102610800</v>
      </c>
    </row>
    <row r="82" spans="1:7" ht="15" x14ac:dyDescent="0.25">
      <c r="A82" s="10">
        <v>21</v>
      </c>
      <c r="B82" s="1832"/>
      <c r="D82" s="2" t="str">
        <f t="shared" si="0"/>
        <v>OK</v>
      </c>
      <c r="G82" s="1897">
        <v>102620300</v>
      </c>
    </row>
    <row r="83" spans="1:7" ht="15" x14ac:dyDescent="0.25">
      <c r="A83" s="10">
        <v>22</v>
      </c>
      <c r="B83" s="1832"/>
      <c r="D83" s="2" t="str">
        <f t="shared" si="0"/>
        <v>OK</v>
      </c>
      <c r="G83" s="1897">
        <v>102620400</v>
      </c>
    </row>
    <row r="84" spans="1:7" ht="15" x14ac:dyDescent="0.25">
      <c r="A84" s="10">
        <v>23</v>
      </c>
      <c r="B84" s="1832"/>
      <c r="D84" s="2" t="str">
        <f t="shared" si="0"/>
        <v>OK</v>
      </c>
      <c r="G84" s="1897">
        <v>102620600</v>
      </c>
    </row>
    <row r="85" spans="1:7" ht="15" x14ac:dyDescent="0.25">
      <c r="A85" s="10">
        <v>24</v>
      </c>
      <c r="B85" s="1832"/>
      <c r="D85" s="2" t="str">
        <f t="shared" si="0"/>
        <v>OK</v>
      </c>
      <c r="G85" s="1897">
        <v>102620800</v>
      </c>
    </row>
    <row r="86" spans="1:7" ht="15" x14ac:dyDescent="0.25">
      <c r="A86" s="12">
        <v>25</v>
      </c>
      <c r="B86" s="1832">
        <f>'Assets-Liab 5-6'!C31</f>
        <v>0</v>
      </c>
      <c r="D86" s="2" t="str">
        <f t="shared" si="0"/>
        <v>Error?</v>
      </c>
      <c r="G86" s="1897">
        <v>102630300</v>
      </c>
    </row>
    <row r="87" spans="1:7" ht="15" x14ac:dyDescent="0.25">
      <c r="A87" s="10">
        <v>26</v>
      </c>
      <c r="B87" s="1832"/>
      <c r="D87" s="2" t="str">
        <f t="shared" si="0"/>
        <v>OK</v>
      </c>
      <c r="G87" s="1897">
        <v>102630400</v>
      </c>
    </row>
    <row r="88" spans="1:7" ht="15" x14ac:dyDescent="0.25">
      <c r="A88" s="5">
        <v>27</v>
      </c>
      <c r="B88" s="1832">
        <f>'Assets-Liab 5-6'!C32</f>
        <v>0</v>
      </c>
      <c r="D88" s="2" t="str">
        <f t="shared" si="0"/>
        <v>Error?</v>
      </c>
      <c r="G88" s="1897">
        <v>102630600</v>
      </c>
    </row>
    <row r="89" spans="1:7" ht="15" x14ac:dyDescent="0.25">
      <c r="A89" s="10">
        <v>28</v>
      </c>
      <c r="B89" s="1832"/>
      <c r="D89" s="2" t="str">
        <f t="shared" si="0"/>
        <v>OK</v>
      </c>
      <c r="G89" s="1897">
        <v>102630800</v>
      </c>
    </row>
    <row r="90" spans="1:7" ht="15" x14ac:dyDescent="0.25">
      <c r="A90" s="10">
        <v>29</v>
      </c>
      <c r="B90" s="1832"/>
      <c r="D90" s="2" t="str">
        <f t="shared" si="0"/>
        <v>OK</v>
      </c>
      <c r="G90" s="1897">
        <v>102640300</v>
      </c>
    </row>
    <row r="91" spans="1:7" ht="15" x14ac:dyDescent="0.25">
      <c r="A91" s="5">
        <v>30</v>
      </c>
      <c r="B91" s="1832">
        <f>'Assets-Liab 5-6'!C34</f>
        <v>0</v>
      </c>
      <c r="C91" s="2" t="s">
        <v>569</v>
      </c>
      <c r="D91" s="2" t="str">
        <f t="shared" si="0"/>
        <v>Error?</v>
      </c>
      <c r="G91" s="1897">
        <v>102640400</v>
      </c>
    </row>
    <row r="92" spans="1:7" ht="15" x14ac:dyDescent="0.25">
      <c r="A92" s="5">
        <v>31</v>
      </c>
      <c r="B92" s="1832">
        <f>'Assets-Liab 5-6'!C39</f>
        <v>2084700</v>
      </c>
      <c r="D92" s="2" t="str">
        <f t="shared" si="0"/>
        <v>Error?</v>
      </c>
      <c r="G92" s="1897">
        <v>102640600</v>
      </c>
    </row>
    <row r="93" spans="1:7" ht="15" x14ac:dyDescent="0.25">
      <c r="A93" s="5">
        <v>32</v>
      </c>
      <c r="B93" s="1832">
        <f>'Assets-Liab 5-6'!C41</f>
        <v>2084700</v>
      </c>
      <c r="C93" s="2" t="s">
        <v>569</v>
      </c>
      <c r="D93" s="2" t="str">
        <f t="shared" si="0"/>
        <v>Error?</v>
      </c>
      <c r="G93" s="1897">
        <v>102640800</v>
      </c>
    </row>
    <row r="94" spans="1:7" ht="15" x14ac:dyDescent="0.25">
      <c r="A94" s="10">
        <v>33</v>
      </c>
      <c r="B94" s="1832"/>
      <c r="D94" s="2" t="str">
        <f t="shared" si="0"/>
        <v>OK</v>
      </c>
      <c r="G94" s="1897">
        <v>102660300</v>
      </c>
    </row>
    <row r="95" spans="1:7" ht="15" x14ac:dyDescent="0.25">
      <c r="A95" s="10">
        <v>34</v>
      </c>
      <c r="B95" s="1832"/>
      <c r="D95" s="2" t="str">
        <f t="shared" si="0"/>
        <v>OK</v>
      </c>
      <c r="G95" s="1897">
        <v>102660400</v>
      </c>
    </row>
    <row r="96" spans="1:7" ht="15" x14ac:dyDescent="0.25">
      <c r="A96" s="10">
        <v>35</v>
      </c>
      <c r="B96" s="1832"/>
      <c r="D96" s="2" t="str">
        <f t="shared" si="0"/>
        <v>OK</v>
      </c>
      <c r="G96" s="1897">
        <v>102660600</v>
      </c>
    </row>
    <row r="97" spans="1:7" ht="15" x14ac:dyDescent="0.25">
      <c r="A97" s="5">
        <v>36</v>
      </c>
      <c r="B97" s="1832">
        <f>'Assets-Liab 5-6'!D6</f>
        <v>0</v>
      </c>
      <c r="D97" s="2" t="str">
        <f t="shared" si="0"/>
        <v>Error?</v>
      </c>
      <c r="G97" s="1897">
        <v>102660800</v>
      </c>
    </row>
    <row r="98" spans="1:7" ht="15" x14ac:dyDescent="0.25">
      <c r="A98" s="10">
        <v>37</v>
      </c>
      <c r="B98" s="1832"/>
      <c r="D98" s="2" t="str">
        <f t="shared" si="0"/>
        <v>OK</v>
      </c>
      <c r="G98" s="1897">
        <v>102900300</v>
      </c>
    </row>
    <row r="99" spans="1:7" ht="15" x14ac:dyDescent="0.25">
      <c r="A99" s="10">
        <v>38</v>
      </c>
      <c r="B99" s="1832"/>
      <c r="D99" s="2" t="str">
        <f t="shared" si="0"/>
        <v>OK</v>
      </c>
      <c r="G99" s="1897">
        <v>102900400</v>
      </c>
    </row>
    <row r="100" spans="1:7" ht="15" x14ac:dyDescent="0.25">
      <c r="A100" s="10">
        <v>39</v>
      </c>
      <c r="B100" s="1832"/>
      <c r="D100" s="2" t="str">
        <f t="shared" si="0"/>
        <v>OK</v>
      </c>
      <c r="G100" s="1897">
        <v>102900600</v>
      </c>
    </row>
    <row r="101" spans="1:7" ht="15" x14ac:dyDescent="0.25">
      <c r="A101" s="10">
        <v>40</v>
      </c>
      <c r="B101" s="1832"/>
      <c r="D101" s="2" t="str">
        <f t="shared" si="0"/>
        <v>OK</v>
      </c>
      <c r="G101" s="1897">
        <v>102900800</v>
      </c>
    </row>
    <row r="102" spans="1:7" ht="15" x14ac:dyDescent="0.25">
      <c r="A102" s="10">
        <v>41</v>
      </c>
      <c r="B102" s="1832"/>
      <c r="D102" s="2" t="str">
        <f t="shared" si="0"/>
        <v>OK</v>
      </c>
      <c r="G102" s="1897">
        <v>202900300</v>
      </c>
    </row>
    <row r="103" spans="1:7" ht="15" x14ac:dyDescent="0.25">
      <c r="A103" s="10">
        <v>42</v>
      </c>
      <c r="B103" s="1832"/>
      <c r="D103" s="2" t="str">
        <f t="shared" si="0"/>
        <v>OK</v>
      </c>
      <c r="G103" s="1897">
        <v>202900400</v>
      </c>
    </row>
    <row r="104" spans="1:7" ht="15" x14ac:dyDescent="0.25">
      <c r="A104" s="5">
        <v>43</v>
      </c>
      <c r="B104" s="1832">
        <f>'Assets-Liab 5-6'!D10</f>
        <v>0</v>
      </c>
      <c r="D104" s="2" t="str">
        <f t="shared" si="0"/>
        <v>Error?</v>
      </c>
      <c r="G104" s="1897">
        <v>202900600</v>
      </c>
    </row>
    <row r="105" spans="1:7" ht="15" x14ac:dyDescent="0.25">
      <c r="A105" s="5">
        <v>44</v>
      </c>
      <c r="B105" s="1832">
        <f>'Assets-Liab 5-6'!D5</f>
        <v>0</v>
      </c>
      <c r="D105" s="2" t="str">
        <f t="shared" si="0"/>
        <v>Error?</v>
      </c>
      <c r="G105" s="1897">
        <v>202900800</v>
      </c>
    </row>
    <row r="106" spans="1:7" ht="15" x14ac:dyDescent="0.25">
      <c r="A106" s="10">
        <v>45</v>
      </c>
      <c r="B106" s="1832"/>
      <c r="D106" s="2" t="str">
        <f t="shared" si="0"/>
        <v>OK</v>
      </c>
      <c r="G106" s="1897">
        <v>402900300</v>
      </c>
    </row>
    <row r="107" spans="1:7" ht="15" x14ac:dyDescent="0.25">
      <c r="A107" s="10">
        <v>46</v>
      </c>
      <c r="B107" s="1832"/>
      <c r="D107" s="2" t="str">
        <f t="shared" si="0"/>
        <v>OK</v>
      </c>
      <c r="G107" s="1897">
        <v>402900400</v>
      </c>
    </row>
    <row r="108" spans="1:7" ht="15" x14ac:dyDescent="0.25">
      <c r="A108" s="5">
        <v>47</v>
      </c>
      <c r="B108" s="1832">
        <f>'Assets-Liab 5-6'!D12</f>
        <v>0</v>
      </c>
      <c r="D108" s="2" t="str">
        <f t="shared" si="0"/>
        <v>Error?</v>
      </c>
      <c r="G108" s="1897">
        <v>402900600</v>
      </c>
    </row>
    <row r="109" spans="1:7" ht="15" x14ac:dyDescent="0.25">
      <c r="A109" s="5">
        <v>48</v>
      </c>
      <c r="B109" s="1832">
        <f>'Assets-Liab 5-6'!D13</f>
        <v>1157624</v>
      </c>
      <c r="C109" s="2" t="s">
        <v>569</v>
      </c>
      <c r="D109" s="2" t="str">
        <f t="shared" si="0"/>
        <v>Error?</v>
      </c>
      <c r="G109" s="1897">
        <v>402900800</v>
      </c>
    </row>
    <row r="110" spans="1:7" ht="15" x14ac:dyDescent="0.25">
      <c r="A110" s="10">
        <v>49</v>
      </c>
      <c r="B110" s="1832"/>
      <c r="D110" s="2" t="str">
        <f t="shared" si="0"/>
        <v>OK</v>
      </c>
      <c r="G110" s="1897">
        <v>602900300</v>
      </c>
    </row>
    <row r="111" spans="1:7" ht="15" x14ac:dyDescent="0.25">
      <c r="A111" s="10">
        <v>50</v>
      </c>
      <c r="B111" s="1832"/>
      <c r="D111" s="2" t="str">
        <f t="shared" si="0"/>
        <v>OK</v>
      </c>
      <c r="G111" s="1897">
        <v>602900400</v>
      </c>
    </row>
    <row r="112" spans="1:7" ht="15" x14ac:dyDescent="0.25">
      <c r="A112" s="10">
        <v>51</v>
      </c>
      <c r="B112" s="1832"/>
      <c r="D112" s="2" t="str">
        <f t="shared" si="0"/>
        <v>OK</v>
      </c>
      <c r="G112" s="1897">
        <v>602900600</v>
      </c>
    </row>
    <row r="113" spans="1:7" ht="15" x14ac:dyDescent="0.25">
      <c r="A113" s="10">
        <v>52</v>
      </c>
      <c r="B113" s="1832"/>
      <c r="D113" s="2" t="str">
        <f t="shared" si="0"/>
        <v>OK</v>
      </c>
      <c r="G113" s="1897">
        <v>602900800</v>
      </c>
    </row>
    <row r="114" spans="1:7" ht="15" x14ac:dyDescent="0.25">
      <c r="A114" s="10">
        <v>53</v>
      </c>
      <c r="B114" s="1832"/>
      <c r="D114" s="2" t="str">
        <f t="shared" si="0"/>
        <v>OK</v>
      </c>
      <c r="G114" s="1897">
        <v>902900300</v>
      </c>
    </row>
    <row r="115" spans="1:7" ht="15" x14ac:dyDescent="0.25">
      <c r="A115" s="10">
        <v>54</v>
      </c>
      <c r="B115" s="1832"/>
      <c r="D115" s="2" t="str">
        <f t="shared" si="0"/>
        <v>OK</v>
      </c>
      <c r="G115" s="1897">
        <v>902900400</v>
      </c>
    </row>
    <row r="116" spans="1:7" ht="15" x14ac:dyDescent="0.25">
      <c r="A116" s="10">
        <v>55</v>
      </c>
      <c r="B116" s="1832"/>
      <c r="D116" s="2" t="str">
        <f t="shared" si="0"/>
        <v>OK</v>
      </c>
      <c r="G116" s="1897">
        <v>902900600</v>
      </c>
    </row>
    <row r="117" spans="1:7" ht="15" x14ac:dyDescent="0.25">
      <c r="A117" s="5">
        <v>56</v>
      </c>
      <c r="B117" s="1832">
        <f>'Assets-Liab 5-6'!D31</f>
        <v>0</v>
      </c>
      <c r="D117" s="2" t="str">
        <f t="shared" si="0"/>
        <v>Error?</v>
      </c>
      <c r="G117" s="1897">
        <v>902900800</v>
      </c>
    </row>
    <row r="118" spans="1:7" ht="15" x14ac:dyDescent="0.25">
      <c r="A118" s="10">
        <v>57</v>
      </c>
      <c r="B118" s="1832"/>
      <c r="D118" s="2" t="str">
        <f t="shared" si="0"/>
        <v>OK</v>
      </c>
      <c r="G118" s="1897">
        <v>103000300</v>
      </c>
    </row>
    <row r="119" spans="1:7" ht="15" x14ac:dyDescent="0.25">
      <c r="A119" s="5">
        <v>58</v>
      </c>
      <c r="B119" s="1832">
        <f>'Assets-Liab 5-6'!D32</f>
        <v>0</v>
      </c>
      <c r="D119" s="2" t="str">
        <f t="shared" si="0"/>
        <v>Error?</v>
      </c>
      <c r="G119" s="1897">
        <v>103000400</v>
      </c>
    </row>
    <row r="120" spans="1:7" ht="15" x14ac:dyDescent="0.25">
      <c r="A120" s="10">
        <v>59</v>
      </c>
      <c r="B120" s="1832"/>
      <c r="D120" s="2" t="str">
        <f t="shared" si="0"/>
        <v>OK</v>
      </c>
      <c r="G120" s="1897">
        <v>103000600</v>
      </c>
    </row>
    <row r="121" spans="1:7" ht="15" x14ac:dyDescent="0.25">
      <c r="A121" s="10">
        <v>60</v>
      </c>
      <c r="B121" s="1832"/>
      <c r="D121" s="2" t="str">
        <f t="shared" si="0"/>
        <v>OK</v>
      </c>
      <c r="G121" s="1897">
        <v>103000800</v>
      </c>
    </row>
    <row r="122" spans="1:7" ht="15" x14ac:dyDescent="0.25">
      <c r="A122" s="5">
        <v>61</v>
      </c>
      <c r="B122" s="1832">
        <f>'Assets-Liab 5-6'!D34</f>
        <v>0</v>
      </c>
      <c r="C122" s="2" t="s">
        <v>569</v>
      </c>
      <c r="D122" s="2" t="str">
        <f t="shared" si="0"/>
        <v>Error?</v>
      </c>
      <c r="G122" s="1897">
        <v>203000300</v>
      </c>
    </row>
    <row r="123" spans="1:7" ht="15" x14ac:dyDescent="0.25">
      <c r="A123" s="5">
        <v>62</v>
      </c>
      <c r="B123" s="1832">
        <f>'Assets-Liab 5-6'!D39</f>
        <v>1093611</v>
      </c>
      <c r="D123" s="2" t="str">
        <f t="shared" si="0"/>
        <v>Error?</v>
      </c>
      <c r="G123" s="1897">
        <v>203000400</v>
      </c>
    </row>
    <row r="124" spans="1:7" ht="15" x14ac:dyDescent="0.25">
      <c r="A124" s="5">
        <v>63</v>
      </c>
      <c r="B124" s="1832">
        <f>'Assets-Liab 5-6'!D41</f>
        <v>1157624</v>
      </c>
      <c r="C124" s="2" t="s">
        <v>569</v>
      </c>
      <c r="D124" s="2" t="str">
        <f t="shared" si="0"/>
        <v>Error?</v>
      </c>
      <c r="G124" s="1897">
        <v>203000600</v>
      </c>
    </row>
    <row r="125" spans="1:7" ht="15" x14ac:dyDescent="0.25">
      <c r="A125" s="10">
        <v>64</v>
      </c>
      <c r="B125" s="1832"/>
      <c r="D125" s="2" t="str">
        <f t="shared" si="0"/>
        <v>OK</v>
      </c>
      <c r="G125" s="1897">
        <v>203000800</v>
      </c>
    </row>
    <row r="126" spans="1:7" ht="15" x14ac:dyDescent="0.25">
      <c r="A126" s="5">
        <v>65</v>
      </c>
      <c r="B126" s="1832">
        <f>'Assets-Liab 5-6'!E6</f>
        <v>0</v>
      </c>
      <c r="D126" s="2" t="str">
        <f t="shared" si="0"/>
        <v>Error?</v>
      </c>
      <c r="G126" s="1897">
        <v>403000300</v>
      </c>
    </row>
    <row r="127" spans="1:7" ht="15" x14ac:dyDescent="0.25">
      <c r="A127" s="10">
        <v>66</v>
      </c>
      <c r="B127" s="1832"/>
      <c r="D127" s="2" t="str">
        <f t="shared" ref="D127:D190" si="1">IF(ISBLANK(B127),"OK",IF(A127-B127=0,"OK","Error?"))</f>
        <v>OK</v>
      </c>
      <c r="G127" s="1897">
        <v>403000400</v>
      </c>
    </row>
    <row r="128" spans="1:7" ht="15" x14ac:dyDescent="0.25">
      <c r="A128" s="10">
        <v>67</v>
      </c>
      <c r="B128" s="1832"/>
      <c r="D128" s="2" t="str">
        <f t="shared" si="1"/>
        <v>OK</v>
      </c>
      <c r="G128" s="1897">
        <v>403000600</v>
      </c>
    </row>
    <row r="129" spans="1:7" ht="15" x14ac:dyDescent="0.25">
      <c r="A129" s="5">
        <v>68</v>
      </c>
      <c r="B129" s="1832">
        <f>'Assets-Liab 5-6'!E5</f>
        <v>0</v>
      </c>
      <c r="D129" s="2" t="str">
        <f t="shared" si="1"/>
        <v>Error?</v>
      </c>
      <c r="G129" s="1897">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482739</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482739</v>
      </c>
      <c r="D170" s="2" t="str">
        <f t="shared" si="1"/>
        <v>Error?</v>
      </c>
    </row>
    <row r="171" spans="1:4" x14ac:dyDescent="0.2">
      <c r="A171" s="5">
        <v>110</v>
      </c>
      <c r="B171" s="1832">
        <f>'Assets-Liab 5-6'!F41</f>
        <v>482739</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192657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129448</v>
      </c>
      <c r="D189" s="2" t="str">
        <f t="shared" si="1"/>
        <v>Error?</v>
      </c>
    </row>
    <row r="190" spans="1:4" x14ac:dyDescent="0.2">
      <c r="A190" s="5">
        <v>129</v>
      </c>
      <c r="B190" s="1832">
        <f>'Assets-Liab 5-6'!G41</f>
        <v>192657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37050</v>
      </c>
      <c r="D273" s="2" t="str">
        <f t="shared" si="3"/>
        <v>Error?</v>
      </c>
    </row>
    <row r="274" spans="1:4" x14ac:dyDescent="0.2">
      <c r="A274" s="5">
        <v>213</v>
      </c>
      <c r="B274" s="1832">
        <f>'Assets-Liab 5-6'!M17</f>
        <v>2605413</v>
      </c>
      <c r="D274" s="2" t="str">
        <f t="shared" si="3"/>
        <v>Error?</v>
      </c>
    </row>
    <row r="275" spans="1:4" x14ac:dyDescent="0.2">
      <c r="A275" s="5">
        <v>214</v>
      </c>
      <c r="B275" s="1832">
        <f>'Assets-Liab 5-6'!M18</f>
        <v>1630571</v>
      </c>
      <c r="D275" s="2" t="str">
        <f t="shared" si="3"/>
        <v>Error?</v>
      </c>
    </row>
    <row r="276" spans="1:4" x14ac:dyDescent="0.2">
      <c r="A276" s="5">
        <v>215</v>
      </c>
      <c r="B276" s="1832">
        <f>'Assets-Liab 5-6'!M19</f>
        <v>1280866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5553900</v>
      </c>
      <c r="C279" s="2" t="s">
        <v>569</v>
      </c>
      <c r="D279" s="2" t="str">
        <f t="shared" si="3"/>
        <v>Error?</v>
      </c>
    </row>
    <row r="280" spans="1:4" x14ac:dyDescent="0.2">
      <c r="A280" s="5">
        <v>219</v>
      </c>
      <c r="B280" s="1832">
        <f>'Assets-Liab 5-6'!M40</f>
        <v>5553900</v>
      </c>
      <c r="D280" s="2" t="str">
        <f t="shared" si="3"/>
        <v>Error?</v>
      </c>
    </row>
    <row r="281" spans="1:4" x14ac:dyDescent="0.2">
      <c r="A281" s="5">
        <v>220</v>
      </c>
      <c r="B281" s="1832">
        <f>'Assets-Liab 5-6'!M41</f>
        <v>5553900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1483414</v>
      </c>
      <c r="D705" s="2" t="str">
        <f t="shared" si="10"/>
        <v>Error?</v>
      </c>
    </row>
    <row r="706" spans="1:4" x14ac:dyDescent="0.2">
      <c r="A706" s="5">
        <v>645</v>
      </c>
      <c r="B706" s="1832">
        <f>'Expenditures 15-22'!C16</f>
        <v>1600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232977</v>
      </c>
      <c r="D717" s="2" t="str">
        <f t="shared" si="10"/>
        <v>Error?</v>
      </c>
    </row>
    <row r="718" spans="1:4" x14ac:dyDescent="0.2">
      <c r="A718" s="5">
        <v>657</v>
      </c>
      <c r="B718" s="1832">
        <f>'Expenditures 15-22'!C14</f>
        <v>49667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2221995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49451</v>
      </c>
      <c r="D722" s="2" t="str">
        <f t="shared" si="10"/>
        <v>Error?</v>
      </c>
    </row>
    <row r="723" spans="1:4" x14ac:dyDescent="0.2">
      <c r="A723" s="5">
        <v>662</v>
      </c>
      <c r="B723" s="1832">
        <f>'Expenditures 15-22'!C38</f>
        <v>29494</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44878</v>
      </c>
      <c r="D725" s="2" t="str">
        <f t="shared" si="10"/>
        <v>Error?</v>
      </c>
    </row>
    <row r="726" spans="1:4" x14ac:dyDescent="0.2">
      <c r="A726" s="5">
        <v>665</v>
      </c>
      <c r="B726" s="1832">
        <f>'Expenditures 15-22'!C41</f>
        <v>5916</v>
      </c>
      <c r="D726" s="2" t="str">
        <f t="shared" si="10"/>
        <v>Error?</v>
      </c>
    </row>
    <row r="727" spans="1:4" x14ac:dyDescent="0.2">
      <c r="A727" s="5">
        <v>666</v>
      </c>
      <c r="B727" s="1832">
        <f>'Expenditures 15-22'!C42</f>
        <v>129739</v>
      </c>
      <c r="C727" s="2" t="s">
        <v>569</v>
      </c>
      <c r="D727" s="2" t="str">
        <f t="shared" si="10"/>
        <v>Error?</v>
      </c>
    </row>
    <row r="728" spans="1:4" x14ac:dyDescent="0.2">
      <c r="A728" s="5">
        <v>667</v>
      </c>
      <c r="B728" s="1832">
        <f>'Expenditures 15-22'!C44</f>
        <v>2250</v>
      </c>
      <c r="D728" s="2" t="str">
        <f t="shared" si="10"/>
        <v>Error?</v>
      </c>
    </row>
    <row r="729" spans="1:4" x14ac:dyDescent="0.2">
      <c r="A729" s="5">
        <v>668</v>
      </c>
      <c r="B729" s="1832">
        <f>'Expenditures 15-22'!C45</f>
        <v>1683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3933</v>
      </c>
      <c r="C731" s="2" t="s">
        <v>569</v>
      </c>
      <c r="D731" s="2" t="str">
        <f t="shared" si="10"/>
        <v>Error?</v>
      </c>
    </row>
    <row r="732" spans="1:4" x14ac:dyDescent="0.2">
      <c r="A732" s="5">
        <v>671</v>
      </c>
      <c r="B732" s="1832">
        <f>'Expenditures 15-22'!C49</f>
        <v>3204</v>
      </c>
      <c r="D732" s="2" t="str">
        <f t="shared" si="10"/>
        <v>Error?</v>
      </c>
    </row>
    <row r="733" spans="1:4" x14ac:dyDescent="0.2">
      <c r="A733" s="5">
        <v>672</v>
      </c>
      <c r="B733" s="1832">
        <f>'Expenditures 15-22'!C50</f>
        <v>32750</v>
      </c>
      <c r="D733" s="2" t="str">
        <f t="shared" si="10"/>
        <v>Error?</v>
      </c>
    </row>
    <row r="734" spans="1:4" x14ac:dyDescent="0.2">
      <c r="A734" s="5">
        <v>673</v>
      </c>
      <c r="B734" s="1832">
        <f>'Expenditures 15-22'!C53</f>
        <v>35954</v>
      </c>
      <c r="C734" s="2" t="s">
        <v>569</v>
      </c>
      <c r="D734" s="2" t="str">
        <f t="shared" si="10"/>
        <v>Error?</v>
      </c>
    </row>
    <row r="735" spans="1:4" x14ac:dyDescent="0.2">
      <c r="A735" s="5">
        <v>674</v>
      </c>
      <c r="B735" s="1832">
        <f>'Expenditures 15-22'!C55</f>
        <v>285531</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285531</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73296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87208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160504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615661</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2837656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100880</v>
      </c>
      <c r="D763" s="2" t="str">
        <f t="shared" si="10"/>
        <v>Error?</v>
      </c>
    </row>
    <row r="764" spans="1:4" x14ac:dyDescent="0.2">
      <c r="A764" s="5">
        <v>703</v>
      </c>
      <c r="B764" s="1832">
        <f>'Expenditures 15-22'!D16</f>
        <v>12</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16036</v>
      </c>
      <c r="D775" s="2" t="str">
        <f t="shared" si="11"/>
        <v>Error?</v>
      </c>
    </row>
    <row r="776" spans="1:4" x14ac:dyDescent="0.2">
      <c r="A776" s="5">
        <v>715</v>
      </c>
      <c r="B776" s="1832">
        <f>'Expenditures 15-22'!D14</f>
        <v>576</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151274</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6653</v>
      </c>
      <c r="D780" s="2" t="str">
        <f t="shared" si="11"/>
        <v>Error?</v>
      </c>
    </row>
    <row r="781" spans="1:4" x14ac:dyDescent="0.2">
      <c r="A781" s="5">
        <v>720</v>
      </c>
      <c r="B781" s="1832">
        <f>'Expenditures 15-22'!D38</f>
        <v>11</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1183</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7847</v>
      </c>
      <c r="C785" s="2" t="s">
        <v>569</v>
      </c>
      <c r="D785" s="2" t="str">
        <f t="shared" si="11"/>
        <v>Error?</v>
      </c>
    </row>
    <row r="786" spans="1:4" x14ac:dyDescent="0.2">
      <c r="A786" s="5">
        <v>725</v>
      </c>
      <c r="B786" s="1832">
        <f>'Expenditures 15-22'!D44</f>
        <v>261</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261</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2582</v>
      </c>
      <c r="D791" s="2" t="str">
        <f t="shared" si="11"/>
        <v>Error?</v>
      </c>
    </row>
    <row r="792" spans="1:4" x14ac:dyDescent="0.2">
      <c r="A792" s="5">
        <v>731</v>
      </c>
      <c r="B792" s="1832">
        <f>'Expenditures 15-22'!D53</f>
        <v>2582</v>
      </c>
      <c r="C792" s="2" t="s">
        <v>569</v>
      </c>
      <c r="D792" s="2" t="str">
        <f t="shared" si="11"/>
        <v>Error?</v>
      </c>
    </row>
    <row r="793" spans="1:4" x14ac:dyDescent="0.2">
      <c r="A793" s="5">
        <v>732</v>
      </c>
      <c r="B793" s="1832">
        <f>'Expenditures 15-22'!D55</f>
        <v>22424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22424</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420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1224</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1644</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34758</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186032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8376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5741</v>
      </c>
      <c r="D833" s="2" t="str">
        <f t="shared" si="12"/>
        <v>Error?</v>
      </c>
    </row>
    <row r="834" spans="1:4" x14ac:dyDescent="0.2">
      <c r="A834" s="5">
        <v>773</v>
      </c>
      <c r="B834" s="1832">
        <f>'Expenditures 15-22'!E14</f>
        <v>12402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27881</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5191</v>
      </c>
      <c r="D838" s="2" t="str">
        <f t="shared" si="12"/>
        <v>Error?</v>
      </c>
    </row>
    <row r="839" spans="1:4" x14ac:dyDescent="0.2">
      <c r="A839" s="5">
        <v>778</v>
      </c>
      <c r="B839" s="1832">
        <f>'Expenditures 15-22'!E38</f>
        <v>1326</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622</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7139</v>
      </c>
      <c r="C843" s="2" t="s">
        <v>569</v>
      </c>
      <c r="D843" s="2" t="str">
        <f t="shared" si="12"/>
        <v>Error?</v>
      </c>
    </row>
    <row r="844" spans="1:4" x14ac:dyDescent="0.2">
      <c r="A844" s="5">
        <v>783</v>
      </c>
      <c r="B844" s="1832">
        <f>'Expenditures 15-22'!E44</f>
        <v>1058</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1058</v>
      </c>
      <c r="C847" s="2" t="s">
        <v>569</v>
      </c>
      <c r="D847" s="2" t="str">
        <f t="shared" si="12"/>
        <v>Error?</v>
      </c>
    </row>
    <row r="848" spans="1:4" x14ac:dyDescent="0.2">
      <c r="A848" s="5">
        <v>787</v>
      </c>
      <c r="B848" s="1832">
        <f>'Expenditures 15-22'!E49</f>
        <v>17758</v>
      </c>
      <c r="D848" s="2" t="str">
        <f t="shared" si="12"/>
        <v>Error?</v>
      </c>
    </row>
    <row r="849" spans="1:4" x14ac:dyDescent="0.2">
      <c r="A849" s="5">
        <v>788</v>
      </c>
      <c r="B849" s="1832">
        <f>'Expenditures 15-22'!E50</f>
        <v>3187</v>
      </c>
      <c r="D849" s="2" t="str">
        <f t="shared" si="12"/>
        <v>Error?</v>
      </c>
    </row>
    <row r="850" spans="1:4" x14ac:dyDescent="0.2">
      <c r="A850" s="5">
        <v>789</v>
      </c>
      <c r="B850" s="1832">
        <f>'Expenditures 15-22'!E53</f>
        <v>20945</v>
      </c>
      <c r="C850" s="2" t="s">
        <v>569</v>
      </c>
      <c r="D850" s="2" t="str">
        <f t="shared" si="12"/>
        <v>Error?</v>
      </c>
    </row>
    <row r="851" spans="1:4" x14ac:dyDescent="0.2">
      <c r="A851" s="5">
        <v>790</v>
      </c>
      <c r="B851" s="1832">
        <f>'Expenditures 15-22'!E55</f>
        <v>4771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4771</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2571</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2782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5353</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39266</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141031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58107</v>
      </c>
      <c r="D879" s="2" t="str">
        <f t="shared" si="12"/>
        <v>Error?</v>
      </c>
    </row>
    <row r="880" spans="1:4" x14ac:dyDescent="0.2">
      <c r="A880" s="5">
        <v>819</v>
      </c>
      <c r="B880" s="1832">
        <f>'Expenditures 15-22'!F16</f>
        <v>82</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24416</v>
      </c>
      <c r="D891" s="2" t="str">
        <f t="shared" si="12"/>
        <v>Error?</v>
      </c>
    </row>
    <row r="892" spans="1:4" x14ac:dyDescent="0.2">
      <c r="A892" s="5">
        <v>831</v>
      </c>
      <c r="B892" s="1832">
        <f>'Expenditures 15-22'!F14</f>
        <v>11776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101486</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393</v>
      </c>
      <c r="D896" s="2" t="str">
        <f t="shared" si="13"/>
        <v>Error?</v>
      </c>
    </row>
    <row r="897" spans="1:4" x14ac:dyDescent="0.2">
      <c r="A897" s="5">
        <v>836</v>
      </c>
      <c r="B897" s="1832">
        <f>'Expenditures 15-22'!F38</f>
        <v>3155</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543</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4091</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1803</v>
      </c>
      <c r="D906" s="2" t="str">
        <f t="shared" si="13"/>
        <v>Error?</v>
      </c>
    </row>
    <row r="907" spans="1:4" x14ac:dyDescent="0.2">
      <c r="A907" s="5">
        <v>846</v>
      </c>
      <c r="B907" s="1832">
        <f>'Expenditures 15-22'!F50</f>
        <v>321</v>
      </c>
      <c r="D907" s="2" t="str">
        <f t="shared" si="13"/>
        <v>Error?</v>
      </c>
    </row>
    <row r="908" spans="1:4" x14ac:dyDescent="0.2">
      <c r="A908" s="5">
        <v>847</v>
      </c>
      <c r="B908" s="1832">
        <f>'Expenditures 15-22'!F53</f>
        <v>2124</v>
      </c>
      <c r="C908" s="2" t="s">
        <v>569</v>
      </c>
      <c r="D908" s="2" t="str">
        <f t="shared" si="13"/>
        <v>Error?</v>
      </c>
    </row>
    <row r="909" spans="1:4" x14ac:dyDescent="0.2">
      <c r="A909" s="5">
        <v>848</v>
      </c>
      <c r="B909" s="1832">
        <f>'Expenditures 15-22'!F55</f>
        <v>19074</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19074</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2519</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89865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92384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117673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219159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5104</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3072</v>
      </c>
      <c r="D949" s="2" t="str">
        <f t="shared" si="13"/>
        <v>Error?</v>
      </c>
    </row>
    <row r="950" spans="1:4" x14ac:dyDescent="0.2">
      <c r="A950" s="5">
        <v>889</v>
      </c>
      <c r="B950" s="1832">
        <f>'Expenditures 15-22'!G14</f>
        <v>4284</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15265</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7095</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7095</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1069</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4870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5939</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13034</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28299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51158</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51158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1655881</v>
      </c>
      <c r="C1093" s="2" t="s">
        <v>569</v>
      </c>
      <c r="D1093" s="2" t="str">
        <f t="shared" si="16"/>
        <v>Error?</v>
      </c>
    </row>
    <row r="1094" spans="1:4" x14ac:dyDescent="0.2">
      <c r="A1094" s="5">
        <v>1033</v>
      </c>
      <c r="B1094" s="1832">
        <f>'Expenditures 15-22'!K16</f>
        <v>1694</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282242</v>
      </c>
      <c r="C1105" s="2" t="s">
        <v>569</v>
      </c>
      <c r="D1105" s="2" t="str">
        <f t="shared" si="16"/>
        <v>Error?</v>
      </c>
    </row>
    <row r="1106" spans="1:4" x14ac:dyDescent="0.2">
      <c r="A1106" s="5">
        <v>1045</v>
      </c>
      <c r="B1106" s="1832">
        <f>'Expenditures 15-22'!K14</f>
        <v>78705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2517901</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61688</v>
      </c>
      <c r="C1110" s="2" t="s">
        <v>569</v>
      </c>
      <c r="D1110" s="2" t="str">
        <f t="shared" si="16"/>
        <v>Error?</v>
      </c>
    </row>
    <row r="1111" spans="1:4" x14ac:dyDescent="0.2">
      <c r="A1111" s="5">
        <v>1050</v>
      </c>
      <c r="B1111" s="1832">
        <f>'Expenditures 15-22'!K38</f>
        <v>33986</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47226</v>
      </c>
      <c r="C1113" s="2" t="s">
        <v>569</v>
      </c>
      <c r="D1113" s="2" t="str">
        <f t="shared" si="16"/>
        <v>Error?</v>
      </c>
    </row>
    <row r="1114" spans="1:4" x14ac:dyDescent="0.2">
      <c r="A1114" s="5">
        <v>1053</v>
      </c>
      <c r="B1114" s="1832">
        <f>'Expenditures 15-22'!K41</f>
        <v>5916</v>
      </c>
      <c r="C1114" s="2" t="s">
        <v>569</v>
      </c>
      <c r="D1114" s="2" t="str">
        <f t="shared" si="16"/>
        <v>Error?</v>
      </c>
    </row>
    <row r="1115" spans="1:4" x14ac:dyDescent="0.2">
      <c r="A1115" s="5">
        <v>1054</v>
      </c>
      <c r="B1115" s="1832">
        <f>'Expenditures 15-22'!K42</f>
        <v>148816</v>
      </c>
      <c r="C1115" s="2" t="s">
        <v>569</v>
      </c>
      <c r="D1115" s="2" t="str">
        <f t="shared" si="16"/>
        <v>Error?</v>
      </c>
    </row>
    <row r="1116" spans="1:4" x14ac:dyDescent="0.2">
      <c r="A1116" s="5">
        <v>1055</v>
      </c>
      <c r="B1116" s="1832">
        <f>'Expenditures 15-22'!K44</f>
        <v>3569</v>
      </c>
      <c r="C1116" s="2" t="s">
        <v>569</v>
      </c>
      <c r="D1116" s="2" t="str">
        <f t="shared" si="16"/>
        <v>Error?</v>
      </c>
    </row>
    <row r="1117" spans="1:4" x14ac:dyDescent="0.2">
      <c r="A1117" s="5">
        <v>1056</v>
      </c>
      <c r="B1117" s="1832">
        <f>'Expenditures 15-22'!K45</f>
        <v>1683</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5252</v>
      </c>
      <c r="C1119" s="2" t="s">
        <v>569</v>
      </c>
      <c r="D1119" s="2" t="str">
        <f t="shared" si="16"/>
        <v>Error?</v>
      </c>
    </row>
    <row r="1120" spans="1:4" x14ac:dyDescent="0.2">
      <c r="A1120" s="5">
        <v>1059</v>
      </c>
      <c r="B1120" s="1832">
        <f>'Expenditures 15-22'!K49</f>
        <v>22765</v>
      </c>
      <c r="C1120" s="2" t="s">
        <v>569</v>
      </c>
      <c r="D1120" s="2" t="str">
        <f t="shared" si="16"/>
        <v>Error?</v>
      </c>
    </row>
    <row r="1121" spans="1:4" x14ac:dyDescent="0.2">
      <c r="A1121" s="5">
        <v>1060</v>
      </c>
      <c r="B1121" s="1832">
        <f>'Expenditures 15-22'!K50</f>
        <v>38840</v>
      </c>
      <c r="C1121" s="2" t="s">
        <v>569</v>
      </c>
      <c r="D1121" s="2" t="str">
        <f t="shared" si="16"/>
        <v>Error?</v>
      </c>
    </row>
    <row r="1122" spans="1:4" x14ac:dyDescent="0.2">
      <c r="A1122" s="5">
        <v>1061</v>
      </c>
      <c r="B1122" s="1832">
        <f>'Expenditures 15-22'!K53</f>
        <v>61605</v>
      </c>
      <c r="C1122" s="2" t="s">
        <v>569</v>
      </c>
      <c r="D1122" s="2" t="str">
        <f t="shared" si="16"/>
        <v>Error?</v>
      </c>
    </row>
    <row r="1123" spans="1:4" x14ac:dyDescent="0.2">
      <c r="A1123" s="5">
        <v>1062</v>
      </c>
      <c r="B1123" s="1832">
        <f>'Expenditures 15-22'!K55</f>
        <v>338895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338895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79875</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185949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265824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820392</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125042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3463335</v>
      </c>
      <c r="C1152" s="2" t="s">
        <v>569</v>
      </c>
      <c r="D1152" s="2" t="str">
        <f t="shared" si="17"/>
        <v>Error?</v>
      </c>
    </row>
    <row r="1153" spans="1:4" x14ac:dyDescent="0.2">
      <c r="A1153" s="5">
        <v>1092</v>
      </c>
      <c r="B1153" s="1832">
        <f>'Expenditures 15-22'!K115</f>
        <v>222580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161392</v>
      </c>
      <c r="D1221" s="2" t="str">
        <f t="shared" si="18"/>
        <v>Error?</v>
      </c>
    </row>
    <row r="1222" spans="1:4" x14ac:dyDescent="0.2">
      <c r="A1222" s="10">
        <v>1161</v>
      </c>
      <c r="B1222" s="1832"/>
      <c r="D1222" s="2" t="str">
        <f t="shared" si="18"/>
        <v>OK</v>
      </c>
    </row>
    <row r="1223" spans="1:4" x14ac:dyDescent="0.2">
      <c r="A1223" s="5">
        <v>1162</v>
      </c>
      <c r="B1223" s="1832">
        <f>'Expenditures 15-22'!C127</f>
        <v>161392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161392</v>
      </c>
      <c r="C1225" s="2" t="s">
        <v>569</v>
      </c>
      <c r="D1225" s="2" t="str">
        <f t="shared" si="18"/>
        <v>Error?</v>
      </c>
    </row>
    <row r="1226" spans="1:4" x14ac:dyDescent="0.2">
      <c r="A1226" s="5">
        <v>1165</v>
      </c>
      <c r="B1226" s="1832">
        <f>'Expenditures 15-22'!C151</f>
        <v>161392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17624</v>
      </c>
      <c r="D1229" s="2" t="str">
        <f t="shared" si="18"/>
        <v>Error?</v>
      </c>
    </row>
    <row r="1230" spans="1:4" x14ac:dyDescent="0.2">
      <c r="A1230" s="10">
        <v>1169</v>
      </c>
      <c r="B1230" s="1832"/>
      <c r="D1230" s="2" t="str">
        <f t="shared" si="18"/>
        <v>OK</v>
      </c>
    </row>
    <row r="1231" spans="1:4" x14ac:dyDescent="0.2">
      <c r="A1231" s="5">
        <v>1170</v>
      </c>
      <c r="B1231" s="1832">
        <f>'Expenditures 15-22'!D127</f>
        <v>17624</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17624</v>
      </c>
      <c r="C1233" s="2" t="s">
        <v>569</v>
      </c>
      <c r="D1233" s="2" t="str">
        <f t="shared" si="18"/>
        <v>Error?</v>
      </c>
    </row>
    <row r="1234" spans="1:4" x14ac:dyDescent="0.2">
      <c r="A1234" s="5">
        <v>1173</v>
      </c>
      <c r="B1234" s="1832">
        <f>'Expenditures 15-22'!D151</f>
        <v>17624</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99861</v>
      </c>
      <c r="D1237" s="2" t="str">
        <f t="shared" si="18"/>
        <v>Error?</v>
      </c>
    </row>
    <row r="1238" spans="1:4" x14ac:dyDescent="0.2">
      <c r="A1238" s="10">
        <v>1177</v>
      </c>
      <c r="B1238" s="1832"/>
      <c r="D1238" s="2" t="str">
        <f t="shared" si="18"/>
        <v>OK</v>
      </c>
    </row>
    <row r="1239" spans="1:4" x14ac:dyDescent="0.2">
      <c r="A1239" s="5">
        <v>1178</v>
      </c>
      <c r="B1239" s="1832">
        <f>'Expenditures 15-22'!E127</f>
        <v>99861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99861</v>
      </c>
      <c r="C1241" s="2" t="s">
        <v>569</v>
      </c>
      <c r="D1241" s="2" t="str">
        <f t="shared" si="18"/>
        <v>Error?</v>
      </c>
    </row>
    <row r="1242" spans="1:4" x14ac:dyDescent="0.2">
      <c r="A1242" s="5">
        <v>1181</v>
      </c>
      <c r="B1242" s="1832">
        <f>'Expenditures 15-22'!E151</f>
        <v>99861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149</v>
      </c>
      <c r="D1244" s="2" t="str">
        <f t="shared" si="18"/>
        <v>Error?</v>
      </c>
    </row>
    <row r="1245" spans="1:4" x14ac:dyDescent="0.2">
      <c r="A1245" s="5">
        <v>1184</v>
      </c>
      <c r="B1245" s="1832">
        <f>'Expenditures 15-22'!F124</f>
        <v>123763</v>
      </c>
      <c r="D1245" s="2" t="str">
        <f t="shared" si="18"/>
        <v>Error?</v>
      </c>
    </row>
    <row r="1246" spans="1:4" x14ac:dyDescent="0.2">
      <c r="A1246" s="10">
        <v>1185</v>
      </c>
      <c r="B1246" s="1832"/>
      <c r="D1246" s="2" t="str">
        <f t="shared" si="18"/>
        <v>OK</v>
      </c>
    </row>
    <row r="1247" spans="1:4" x14ac:dyDescent="0.2">
      <c r="A1247" s="5">
        <v>1186</v>
      </c>
      <c r="B1247" s="1832">
        <f>'Expenditures 15-22'!F127</f>
        <v>123912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123912</v>
      </c>
      <c r="C1249" s="2" t="s">
        <v>569</v>
      </c>
      <c r="D1249" s="2" t="str">
        <f t="shared" si="18"/>
        <v>Error?</v>
      </c>
    </row>
    <row r="1250" spans="1:4" x14ac:dyDescent="0.2">
      <c r="A1250" s="5">
        <v>1189</v>
      </c>
      <c r="B1250" s="1832">
        <f>'Expenditures 15-22'!F151</f>
        <v>123912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210499</v>
      </c>
      <c r="D1252" s="2" t="str">
        <f t="shared" si="18"/>
        <v>Error?</v>
      </c>
    </row>
    <row r="1253" spans="1:4" x14ac:dyDescent="0.2">
      <c r="A1253" s="5">
        <v>1192</v>
      </c>
      <c r="B1253" s="1832">
        <f>'Expenditures 15-22'!G124</f>
        <v>27476</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237975</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237975</v>
      </c>
      <c r="C1258" s="2" t="s">
        <v>569</v>
      </c>
      <c r="D1258" s="2" t="str">
        <f t="shared" si="18"/>
        <v>Error?</v>
      </c>
    </row>
    <row r="1259" spans="1:4" x14ac:dyDescent="0.2">
      <c r="A1259" s="5">
        <v>1198</v>
      </c>
      <c r="B1259" s="1832">
        <f>'Expenditures 15-22'!G151</f>
        <v>237975</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210648</v>
      </c>
      <c r="C1275" s="2" t="s">
        <v>569</v>
      </c>
      <c r="D1275" s="2" t="str">
        <f t="shared" si="18"/>
        <v>Error?</v>
      </c>
    </row>
    <row r="1276" spans="1:4" x14ac:dyDescent="0.2">
      <c r="A1276" s="5">
        <v>1215</v>
      </c>
      <c r="B1276" s="1832">
        <f>'Expenditures 15-22'!K124</f>
        <v>430116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640764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640764</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640764</v>
      </c>
      <c r="C1288" s="2" t="s">
        <v>569</v>
      </c>
      <c r="D1288" s="2" t="str">
        <f t="shared" si="19"/>
        <v>Error?</v>
      </c>
    </row>
    <row r="1289" spans="1:4" x14ac:dyDescent="0.2">
      <c r="A1289" s="5">
        <v>1228</v>
      </c>
      <c r="B1289" s="1832">
        <f>'Expenditures 15-22'!K152</f>
        <v>35969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179313</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179313</v>
      </c>
      <c r="C1339" s="2" t="s">
        <v>569</v>
      </c>
      <c r="D1339" s="2" t="str">
        <f t="shared" si="19"/>
        <v>Error?</v>
      </c>
    </row>
    <row r="1340" spans="1:4" x14ac:dyDescent="0.2">
      <c r="A1340" s="5">
        <v>1279</v>
      </c>
      <c r="B1340" s="1832">
        <f>'Expenditures 15-22'!C210</f>
        <v>179313</v>
      </c>
      <c r="C1340" s="2" t="s">
        <v>569</v>
      </c>
      <c r="D1340" s="2" t="str">
        <f t="shared" si="19"/>
        <v>Error?</v>
      </c>
    </row>
    <row r="1341" spans="1:4" x14ac:dyDescent="0.2">
      <c r="A1341" s="5">
        <v>1280</v>
      </c>
      <c r="B1341" s="1832">
        <f>'Expenditures 15-22'!D182</f>
        <v>17543</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17543</v>
      </c>
      <c r="C1345" s="2" t="s">
        <v>569</v>
      </c>
      <c r="D1345" s="2" t="str">
        <f t="shared" si="20"/>
        <v>Error?</v>
      </c>
    </row>
    <row r="1346" spans="1:4" x14ac:dyDescent="0.2">
      <c r="A1346" s="5">
        <v>1285</v>
      </c>
      <c r="B1346" s="1832">
        <f>'Expenditures 15-22'!D210</f>
        <v>17543</v>
      </c>
      <c r="C1346" s="2" t="s">
        <v>569</v>
      </c>
      <c r="D1346" s="2" t="str">
        <f t="shared" si="20"/>
        <v>Error?</v>
      </c>
    </row>
    <row r="1347" spans="1:4" x14ac:dyDescent="0.2">
      <c r="A1347" s="5">
        <v>1286</v>
      </c>
      <c r="B1347" s="1832">
        <f>'Expenditures 15-22'!E182</f>
        <v>11826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11826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11826</v>
      </c>
      <c r="C1353" s="2" t="s">
        <v>569</v>
      </c>
      <c r="D1353" s="2" t="str">
        <f t="shared" si="20"/>
        <v>Error?</v>
      </c>
    </row>
    <row r="1354" spans="1:4" x14ac:dyDescent="0.2">
      <c r="A1354" s="5">
        <v>1293</v>
      </c>
      <c r="B1354" s="1832">
        <f>'Expenditures 15-22'!F182</f>
        <v>53240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53240</v>
      </c>
      <c r="C1358" s="2" t="s">
        <v>569</v>
      </c>
      <c r="D1358" s="2" t="str">
        <f t="shared" si="20"/>
        <v>Error?</v>
      </c>
    </row>
    <row r="1359" spans="1:4" x14ac:dyDescent="0.2">
      <c r="A1359" s="5">
        <v>1298</v>
      </c>
      <c r="B1359" s="1832">
        <f>'Expenditures 15-22'!F210</f>
        <v>53240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261922</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261922</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261922</v>
      </c>
      <c r="C1388" s="2" t="s">
        <v>569</v>
      </c>
      <c r="D1388" s="2" t="str">
        <f t="shared" si="20"/>
        <v>Error?</v>
      </c>
    </row>
    <row r="1389" spans="1:4" x14ac:dyDescent="0.2">
      <c r="A1389" s="5">
        <v>1328</v>
      </c>
      <c r="B1389" s="1832">
        <f>'Expenditures 15-22'!K211</f>
        <v>102505</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22</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3135</v>
      </c>
      <c r="D1407" s="2" t="str">
        <f t="shared" ref="D1407:D1470" si="21">IF(ISBLANK(B1407),"OK",IF(A1407-B1407=0,"OK","Error?"))</f>
        <v>Error?</v>
      </c>
    </row>
    <row r="1408" spans="1:4" x14ac:dyDescent="0.2">
      <c r="A1408" s="5">
        <v>1347</v>
      </c>
      <c r="B1408" s="1832">
        <f>'Expenditures 15-22'!D223</f>
        <v>1722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50809</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1115</v>
      </c>
      <c r="D1412" s="2" t="str">
        <f t="shared" si="21"/>
        <v>Error?</v>
      </c>
    </row>
    <row r="1413" spans="1:4" x14ac:dyDescent="0.2">
      <c r="A1413" s="5">
        <v>1352</v>
      </c>
      <c r="B1413" s="1832">
        <f>'Expenditures 15-22'!D234</f>
        <v>3809</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635</v>
      </c>
      <c r="D1415" s="2" t="str">
        <f t="shared" si="21"/>
        <v>Error?</v>
      </c>
    </row>
    <row r="1416" spans="1:4" x14ac:dyDescent="0.2">
      <c r="A1416" s="5">
        <v>1355</v>
      </c>
      <c r="B1416" s="1832">
        <f>'Expenditures 15-22'!D237</f>
        <v>771</v>
      </c>
      <c r="D1416" s="2" t="str">
        <f t="shared" si="21"/>
        <v>Error?</v>
      </c>
    </row>
    <row r="1417" spans="1:4" x14ac:dyDescent="0.2">
      <c r="A1417" s="5">
        <v>1356</v>
      </c>
      <c r="B1417" s="1832">
        <f>'Expenditures 15-22'!D238</f>
        <v>6330</v>
      </c>
      <c r="C1417" s="2" t="s">
        <v>569</v>
      </c>
      <c r="D1417" s="2" t="str">
        <f t="shared" si="21"/>
        <v>Error?</v>
      </c>
    </row>
    <row r="1418" spans="1:4" x14ac:dyDescent="0.2">
      <c r="A1418" s="5">
        <v>1357</v>
      </c>
      <c r="B1418" s="1832">
        <f>'Expenditures 15-22'!D240</f>
        <v>32</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32</v>
      </c>
      <c r="C1421" s="2" t="s">
        <v>569</v>
      </c>
      <c r="D1421" s="2" t="str">
        <f t="shared" si="21"/>
        <v>Error?</v>
      </c>
    </row>
    <row r="1422" spans="1:4" x14ac:dyDescent="0.2">
      <c r="A1422" s="5">
        <v>1361</v>
      </c>
      <c r="B1422" s="1832">
        <f>'Expenditures 15-22'!D245</f>
        <v>246</v>
      </c>
      <c r="D1422" s="2" t="str">
        <f t="shared" si="21"/>
        <v>Error?</v>
      </c>
    </row>
    <row r="1423" spans="1:4" x14ac:dyDescent="0.2">
      <c r="A1423" s="5">
        <v>1362</v>
      </c>
      <c r="B1423" s="1832">
        <f>'Expenditures 15-22'!D246</f>
        <v>586</v>
      </c>
      <c r="D1423" s="2" t="str">
        <f t="shared" si="21"/>
        <v>Error?</v>
      </c>
    </row>
    <row r="1424" spans="1:4" x14ac:dyDescent="0.2">
      <c r="A1424" s="5">
        <v>1363</v>
      </c>
      <c r="B1424" s="1832">
        <f>'Expenditures 15-22'!D257</f>
        <v>832</v>
      </c>
      <c r="C1424" s="2" t="s">
        <v>569</v>
      </c>
      <c r="D1424" s="2" t="str">
        <f t="shared" si="21"/>
        <v>Error?</v>
      </c>
    </row>
    <row r="1425" spans="1:4" x14ac:dyDescent="0.2">
      <c r="A1425" s="5">
        <v>1364</v>
      </c>
      <c r="B1425" s="1832">
        <f>'Expenditures 15-22'!D259</f>
        <v>14098</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14098</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9348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18028</v>
      </c>
      <c r="D1431" s="2" t="str">
        <f t="shared" si="21"/>
        <v>Error?</v>
      </c>
    </row>
    <row r="1432" spans="1:4" x14ac:dyDescent="0.2">
      <c r="A1432" s="5">
        <v>1371</v>
      </c>
      <c r="B1432" s="1832">
        <f>'Expenditures 15-22'!D267</f>
        <v>21934</v>
      </c>
      <c r="D1432" s="2" t="str">
        <f t="shared" si="21"/>
        <v>Error?</v>
      </c>
    </row>
    <row r="1433" spans="1:4" x14ac:dyDescent="0.2">
      <c r="A1433" s="5">
        <v>1372</v>
      </c>
      <c r="B1433" s="1832">
        <f>'Expenditures 15-22'!D268</f>
        <v>9975</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59285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80577</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131386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22</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3135</v>
      </c>
      <c r="C1471" s="2" t="s">
        <v>569</v>
      </c>
      <c r="D1471" s="2" t="str">
        <f t="shared" ref="D1471:D1534" si="22">IF(ISBLANK(B1471),"OK",IF(A1471-B1471=0,"OK","Error?"))</f>
        <v>Error?</v>
      </c>
    </row>
    <row r="1472" spans="1:4" x14ac:dyDescent="0.2">
      <c r="A1472" s="5">
        <v>1411</v>
      </c>
      <c r="B1472" s="1832">
        <f>'Expenditures 15-22'!K223</f>
        <v>1722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50809</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1115</v>
      </c>
      <c r="C1476" s="2" t="s">
        <v>569</v>
      </c>
      <c r="D1476" s="2" t="str">
        <f t="shared" si="22"/>
        <v>Error?</v>
      </c>
    </row>
    <row r="1477" spans="1:4" x14ac:dyDescent="0.2">
      <c r="A1477" s="5">
        <v>1416</v>
      </c>
      <c r="B1477" s="1832">
        <f>'Expenditures 15-22'!K234</f>
        <v>3809</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635</v>
      </c>
      <c r="C1479" s="2" t="s">
        <v>569</v>
      </c>
      <c r="D1479" s="2" t="str">
        <f t="shared" si="22"/>
        <v>Error?</v>
      </c>
    </row>
    <row r="1480" spans="1:4" x14ac:dyDescent="0.2">
      <c r="A1480" s="5">
        <v>1419</v>
      </c>
      <c r="B1480" s="1832">
        <f>'Expenditures 15-22'!K237</f>
        <v>771</v>
      </c>
      <c r="C1480" s="2" t="s">
        <v>569</v>
      </c>
      <c r="D1480" s="2" t="str">
        <f t="shared" si="22"/>
        <v>Error?</v>
      </c>
    </row>
    <row r="1481" spans="1:4" x14ac:dyDescent="0.2">
      <c r="A1481" s="5">
        <v>1420</v>
      </c>
      <c r="B1481" s="1832">
        <f>'Expenditures 15-22'!K238</f>
        <v>6330</v>
      </c>
      <c r="C1481" s="2" t="s">
        <v>569</v>
      </c>
      <c r="D1481" s="2" t="str">
        <f t="shared" si="22"/>
        <v>Error?</v>
      </c>
    </row>
    <row r="1482" spans="1:4" x14ac:dyDescent="0.2">
      <c r="A1482" s="5">
        <v>1421</v>
      </c>
      <c r="B1482" s="1832">
        <f>'Expenditures 15-22'!K240</f>
        <v>32</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32</v>
      </c>
      <c r="C1485" s="2" t="s">
        <v>569</v>
      </c>
      <c r="D1485" s="2" t="str">
        <f t="shared" si="22"/>
        <v>Error?</v>
      </c>
    </row>
    <row r="1486" spans="1:4" x14ac:dyDescent="0.2">
      <c r="A1486" s="5">
        <v>1425</v>
      </c>
      <c r="B1486" s="1832">
        <f>'Expenditures 15-22'!K245</f>
        <v>246</v>
      </c>
      <c r="C1486" s="2" t="s">
        <v>569</v>
      </c>
      <c r="D1486" s="2" t="str">
        <f t="shared" si="22"/>
        <v>Error?</v>
      </c>
    </row>
    <row r="1487" spans="1:4" x14ac:dyDescent="0.2">
      <c r="A1487" s="5">
        <v>1426</v>
      </c>
      <c r="B1487" s="1832">
        <f>'Expenditures 15-22'!K246</f>
        <v>586</v>
      </c>
      <c r="C1487" s="2" t="s">
        <v>569</v>
      </c>
      <c r="D1487" s="2" t="str">
        <f t="shared" si="22"/>
        <v>Error?</v>
      </c>
    </row>
    <row r="1488" spans="1:4" x14ac:dyDescent="0.2">
      <c r="A1488" s="5">
        <v>1427</v>
      </c>
      <c r="B1488" s="1832">
        <f>'Expenditures 15-22'!K257</f>
        <v>832</v>
      </c>
      <c r="C1488" s="2" t="s">
        <v>569</v>
      </c>
      <c r="D1488" s="2" t="str">
        <f t="shared" si="22"/>
        <v>Error?</v>
      </c>
    </row>
    <row r="1489" spans="1:4" x14ac:dyDescent="0.2">
      <c r="A1489" s="5">
        <v>1428</v>
      </c>
      <c r="B1489" s="1832">
        <f>'Expenditures 15-22'!K259</f>
        <v>14098</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14098</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9348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18028</v>
      </c>
      <c r="C1495" s="2" t="s">
        <v>569</v>
      </c>
      <c r="D1495" s="2" t="str">
        <f t="shared" si="22"/>
        <v>Error?</v>
      </c>
    </row>
    <row r="1496" spans="1:4" x14ac:dyDescent="0.2">
      <c r="A1496" s="5">
        <v>1435</v>
      </c>
      <c r="B1496" s="1832">
        <f>'Expenditures 15-22'!K267</f>
        <v>21934</v>
      </c>
      <c r="C1496" s="2" t="s">
        <v>569</v>
      </c>
      <c r="D1496" s="2" t="str">
        <f t="shared" si="22"/>
        <v>Error?</v>
      </c>
    </row>
    <row r="1497" spans="1:4" x14ac:dyDescent="0.2">
      <c r="A1497" s="5">
        <v>1436</v>
      </c>
      <c r="B1497" s="1832">
        <f>'Expenditures 15-22'!K268</f>
        <v>9975</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59285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80577</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131386</v>
      </c>
      <c r="C1517" s="2" t="s">
        <v>569</v>
      </c>
      <c r="D1517" s="2" t="str">
        <f t="shared" si="22"/>
        <v>Error?</v>
      </c>
    </row>
    <row r="1518" spans="1:4" x14ac:dyDescent="0.2">
      <c r="A1518" s="5">
        <v>1457</v>
      </c>
      <c r="B1518" s="1832">
        <f>'Expenditures 15-22'!K296</f>
        <v>4859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1862120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2084700</v>
      </c>
      <c r="C1630" s="2" t="s">
        <v>569</v>
      </c>
      <c r="D1630" s="2" t="str">
        <f t="shared" si="24"/>
        <v>Error?</v>
      </c>
    </row>
    <row r="1631" spans="1:4" x14ac:dyDescent="0.2">
      <c r="A1631" s="5">
        <v>1570</v>
      </c>
      <c r="B1631" s="1832">
        <f>'Acct Summary 7-8'!D79</f>
        <v>1121655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1157624</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380234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482739</v>
      </c>
      <c r="C1672" s="2" t="s">
        <v>569</v>
      </c>
      <c r="D1672" s="2" t="str">
        <f t="shared" si="25"/>
        <v>Error?</v>
      </c>
    </row>
    <row r="1673" spans="1:4" x14ac:dyDescent="0.2">
      <c r="A1673" s="5">
        <v>1612</v>
      </c>
      <c r="B1673" s="1832">
        <f>'Acct Summary 7-8'!G79</f>
        <v>187798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192657</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1307004</v>
      </c>
      <c r="C1744" s="2" t="s">
        <v>569</v>
      </c>
      <c r="D1744" s="2" t="str">
        <f t="shared" si="26"/>
        <v>Error?</v>
      </c>
    </row>
    <row r="1745" spans="1:5" x14ac:dyDescent="0.2">
      <c r="A1745" s="5">
        <v>1684</v>
      </c>
      <c r="B1745" s="1832">
        <f>'Tax Sched 23'!B5</f>
        <v>180527</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72212</v>
      </c>
      <c r="C1747" s="2" t="s">
        <v>569</v>
      </c>
      <c r="D1747" s="2" t="str">
        <f t="shared" si="26"/>
        <v>Error?</v>
      </c>
    </row>
    <row r="1748" spans="1:5" x14ac:dyDescent="0.2">
      <c r="A1748" s="5">
        <v>1687</v>
      </c>
      <c r="B1748" s="1832">
        <f>'Tax Sched 23'!B8</f>
        <v>29884</v>
      </c>
      <c r="C1748" s="2" t="s">
        <v>569</v>
      </c>
      <c r="D1748" s="2" t="str">
        <f t="shared" si="26"/>
        <v>Error?</v>
      </c>
    </row>
    <row r="1749" spans="1:5" x14ac:dyDescent="0.2">
      <c r="A1749" s="5">
        <v>1688</v>
      </c>
      <c r="B1749" s="1832">
        <f>'Tax Sched 23'!B10</f>
        <v>18054</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114573</v>
      </c>
      <c r="C1752" s="2" t="s">
        <v>569</v>
      </c>
      <c r="D1752" s="2" t="str">
        <f t="shared" si="26"/>
        <v>Error?</v>
      </c>
    </row>
    <row r="1753" spans="1:5" x14ac:dyDescent="0.2">
      <c r="A1753" s="5">
        <v>1692</v>
      </c>
      <c r="B1753" s="1832">
        <f>'Tax Sched 23'!B12</f>
        <v>18054</v>
      </c>
      <c r="C1753" s="2" t="s">
        <v>569</v>
      </c>
      <c r="D1753" s="2" t="str">
        <f t="shared" si="26"/>
        <v>Error?</v>
      </c>
    </row>
    <row r="1754" spans="1:5" x14ac:dyDescent="0.2">
      <c r="A1754" s="5">
        <v>1693</v>
      </c>
      <c r="B1754" s="1832">
        <f>'Tax Sched 23'!B14</f>
        <v>14442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1856502</v>
      </c>
      <c r="C1759" s="2" t="s">
        <v>569</v>
      </c>
      <c r="D1759" s="2" t="str">
        <f t="shared" si="26"/>
        <v>Error?</v>
      </c>
    </row>
    <row r="1760" spans="1:5" x14ac:dyDescent="0.2">
      <c r="A1760" s="5">
        <v>1699</v>
      </c>
      <c r="B1760" s="1832">
        <f>'Tax Sched 23'!D4</f>
        <v>1307004</v>
      </c>
      <c r="C1760" s="2" t="s">
        <v>569</v>
      </c>
      <c r="D1760" s="2" t="str">
        <f t="shared" si="26"/>
        <v>Error?</v>
      </c>
    </row>
    <row r="1761" spans="1:7" x14ac:dyDescent="0.2">
      <c r="A1761" s="5">
        <v>1700</v>
      </c>
      <c r="B1761" s="1832">
        <f>'Tax Sched 23'!D5</f>
        <v>180527</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72212</v>
      </c>
      <c r="C1763" s="2" t="s">
        <v>569</v>
      </c>
      <c r="D1763" s="2" t="str">
        <f t="shared" si="26"/>
        <v>Error?</v>
      </c>
    </row>
    <row r="1764" spans="1:7" x14ac:dyDescent="0.2">
      <c r="A1764" s="5">
        <v>1703</v>
      </c>
      <c r="B1764" s="1832">
        <f>'Tax Sched 23'!D8</f>
        <v>29884</v>
      </c>
      <c r="C1764" s="2" t="s">
        <v>569</v>
      </c>
      <c r="D1764" s="2" t="str">
        <f t="shared" si="26"/>
        <v>Error?</v>
      </c>
    </row>
    <row r="1765" spans="1:7" x14ac:dyDescent="0.2">
      <c r="A1765" s="5">
        <v>1704</v>
      </c>
      <c r="B1765" s="1832">
        <f>'Tax Sched 23'!D10</f>
        <v>18054</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114573</v>
      </c>
      <c r="C1768" s="2" t="s">
        <v>569</v>
      </c>
      <c r="D1768" s="2" t="str">
        <f t="shared" si="26"/>
        <v>Error?</v>
      </c>
    </row>
    <row r="1769" spans="1:7" x14ac:dyDescent="0.2">
      <c r="A1769" s="5">
        <v>1708</v>
      </c>
      <c r="B1769" s="1832">
        <f>'Tax Sched 23'!D12</f>
        <v>18054</v>
      </c>
      <c r="C1769" s="2" t="s">
        <v>569</v>
      </c>
      <c r="D1769" s="2" t="str">
        <f t="shared" si="26"/>
        <v>Error?</v>
      </c>
    </row>
    <row r="1770" spans="1:7" x14ac:dyDescent="0.2">
      <c r="A1770" s="5">
        <v>1709</v>
      </c>
      <c r="B1770" s="1832">
        <f>'Tax Sched 23'!D14</f>
        <v>14442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1856502</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1388055</v>
      </c>
      <c r="C1792" s="2" t="s">
        <v>569</v>
      </c>
      <c r="D1792" s="2" t="str">
        <f t="shared" si="27"/>
        <v>Error?</v>
      </c>
    </row>
    <row r="1793" spans="1:4" x14ac:dyDescent="0.2">
      <c r="A1793" s="5">
        <v>1732</v>
      </c>
      <c r="B1793" s="1832">
        <f>'Tax Sched 23'!F5</f>
        <v>191720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76688</v>
      </c>
      <c r="C1795" s="2" t="s">
        <v>569</v>
      </c>
      <c r="D1795" s="2" t="str">
        <f t="shared" si="27"/>
        <v>Error?</v>
      </c>
    </row>
    <row r="1796" spans="1:4" x14ac:dyDescent="0.2">
      <c r="A1796" s="5">
        <v>1735</v>
      </c>
      <c r="B1796" s="1832">
        <f>'Tax Sched 23'!F8</f>
        <v>30000</v>
      </c>
      <c r="C1796" s="2" t="s">
        <v>569</v>
      </c>
      <c r="D1796" s="2" t="str">
        <f t="shared" si="27"/>
        <v>Error?</v>
      </c>
    </row>
    <row r="1797" spans="1:4" x14ac:dyDescent="0.2">
      <c r="A1797" s="5">
        <v>1736</v>
      </c>
      <c r="B1797" s="1832">
        <f>'Tax Sched 23'!F10</f>
        <v>19172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100000</v>
      </c>
      <c r="C1800" s="2" t="s">
        <v>569</v>
      </c>
      <c r="D1800" s="2" t="str">
        <f t="shared" si="27"/>
        <v>Error?</v>
      </c>
    </row>
    <row r="1801" spans="1:4" x14ac:dyDescent="0.2">
      <c r="A1801" s="5">
        <v>1740</v>
      </c>
      <c r="B1801" s="1832">
        <f>'Tax Sched 23'!F12</f>
        <v>19172</v>
      </c>
      <c r="C1801" s="2" t="s">
        <v>569</v>
      </c>
      <c r="D1801" s="2" t="str">
        <f t="shared" si="27"/>
        <v>Error?</v>
      </c>
    </row>
    <row r="1802" spans="1:4" x14ac:dyDescent="0.2">
      <c r="A1802" s="5">
        <v>1741</v>
      </c>
      <c r="B1802" s="1832">
        <f>'Tax Sched 23'!F14</f>
        <v>15338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1955317</v>
      </c>
      <c r="C1807" s="2" t="s">
        <v>569</v>
      </c>
      <c r="D1807" s="2" t="str">
        <f t="shared" si="27"/>
        <v>Error?</v>
      </c>
    </row>
    <row r="1808" spans="1:4" x14ac:dyDescent="0.2">
      <c r="A1808" s="5">
        <v>1747</v>
      </c>
      <c r="B1808" s="1832">
        <f>'Tax Sched 23'!E4</f>
        <v>1388055</v>
      </c>
      <c r="D1808" s="2" t="str">
        <f t="shared" si="27"/>
        <v>Error?</v>
      </c>
    </row>
    <row r="1809" spans="1:4" x14ac:dyDescent="0.2">
      <c r="A1809" s="5">
        <v>1748</v>
      </c>
      <c r="B1809" s="1832">
        <f>'Tax Sched 23'!E5</f>
        <v>191720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76688</v>
      </c>
      <c r="D1811" s="2" t="str">
        <f t="shared" si="27"/>
        <v>Error?</v>
      </c>
    </row>
    <row r="1812" spans="1:4" x14ac:dyDescent="0.2">
      <c r="A1812" s="5">
        <v>1751</v>
      </c>
      <c r="B1812" s="1832">
        <f>'Tax Sched 23'!E8</f>
        <v>30000</v>
      </c>
      <c r="D1812" s="2" t="str">
        <f t="shared" si="27"/>
        <v>Error?</v>
      </c>
    </row>
    <row r="1813" spans="1:4" x14ac:dyDescent="0.2">
      <c r="A1813" s="5">
        <v>1752</v>
      </c>
      <c r="B1813" s="1832">
        <f>'Tax Sched 23'!E10</f>
        <v>19172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100000</v>
      </c>
      <c r="D1816" s="2" t="str">
        <f t="shared" si="27"/>
        <v>Error?</v>
      </c>
    </row>
    <row r="1817" spans="1:4" x14ac:dyDescent="0.2">
      <c r="A1817" s="5">
        <v>1756</v>
      </c>
      <c r="B1817" s="1832">
        <f>'Tax Sched 23'!E12</f>
        <v>19172</v>
      </c>
      <c r="D1817" s="2" t="str">
        <f t="shared" si="27"/>
        <v>Error?</v>
      </c>
    </row>
    <row r="1818" spans="1:4" x14ac:dyDescent="0.2">
      <c r="A1818" s="5">
        <v>1757</v>
      </c>
      <c r="B1818" s="1832">
        <f>'Tax Sched 23'!E14</f>
        <v>15338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1955317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14442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14442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14442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37050</v>
      </c>
      <c r="D2008" s="2" t="str">
        <f t="shared" si="30"/>
        <v>Error?</v>
      </c>
    </row>
    <row r="2009" spans="1:4" x14ac:dyDescent="0.2">
      <c r="A2009" s="5">
        <v>1948</v>
      </c>
      <c r="B2009" s="1832">
        <f>'Cap Outlay Deprec 26'!C8</f>
        <v>2384276</v>
      </c>
      <c r="D2009" s="2" t="str">
        <f t="shared" si="30"/>
        <v>Error?</v>
      </c>
    </row>
    <row r="2010" spans="1:4" x14ac:dyDescent="0.2">
      <c r="A2010" s="5">
        <v>1949</v>
      </c>
      <c r="B2010" s="1832">
        <f>'Cap Outlay Deprec 26'!C10</f>
        <v>1630571</v>
      </c>
      <c r="D2010" s="2" t="str">
        <f t="shared" si="30"/>
        <v>Error?</v>
      </c>
    </row>
    <row r="2011" spans="1:4" x14ac:dyDescent="0.2">
      <c r="A2011" s="5">
        <v>1950</v>
      </c>
      <c r="B2011" s="1832">
        <f>'Cap Outlay Deprec 26'!C12</f>
        <v>606854</v>
      </c>
      <c r="D2011" s="2" t="str">
        <f t="shared" si="30"/>
        <v>Error?</v>
      </c>
    </row>
    <row r="2012" spans="1:4" x14ac:dyDescent="0.2">
      <c r="A2012" s="5">
        <v>1951</v>
      </c>
      <c r="B2012" s="1832">
        <f>'Cap Outlay Deprec 26'!C13</f>
        <v>919664</v>
      </c>
      <c r="D2012" s="2" t="str">
        <f t="shared" si="30"/>
        <v>Error?</v>
      </c>
    </row>
    <row r="2013" spans="1:4" x14ac:dyDescent="0.2">
      <c r="A2013" s="5">
        <v>1952</v>
      </c>
      <c r="B2013" s="1832">
        <f>'Cap Outlay Deprec 26'!C16</f>
        <v>5578415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221137</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45137</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266274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39094</v>
      </c>
      <c r="D2023" s="2" t="str">
        <f t="shared" si="30"/>
        <v>Error?</v>
      </c>
    </row>
    <row r="2024" spans="1:4" x14ac:dyDescent="0.2">
      <c r="A2024" s="5">
        <v>1963</v>
      </c>
      <c r="B2024" s="1832">
        <f>'Cap Outlay Deprec 26'!E13</f>
        <v>251695</v>
      </c>
      <c r="D2024" s="2" t="str">
        <f t="shared" si="30"/>
        <v>Error?</v>
      </c>
    </row>
    <row r="2025" spans="1:4" x14ac:dyDescent="0.2">
      <c r="A2025" s="5">
        <v>1964</v>
      </c>
      <c r="B2025" s="1832">
        <f>'Cap Outlay Deprec 26'!E16</f>
        <v>290789</v>
      </c>
      <c r="C2025" s="2" t="s">
        <v>569</v>
      </c>
      <c r="D2025" s="2" t="str">
        <f t="shared" si="30"/>
        <v>Error?</v>
      </c>
    </row>
    <row r="2026" spans="1:4" x14ac:dyDescent="0.2">
      <c r="A2026" s="5">
        <v>1965</v>
      </c>
      <c r="B2026" s="1832">
        <f>'Cap Outlay Deprec 26'!F5</f>
        <v>37050</v>
      </c>
      <c r="C2026" s="2" t="s">
        <v>569</v>
      </c>
      <c r="D2026" s="2" t="str">
        <f t="shared" si="30"/>
        <v>Error?</v>
      </c>
    </row>
    <row r="2027" spans="1:4" x14ac:dyDescent="0.2">
      <c r="A2027" s="5">
        <v>1966</v>
      </c>
      <c r="B2027" s="1832">
        <f>'Cap Outlay Deprec 26'!F8</f>
        <v>2605413</v>
      </c>
      <c r="C2027" s="2" t="s">
        <v>569</v>
      </c>
      <c r="D2027" s="2" t="str">
        <f t="shared" si="30"/>
        <v>Error?</v>
      </c>
    </row>
    <row r="2028" spans="1:4" x14ac:dyDescent="0.2">
      <c r="A2028" s="5">
        <v>1967</v>
      </c>
      <c r="B2028" s="1832">
        <f>'Cap Outlay Deprec 26'!F10</f>
        <v>1630571</v>
      </c>
      <c r="C2028" s="2" t="s">
        <v>569</v>
      </c>
      <c r="D2028" s="2" t="str">
        <f t="shared" si="30"/>
        <v>Error?</v>
      </c>
    </row>
    <row r="2029" spans="1:4" x14ac:dyDescent="0.2">
      <c r="A2029" s="5">
        <v>1968</v>
      </c>
      <c r="B2029" s="1832">
        <f>'Cap Outlay Deprec 26'!F12</f>
        <v>612897</v>
      </c>
      <c r="C2029" s="2" t="s">
        <v>569</v>
      </c>
      <c r="D2029" s="2" t="str">
        <f t="shared" si="30"/>
        <v>Error?</v>
      </c>
    </row>
    <row r="2030" spans="1:4" x14ac:dyDescent="0.2">
      <c r="A2030" s="5">
        <v>1969</v>
      </c>
      <c r="B2030" s="1832">
        <f>'Cap Outlay Deprec 26'!F13</f>
        <v>667969</v>
      </c>
      <c r="C2030" s="2" t="s">
        <v>569</v>
      </c>
      <c r="D2030" s="2" t="str">
        <f t="shared" si="30"/>
        <v>Error?</v>
      </c>
    </row>
    <row r="2031" spans="1:4" x14ac:dyDescent="0.2">
      <c r="A2031" s="5">
        <v>1970</v>
      </c>
      <c r="B2031" s="1832">
        <f>'Cap Outlay Deprec 26'!F16</f>
        <v>5553900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1745208</v>
      </c>
      <c r="D2033" s="2" t="str">
        <f t="shared" si="30"/>
        <v>Error?</v>
      </c>
    </row>
    <row r="2034" spans="1:4" x14ac:dyDescent="0.2">
      <c r="A2034" s="5">
        <v>1973</v>
      </c>
      <c r="B2034" s="1832">
        <f>'Cap Outlay Deprec 26'!H10</f>
        <v>1147900</v>
      </c>
      <c r="D2034" s="2" t="str">
        <f t="shared" si="30"/>
        <v>Error?</v>
      </c>
    </row>
    <row r="2035" spans="1:4" x14ac:dyDescent="0.2">
      <c r="A2035" s="5">
        <v>1974</v>
      </c>
      <c r="B2035" s="1832">
        <f>'Cap Outlay Deprec 26'!H12</f>
        <v>253192</v>
      </c>
      <c r="D2035" s="2" t="str">
        <f t="shared" si="30"/>
        <v>Error?</v>
      </c>
    </row>
    <row r="2036" spans="1:4" x14ac:dyDescent="0.2">
      <c r="A2036" s="5">
        <v>1975</v>
      </c>
      <c r="B2036" s="1832">
        <f>'Cap Outlay Deprec 26'!H13</f>
        <v>702387</v>
      </c>
      <c r="D2036" s="2" t="str">
        <f t="shared" si="30"/>
        <v>Error?</v>
      </c>
    </row>
    <row r="2037" spans="1:4" x14ac:dyDescent="0.2">
      <c r="A2037" s="5">
        <v>1976</v>
      </c>
      <c r="B2037" s="1832">
        <f>'Cap Outlay Deprec 26'!H16</f>
        <v>3848687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49897</v>
      </c>
      <c r="D2039" s="2" t="str">
        <f t="shared" si="30"/>
        <v>Error?</v>
      </c>
    </row>
    <row r="2040" spans="1:4" x14ac:dyDescent="0.2">
      <c r="A2040" s="5">
        <v>1979</v>
      </c>
      <c r="B2040" s="1832">
        <f>'Cap Outlay Deprec 26'!I10</f>
        <v>81529</v>
      </c>
      <c r="D2040" s="2" t="str">
        <f t="shared" si="30"/>
        <v>Error?</v>
      </c>
    </row>
    <row r="2041" spans="1:4" x14ac:dyDescent="0.2">
      <c r="A2041" s="5">
        <v>1980</v>
      </c>
      <c r="B2041" s="1832">
        <f>'Cap Outlay Deprec 26'!I12</f>
        <v>55207</v>
      </c>
      <c r="D2041" s="2" t="str">
        <f t="shared" si="30"/>
        <v>Error?</v>
      </c>
    </row>
    <row r="2042" spans="1:4" x14ac:dyDescent="0.2">
      <c r="A2042" s="5">
        <v>1981</v>
      </c>
      <c r="B2042" s="1832">
        <f>'Cap Outlay Deprec 26'!I13</f>
        <v>62423</v>
      </c>
      <c r="D2042" s="2" t="str">
        <f t="shared" si="30"/>
        <v>Error?</v>
      </c>
    </row>
    <row r="2043" spans="1:4" x14ac:dyDescent="0.2">
      <c r="A2043" s="5">
        <v>1982</v>
      </c>
      <c r="B2043" s="1832">
        <f>'Cap Outlay Deprec 26'!I16</f>
        <v>249056</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39094</v>
      </c>
      <c r="D2047" s="2" t="str">
        <f t="shared" ref="D2047:D2110" si="31">IF(ISBLANK(B2047),"OK",IF(A2047-B2047=0,"OK","Error?"))</f>
        <v>Error?</v>
      </c>
    </row>
    <row r="2048" spans="1:4" x14ac:dyDescent="0.2">
      <c r="A2048" s="5">
        <v>1987</v>
      </c>
      <c r="B2048" s="1832">
        <f>'Cap Outlay Deprec 26'!J13</f>
        <v>251695</v>
      </c>
      <c r="D2048" s="2" t="str">
        <f t="shared" si="31"/>
        <v>Error?</v>
      </c>
    </row>
    <row r="2049" spans="1:4" x14ac:dyDescent="0.2">
      <c r="A2049" s="5">
        <v>1988</v>
      </c>
      <c r="B2049" s="1832">
        <f>'Cap Outlay Deprec 26'!J16</f>
        <v>290789</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1795105</v>
      </c>
      <c r="C2051" s="2" t="s">
        <v>569</v>
      </c>
      <c r="D2051" s="2" t="str">
        <f t="shared" si="31"/>
        <v>Error?</v>
      </c>
    </row>
    <row r="2052" spans="1:4" x14ac:dyDescent="0.2">
      <c r="A2052" s="5">
        <v>1991</v>
      </c>
      <c r="B2052" s="1832">
        <f>'Cap Outlay Deprec 26'!K10</f>
        <v>1229429</v>
      </c>
      <c r="C2052" s="2" t="s">
        <v>569</v>
      </c>
      <c r="D2052" s="2" t="str">
        <f t="shared" si="31"/>
        <v>Error?</v>
      </c>
    </row>
    <row r="2053" spans="1:4" x14ac:dyDescent="0.2">
      <c r="A2053" s="5">
        <v>1992</v>
      </c>
      <c r="B2053" s="1832">
        <f>'Cap Outlay Deprec 26'!K12</f>
        <v>269305</v>
      </c>
      <c r="C2053" s="2" t="s">
        <v>569</v>
      </c>
      <c r="D2053" s="2" t="str">
        <f t="shared" si="31"/>
        <v>Error?</v>
      </c>
    </row>
    <row r="2054" spans="1:4" x14ac:dyDescent="0.2">
      <c r="A2054" s="5">
        <v>1993</v>
      </c>
      <c r="B2054" s="1832">
        <f>'Cap Outlay Deprec 26'!K13</f>
        <v>513115</v>
      </c>
      <c r="C2054" s="2" t="s">
        <v>569</v>
      </c>
      <c r="D2054" s="2" t="str">
        <f t="shared" si="31"/>
        <v>Error?</v>
      </c>
    </row>
    <row r="2055" spans="1:4" x14ac:dyDescent="0.2">
      <c r="A2055" s="5">
        <v>1994</v>
      </c>
      <c r="B2055" s="1832">
        <f>'Cap Outlay Deprec 26'!K16</f>
        <v>3806954</v>
      </c>
      <c r="C2055" s="2" t="s">
        <v>569</v>
      </c>
      <c r="D2055" s="2" t="str">
        <f t="shared" si="31"/>
        <v>Error?</v>
      </c>
    </row>
    <row r="2056" spans="1:4" x14ac:dyDescent="0.2">
      <c r="A2056" s="5">
        <v>1995</v>
      </c>
      <c r="B2056" s="1832">
        <f>'Cap Outlay Deprec 26'!L5</f>
        <v>37050</v>
      </c>
      <c r="C2056" s="2" t="s">
        <v>569</v>
      </c>
      <c r="D2056" s="2" t="str">
        <f t="shared" si="31"/>
        <v>Error?</v>
      </c>
    </row>
    <row r="2057" spans="1:4" x14ac:dyDescent="0.2">
      <c r="A2057" s="5">
        <v>1996</v>
      </c>
      <c r="B2057" s="1832">
        <f>'Cap Outlay Deprec 26'!L8</f>
        <v>810308</v>
      </c>
      <c r="C2057" s="2" t="s">
        <v>569</v>
      </c>
      <c r="D2057" s="2" t="str">
        <f t="shared" si="31"/>
        <v>Error?</v>
      </c>
    </row>
    <row r="2058" spans="1:4" x14ac:dyDescent="0.2">
      <c r="A2058" s="5">
        <v>1997</v>
      </c>
      <c r="B2058" s="1832">
        <f>'Cap Outlay Deprec 26'!L10</f>
        <v>401142</v>
      </c>
      <c r="C2058" s="2" t="s">
        <v>569</v>
      </c>
      <c r="D2058" s="2" t="str">
        <f t="shared" si="31"/>
        <v>Error?</v>
      </c>
    </row>
    <row r="2059" spans="1:4" x14ac:dyDescent="0.2">
      <c r="A2059" s="5">
        <v>1998</v>
      </c>
      <c r="B2059" s="1832">
        <f>'Cap Outlay Deprec 26'!L12</f>
        <v>343592</v>
      </c>
      <c r="C2059" s="2" t="s">
        <v>569</v>
      </c>
      <c r="D2059" s="2" t="str">
        <f t="shared" si="31"/>
        <v>Error?</v>
      </c>
    </row>
    <row r="2060" spans="1:4" x14ac:dyDescent="0.2">
      <c r="A2060" s="5">
        <v>1999</v>
      </c>
      <c r="B2060" s="1832">
        <f>'Cap Outlay Deprec 26'!L13</f>
        <v>154854</v>
      </c>
      <c r="C2060" s="2" t="s">
        <v>569</v>
      </c>
      <c r="D2060" s="2" t="str">
        <f t="shared" si="31"/>
        <v>Error?</v>
      </c>
    </row>
    <row r="2061" spans="1:4" x14ac:dyDescent="0.2">
      <c r="A2061" s="5">
        <v>2000</v>
      </c>
      <c r="B2061" s="1832">
        <f>'Cap Outlay Deprec 26'!L16</f>
        <v>1746946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51158</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125042</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64013</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63209</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1687917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1650708</v>
      </c>
      <c r="C2553" s="2" t="s">
        <v>569</v>
      </c>
      <c r="D2553" s="2" t="str">
        <f t="shared" si="38"/>
        <v>Error?</v>
      </c>
    </row>
    <row r="2554" spans="1:4" x14ac:dyDescent="0.2">
      <c r="A2554" s="5">
        <v>2493</v>
      </c>
      <c r="B2554" s="1832">
        <f>'Acct Summary 7-8'!C7</f>
        <v>347290</v>
      </c>
      <c r="C2554" s="2" t="s">
        <v>569</v>
      </c>
      <c r="D2554" s="2" t="str">
        <f t="shared" si="38"/>
        <v>Error?</v>
      </c>
    </row>
    <row r="2555" spans="1:4" x14ac:dyDescent="0.2">
      <c r="A2555" s="5">
        <v>2494</v>
      </c>
      <c r="B2555" s="1832">
        <f>'Acct Summary 7-8'!C8</f>
        <v>3685915</v>
      </c>
      <c r="C2555" s="2" t="s">
        <v>569</v>
      </c>
      <c r="D2555" s="2" t="str">
        <f t="shared" si="38"/>
        <v>Error?</v>
      </c>
    </row>
    <row r="2556" spans="1:4" x14ac:dyDescent="0.2">
      <c r="A2556" s="5">
        <v>2495</v>
      </c>
      <c r="B2556" s="1832">
        <f>'Acct Summary 7-8'!C12</f>
        <v>2517901</v>
      </c>
      <c r="C2556" s="2" t="s">
        <v>569</v>
      </c>
      <c r="D2556" s="2" t="str">
        <f t="shared" si="38"/>
        <v>Error?</v>
      </c>
    </row>
    <row r="2557" spans="1:4" x14ac:dyDescent="0.2">
      <c r="A2557" s="5">
        <v>2496</v>
      </c>
      <c r="B2557" s="1832">
        <f>'Acct Summary 7-8'!C13</f>
        <v>820392</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125042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3463335</v>
      </c>
      <c r="C2561" s="2" t="s">
        <v>569</v>
      </c>
      <c r="D2561" s="2" t="str">
        <f t="shared" si="39"/>
        <v>Error?</v>
      </c>
    </row>
    <row r="2562" spans="1:4" x14ac:dyDescent="0.2">
      <c r="A2562" s="5">
        <v>2501</v>
      </c>
      <c r="B2562" s="1832">
        <f>'Acct Summary 7-8'!C20</f>
        <v>222580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356737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319996</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676733</v>
      </c>
      <c r="C2568" s="2" t="s">
        <v>569</v>
      </c>
      <c r="D2568" s="2" t="str">
        <f t="shared" si="39"/>
        <v>Error?</v>
      </c>
    </row>
    <row r="2569" spans="1:4" x14ac:dyDescent="0.2">
      <c r="A2569" s="5">
        <v>2508</v>
      </c>
      <c r="B2569" s="1832">
        <f>'Acct Summary 7-8'!D13</f>
        <v>640764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640764</v>
      </c>
      <c r="C2573" s="2" t="s">
        <v>569</v>
      </c>
      <c r="D2573" s="2" t="str">
        <f t="shared" si="39"/>
        <v>Error?</v>
      </c>
    </row>
    <row r="2574" spans="1:4" x14ac:dyDescent="0.2">
      <c r="A2574" s="5">
        <v>2513</v>
      </c>
      <c r="B2574" s="1832">
        <f>'Acct Summary 7-8'!D20</f>
        <v>35969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84661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279766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364427</v>
      </c>
      <c r="C2595" s="2" t="s">
        <v>569</v>
      </c>
      <c r="D2595" s="2" t="str">
        <f t="shared" si="39"/>
        <v>Error?</v>
      </c>
    </row>
    <row r="2596" spans="1:4" x14ac:dyDescent="0.2">
      <c r="A2596" s="5">
        <v>2535</v>
      </c>
      <c r="B2596" s="1832">
        <f>'Acct Summary 7-8'!F13</f>
        <v>261922</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261922</v>
      </c>
      <c r="C2600" s="2" t="s">
        <v>569</v>
      </c>
      <c r="D2600" s="2" t="str">
        <f t="shared" si="39"/>
        <v>Error?</v>
      </c>
    </row>
    <row r="2601" spans="1:4" x14ac:dyDescent="0.2">
      <c r="A2601" s="5">
        <v>2540</v>
      </c>
      <c r="B2601" s="1832">
        <f>'Acct Summary 7-8'!F20</f>
        <v>102505</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136245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136245</v>
      </c>
      <c r="C2606" s="2" t="s">
        <v>569</v>
      </c>
      <c r="D2606" s="2" t="str">
        <f t="shared" si="39"/>
        <v>Error?</v>
      </c>
    </row>
    <row r="2607" spans="1:4" x14ac:dyDescent="0.2">
      <c r="A2607" s="5">
        <v>2546</v>
      </c>
      <c r="B2607" s="1832">
        <f>'Acct Summary 7-8'!G12</f>
        <v>50809</v>
      </c>
      <c r="C2607" s="2" t="s">
        <v>569</v>
      </c>
      <c r="D2607" s="2" t="str">
        <f t="shared" si="39"/>
        <v>Error?</v>
      </c>
    </row>
    <row r="2608" spans="1:4" x14ac:dyDescent="0.2">
      <c r="A2608" s="5">
        <v>2547</v>
      </c>
      <c r="B2608" s="1832">
        <f>'Acct Summary 7-8'!G13</f>
        <v>80577</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131386</v>
      </c>
      <c r="C2612" s="2" t="s">
        <v>569</v>
      </c>
      <c r="D2612" s="2" t="str">
        <f t="shared" si="39"/>
        <v>Error?</v>
      </c>
    </row>
    <row r="2613" spans="1:4" x14ac:dyDescent="0.2">
      <c r="A2613" s="5">
        <v>2552</v>
      </c>
      <c r="B2613" s="1832">
        <f>'Acct Summary 7-8'!G20</f>
        <v>4859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73884</v>
      </c>
      <c r="C2789" s="2" t="s">
        <v>569</v>
      </c>
      <c r="D2789" s="2" t="str">
        <f t="shared" si="42"/>
        <v>Error?</v>
      </c>
    </row>
    <row r="2790" spans="1:4" x14ac:dyDescent="0.2">
      <c r="A2790" s="5">
        <v>2729</v>
      </c>
      <c r="B2790" s="1832">
        <f>'Expenditures 15-22'!E102</f>
        <v>73884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387963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130729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387963</v>
      </c>
      <c r="D2912" s="2" t="str">
        <f t="shared" si="44"/>
        <v>Error?</v>
      </c>
    </row>
    <row r="2913" spans="1:4" x14ac:dyDescent="0.2">
      <c r="A2913" s="5">
        <v>2852</v>
      </c>
      <c r="B2913" s="1832">
        <f>'Assets-Liab 5-6'!I41</f>
        <v>387963</v>
      </c>
      <c r="C2913" s="2" t="s">
        <v>569</v>
      </c>
      <c r="D2913" s="2" t="str">
        <f t="shared" si="44"/>
        <v>Error?</v>
      </c>
    </row>
    <row r="2914" spans="1:4" x14ac:dyDescent="0.2">
      <c r="A2914" s="5">
        <v>2853</v>
      </c>
      <c r="B2914" s="1832">
        <f>'Assets-Liab 5-6'!L33</f>
        <v>130729</v>
      </c>
      <c r="D2914" s="2" t="str">
        <f t="shared" si="44"/>
        <v>Error?</v>
      </c>
    </row>
    <row r="2915" spans="1:4" x14ac:dyDescent="0.2">
      <c r="A2915" s="10">
        <v>2854</v>
      </c>
      <c r="B2915" s="1832"/>
      <c r="D2915" s="2" t="str">
        <f t="shared" si="44"/>
        <v>OK</v>
      </c>
    </row>
    <row r="2916" spans="1:4" x14ac:dyDescent="0.2">
      <c r="A2916" s="5">
        <v>2855</v>
      </c>
      <c r="B2916" s="1832">
        <f>'Assets-Liab 5-6'!L34</f>
        <v>130729</v>
      </c>
      <c r="C2916" s="2" t="s">
        <v>569</v>
      </c>
      <c r="D2916" s="2" t="str">
        <f t="shared" si="44"/>
        <v>Error?</v>
      </c>
    </row>
    <row r="2917" spans="1:4" x14ac:dyDescent="0.2">
      <c r="A2917" s="5">
        <v>2856</v>
      </c>
      <c r="B2917" s="1832">
        <f>'Assets-Liab 5-6'!L41</f>
        <v>130729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73884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51158</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125042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87387</v>
      </c>
      <c r="D3055" s="2" t="str">
        <f t="shared" si="46"/>
        <v>Error?</v>
      </c>
    </row>
    <row r="3056" spans="1:4" x14ac:dyDescent="0.2">
      <c r="A3056" s="5">
        <v>2995</v>
      </c>
      <c r="B3056" s="1832">
        <f>'Expenditures 15-22'!D10</f>
        <v>11851</v>
      </c>
      <c r="D3056" s="2" t="str">
        <f t="shared" si="46"/>
        <v>Error?</v>
      </c>
    </row>
    <row r="3057" spans="1:4" x14ac:dyDescent="0.2">
      <c r="A3057" s="5">
        <v>2996</v>
      </c>
      <c r="B3057" s="1832">
        <f>'Expenditures 15-22'!E10</f>
        <v>1039</v>
      </c>
      <c r="D3057" s="2" t="str">
        <f t="shared" si="46"/>
        <v>Error?</v>
      </c>
    </row>
    <row r="3058" spans="1:4" x14ac:dyDescent="0.2">
      <c r="A3058" s="5">
        <v>2997</v>
      </c>
      <c r="B3058" s="1832">
        <f>'Expenditures 15-22'!F10</f>
        <v>2789</v>
      </c>
      <c r="D3058" s="2" t="str">
        <f t="shared" si="46"/>
        <v>Error?</v>
      </c>
    </row>
    <row r="3059" spans="1:4" x14ac:dyDescent="0.2">
      <c r="A3059" s="5">
        <v>2998</v>
      </c>
      <c r="B3059" s="1832">
        <f>'Expenditures 15-22'!G10</f>
        <v>2805</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105871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1166</v>
      </c>
      <c r="D3064" s="2" t="str">
        <f t="shared" si="46"/>
        <v>Error?</v>
      </c>
    </row>
    <row r="3065" spans="1:4" x14ac:dyDescent="0.2">
      <c r="A3065" s="5">
        <v>3004</v>
      </c>
      <c r="B3065" s="1832">
        <f>'Expenditures 15-22'!K219</f>
        <v>1166</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25519</v>
      </c>
      <c r="C3225" s="2" t="s">
        <v>569</v>
      </c>
      <c r="D3225" s="2" t="str">
        <f t="shared" si="49"/>
        <v>Error?</v>
      </c>
    </row>
    <row r="3226" spans="1:4" x14ac:dyDescent="0.2">
      <c r="A3226" s="5">
        <v>3165</v>
      </c>
      <c r="B3226" s="1832">
        <f>'Acct Summary 7-8'!I8</f>
        <v>25519</v>
      </c>
      <c r="C3226" s="2" t="s">
        <v>569</v>
      </c>
      <c r="D3226" s="2" t="str">
        <f t="shared" si="49"/>
        <v>Error?</v>
      </c>
    </row>
    <row r="3227" spans="1:4" x14ac:dyDescent="0.2">
      <c r="A3227" s="5">
        <v>3166</v>
      </c>
      <c r="B3227" s="1832">
        <f>'Acct Summary 7-8'!I20</f>
        <v>25519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222580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35969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102505</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4859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25519</v>
      </c>
      <c r="C3320" s="2" t="s">
        <v>569</v>
      </c>
      <c r="D3320" s="2" t="str">
        <f t="shared" si="50"/>
        <v>Error?</v>
      </c>
    </row>
    <row r="3321" spans="1:4" x14ac:dyDescent="0.2">
      <c r="A3321" s="5">
        <v>3260</v>
      </c>
      <c r="B3321" s="1832">
        <f>'Acct Summary 7-8'!I79</f>
        <v>362444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387963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269761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11443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213</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1856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283273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31408</v>
      </c>
      <c r="D3387" s="2" t="str">
        <f t="shared" si="51"/>
        <v>Error?</v>
      </c>
    </row>
    <row r="3388" spans="1:4" x14ac:dyDescent="0.2">
      <c r="A3388" s="5">
        <v>3327</v>
      </c>
      <c r="B3388" s="1832">
        <f>'Expenditures 15-22'!D217</f>
        <v>9341</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31408</v>
      </c>
      <c r="C3390" s="2" t="s">
        <v>569</v>
      </c>
      <c r="D3390" s="2" t="str">
        <f t="shared" si="51"/>
        <v>Error?</v>
      </c>
    </row>
    <row r="3391" spans="1:4" x14ac:dyDescent="0.2">
      <c r="A3391" s="5">
        <v>3330</v>
      </c>
      <c r="B3391" s="1832">
        <f>'Expenditures 15-22'!K217</f>
        <v>9341</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2084700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1157624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482739</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192657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387963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130729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83698</v>
      </c>
      <c r="C3446" s="2" t="s">
        <v>569</v>
      </c>
      <c r="D3446" s="2" t="str">
        <f t="shared" si="52"/>
        <v>Error?</v>
      </c>
    </row>
    <row r="3447" spans="1:4" x14ac:dyDescent="0.2">
      <c r="A3447" s="5">
        <v>3386</v>
      </c>
      <c r="B3447" s="1832">
        <f>'Tax Sched 23'!D16</f>
        <v>83698</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96000</v>
      </c>
      <c r="C3449" s="2" t="s">
        <v>569</v>
      </c>
      <c r="D3449" s="2" t="str">
        <f t="shared" si="52"/>
        <v>Error?</v>
      </c>
    </row>
    <row r="3450" spans="1:4" x14ac:dyDescent="0.2">
      <c r="A3450" s="5">
        <v>3389</v>
      </c>
      <c r="B3450" s="1832">
        <f>'Tax Sched 23'!E16</f>
        <v>96000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66756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66756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66756</v>
      </c>
      <c r="D3567" s="2" t="str">
        <f t="shared" si="54"/>
        <v>Error?</v>
      </c>
    </row>
    <row r="3568" spans="1:4" x14ac:dyDescent="0.2">
      <c r="A3568" s="5">
        <v>3507</v>
      </c>
      <c r="B3568" s="1832">
        <f>'Assets-Liab 5-6'!K41</f>
        <v>66756</v>
      </c>
      <c r="C3568" s="2" t="s">
        <v>569</v>
      </c>
      <c r="D3568" s="2" t="str">
        <f t="shared" si="54"/>
        <v>Error?</v>
      </c>
    </row>
    <row r="3569" spans="1:4" x14ac:dyDescent="0.2">
      <c r="A3569" s="5">
        <v>3508</v>
      </c>
      <c r="B3569" s="1832">
        <f>'Acct Summary 7-8'!K4</f>
        <v>18202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18202</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18202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18202</v>
      </c>
      <c r="C3588" s="2" t="s">
        <v>569</v>
      </c>
      <c r="D3588" s="2" t="str">
        <f t="shared" si="55"/>
        <v>Error?</v>
      </c>
    </row>
    <row r="3589" spans="1:4" x14ac:dyDescent="0.2">
      <c r="A3589" s="5">
        <v>3528</v>
      </c>
      <c r="B3589" s="1832">
        <f>'Acct Summary 7-8'!K79</f>
        <v>48554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66756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18202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18054</v>
      </c>
      <c r="C3725" s="2" t="s">
        <v>569</v>
      </c>
      <c r="D3725" s="2" t="str">
        <f t="shared" si="57"/>
        <v>Error?</v>
      </c>
    </row>
    <row r="3726" spans="1:4" x14ac:dyDescent="0.2">
      <c r="A3726" s="5">
        <v>3665</v>
      </c>
      <c r="B3726" s="1832">
        <f>'Tax Sched 23'!D13</f>
        <v>18054</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19172</v>
      </c>
      <c r="C3728" s="2" t="s">
        <v>569</v>
      </c>
      <c r="D3728" s="2" t="str">
        <f t="shared" si="57"/>
        <v>Error?</v>
      </c>
    </row>
    <row r="3729" spans="1:4" x14ac:dyDescent="0.2">
      <c r="A3729" s="5">
        <v>3668</v>
      </c>
      <c r="B3729" s="1832">
        <f>'Tax Sched 23'!E13</f>
        <v>19172</v>
      </c>
      <c r="D3729" s="2" t="str">
        <f t="shared" si="57"/>
        <v>Error?</v>
      </c>
    </row>
    <row r="3730" spans="1:4" x14ac:dyDescent="0.2">
      <c r="A3730" s="5">
        <v>3669</v>
      </c>
      <c r="B3730" s="1832">
        <f>'ICR Computation 30'!E10</f>
        <v>92647</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1834143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5520058</v>
      </c>
      <c r="C4122" s="2" t="s">
        <v>569</v>
      </c>
      <c r="D4122" s="2" t="str">
        <f t="shared" si="63"/>
        <v>Error?</v>
      </c>
    </row>
    <row r="4123" spans="1:4" x14ac:dyDescent="0.2">
      <c r="A4123" s="5">
        <v>4062</v>
      </c>
      <c r="B4123" s="1832">
        <f>'Acct Summary 7-8'!D10</f>
        <v>676733</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364427</v>
      </c>
      <c r="C4125" s="2" t="s">
        <v>569</v>
      </c>
      <c r="D4125" s="2" t="str">
        <f t="shared" si="63"/>
        <v>Error?</v>
      </c>
    </row>
    <row r="4126" spans="1:4" x14ac:dyDescent="0.2">
      <c r="A4126" s="5">
        <v>4065</v>
      </c>
      <c r="B4126" s="1832">
        <f>'Acct Summary 7-8'!G10</f>
        <v>136245</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25519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18202</v>
      </c>
      <c r="C4130" s="2" t="s">
        <v>569</v>
      </c>
      <c r="D4130" s="2" t="str">
        <f t="shared" si="63"/>
        <v>Error?</v>
      </c>
    </row>
    <row r="4131" spans="1:4" x14ac:dyDescent="0.2">
      <c r="A4131" s="5">
        <v>4070</v>
      </c>
      <c r="B4131" s="1832">
        <f>'Acct Summary 7-8'!C18</f>
        <v>1834143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5297478</v>
      </c>
      <c r="C4136" s="2" t="s">
        <v>569</v>
      </c>
      <c r="D4136" s="2" t="str">
        <f t="shared" si="63"/>
        <v>Error?</v>
      </c>
    </row>
    <row r="4137" spans="1:4" x14ac:dyDescent="0.2">
      <c r="A4137" s="5">
        <v>4076</v>
      </c>
      <c r="B4137" s="1832">
        <f>'Acct Summary 7-8'!D19</f>
        <v>640764</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261922</v>
      </c>
      <c r="C4139" s="2" t="s">
        <v>569</v>
      </c>
      <c r="D4139" s="2" t="str">
        <f t="shared" si="63"/>
        <v>Error?</v>
      </c>
    </row>
    <row r="4140" spans="1:4" x14ac:dyDescent="0.2">
      <c r="A4140" s="5">
        <v>4079</v>
      </c>
      <c r="B4140" s="1832">
        <f>'Acct Summary 7-8'!G19</f>
        <v>131386</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3425.05</v>
      </c>
      <c r="C4265" s="2" t="s">
        <v>569</v>
      </c>
      <c r="D4265" s="2" t="str">
        <f t="shared" si="65"/>
        <v>Error?</v>
      </c>
      <c r="E4265" s="125"/>
    </row>
    <row r="4266" spans="1:5" x14ac:dyDescent="0.2">
      <c r="A4266" s="12">
        <v>4205</v>
      </c>
      <c r="B4266" s="1832">
        <f>('FP Info 3'!F10)*100000</f>
        <v>473.07299999999998</v>
      </c>
      <c r="C4266" s="2" t="s">
        <v>569</v>
      </c>
      <c r="D4266" s="2" t="str">
        <f t="shared" si="65"/>
        <v>Error?</v>
      </c>
      <c r="E4266" s="125"/>
    </row>
    <row r="4267" spans="1:5" x14ac:dyDescent="0.2">
      <c r="A4267" s="12">
        <v>4206</v>
      </c>
      <c r="B4267" s="1832">
        <f>('FP Info 3'!H10)*100000</f>
        <v>189.22900000000001</v>
      </c>
      <c r="C4267" s="2" t="s">
        <v>569</v>
      </c>
      <c r="D4267" s="2" t="str">
        <f t="shared" si="65"/>
        <v>Error?</v>
      </c>
      <c r="E4267" s="125"/>
    </row>
    <row r="4268" spans="1:5" x14ac:dyDescent="0.2">
      <c r="A4268" s="12">
        <v>4207</v>
      </c>
      <c r="B4268" s="1832">
        <f>('FP Info 3'!J10)*100000</f>
        <v>4086.9999999999995</v>
      </c>
      <c r="C4268" s="2" t="s">
        <v>569</v>
      </c>
      <c r="D4268" s="2" t="str">
        <f t="shared" si="65"/>
        <v>Error?</v>
      </c>
    </row>
    <row r="4269" spans="1:5" x14ac:dyDescent="0.2">
      <c r="A4269" s="12">
        <v>4208</v>
      </c>
      <c r="B4269" s="1832">
        <f>'FP Info 3'!J16</f>
        <v>4113026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3721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297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17423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47.307000000000002</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19398</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40526530</v>
      </c>
      <c r="D4995" s="2" t="str">
        <f t="shared" si="77"/>
        <v>Error?</v>
      </c>
    </row>
    <row r="4996" spans="1:4" x14ac:dyDescent="0.2">
      <c r="A4996" s="12">
        <v>4935</v>
      </c>
      <c r="B4996" s="1832">
        <f>'FP Info 3'!H31</f>
        <v>5592661.1400000006</v>
      </c>
      <c r="D4996" s="2" t="str">
        <f t="shared" si="77"/>
        <v>Error?</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18054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1307004</v>
      </c>
      <c r="D5061" s="2" t="str">
        <f t="shared" si="78"/>
        <v>Error?</v>
      </c>
    </row>
    <row r="5062" spans="1:4" x14ac:dyDescent="0.2">
      <c r="A5062" s="10">
        <v>5001</v>
      </c>
      <c r="B5062" s="1832"/>
      <c r="D5062" s="2" t="str">
        <f t="shared" si="78"/>
        <v>OK</v>
      </c>
    </row>
    <row r="5063" spans="1:4" x14ac:dyDescent="0.2">
      <c r="A5063" s="5">
        <v>5002</v>
      </c>
      <c r="B5063" s="1832">
        <f>'Revenues 9-14'!C7</f>
        <v>14442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1339500</v>
      </c>
      <c r="C5066" s="2" t="s">
        <v>569</v>
      </c>
      <c r="D5066" s="2" t="str">
        <f t="shared" si="78"/>
        <v>Error?</v>
      </c>
    </row>
    <row r="5067" spans="1:4" x14ac:dyDescent="0.2">
      <c r="A5067" s="5">
        <v>5006</v>
      </c>
      <c r="B5067" s="1832">
        <f>'Revenues 9-14'!C14</f>
        <v>7495</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214524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222019</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34612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34612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3379</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5101</v>
      </c>
      <c r="D5094" s="2" t="str">
        <f t="shared" si="78"/>
        <v>Error?</v>
      </c>
    </row>
    <row r="5095" spans="1:4" x14ac:dyDescent="0.2">
      <c r="A5095" s="5">
        <v>5034</v>
      </c>
      <c r="B5095" s="1832">
        <f>'Revenues 9-14'!C74</f>
        <v>431</v>
      </c>
      <c r="D5095" s="2" t="str">
        <f t="shared" si="78"/>
        <v>Error?</v>
      </c>
    </row>
    <row r="5096" spans="1:4" x14ac:dyDescent="0.2">
      <c r="A5096" s="5">
        <v>5035</v>
      </c>
      <c r="B5096" s="1832">
        <f>'Revenues 9-14'!C75</f>
        <v>46826</v>
      </c>
      <c r="C5096" s="2" t="s">
        <v>569</v>
      </c>
      <c r="D5096" s="2" t="str">
        <f t="shared" si="78"/>
        <v>Error?</v>
      </c>
    </row>
    <row r="5097" spans="1:4" x14ac:dyDescent="0.2">
      <c r="A5097" s="5">
        <v>5036</v>
      </c>
      <c r="B5097" s="1832">
        <f>'Revenues 9-14'!C77</f>
        <v>10927</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7319</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18246</v>
      </c>
      <c r="C5102" s="2" t="s">
        <v>569</v>
      </c>
      <c r="D5102" s="2" t="str">
        <f t="shared" si="78"/>
        <v>Error?</v>
      </c>
    </row>
    <row r="5103" spans="1:4" x14ac:dyDescent="0.2">
      <c r="A5103" s="5">
        <v>5042</v>
      </c>
      <c r="B5103" s="1832">
        <f>'Revenues 9-14'!C84</f>
        <v>14646</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14646</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10698</v>
      </c>
      <c r="D5119" s="2" t="str">
        <f t="shared" ref="D5119:D5182" si="79">IF(ISBLANK(B5119),"OK",IF(A5119-B5119=0,"OK","Error?"))</f>
        <v>Error?</v>
      </c>
    </row>
    <row r="5120" spans="1:4" x14ac:dyDescent="0.2">
      <c r="A5120" s="5">
        <v>5059</v>
      </c>
      <c r="B5120" s="1832">
        <f>'Revenues 9-14'!C108</f>
        <v>12068</v>
      </c>
      <c r="C5120" s="2" t="s">
        <v>569</v>
      </c>
      <c r="D5120" s="2" t="str">
        <f t="shared" si="79"/>
        <v>Error?</v>
      </c>
    </row>
    <row r="5121" spans="1:4" x14ac:dyDescent="0.2">
      <c r="A5121" s="5">
        <v>5060</v>
      </c>
      <c r="B5121" s="1832">
        <f>'Revenues 9-14'!C109</f>
        <v>1687917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1542049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1542049</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14341</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31997</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1249</v>
      </c>
      <c r="D5167" s="2" t="str">
        <f t="shared" si="79"/>
        <v>Error?</v>
      </c>
    </row>
    <row r="5168" spans="1:4" x14ac:dyDescent="0.2">
      <c r="A5168" s="5">
        <v>5107</v>
      </c>
      <c r="B5168" s="1832">
        <f>'Revenues 9-14'!C148</f>
        <v>4100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71313</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108659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1650708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66451</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26618</v>
      </c>
      <c r="D5241" s="2" t="str">
        <f t="shared" si="80"/>
        <v>Error?</v>
      </c>
    </row>
    <row r="5242" spans="1:4" x14ac:dyDescent="0.2">
      <c r="A5242" s="5">
        <v>5181</v>
      </c>
      <c r="B5242" s="1832">
        <f>'Revenues 9-14'!C194</f>
        <v>33035</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126104</v>
      </c>
      <c r="C5246" s="2" t="s">
        <v>569</v>
      </c>
      <c r="D5246" s="2" t="str">
        <f t="shared" si="80"/>
        <v>Error?</v>
      </c>
    </row>
    <row r="5247" spans="1:4" x14ac:dyDescent="0.2">
      <c r="A5247" s="5">
        <v>5186</v>
      </c>
      <c r="B5247" s="1832">
        <f>'Revenues 9-14'!C200</f>
        <v>113495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113495</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3701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58940</v>
      </c>
      <c r="D5278" s="2" t="str">
        <f t="shared" si="81"/>
        <v>Error?</v>
      </c>
    </row>
    <row r="5279" spans="1:4" x14ac:dyDescent="0.2">
      <c r="A5279" s="5">
        <v>5218</v>
      </c>
      <c r="B5279" s="1832">
        <f>'Revenues 9-14'!C214</f>
        <v>11</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62652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4200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4200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347290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347290</v>
      </c>
      <c r="C5326" s="2" t="s">
        <v>569</v>
      </c>
      <c r="D5326" s="2" t="str">
        <f t="shared" si="82"/>
        <v>Error?</v>
      </c>
    </row>
    <row r="5327" spans="1:5" x14ac:dyDescent="0.2">
      <c r="A5327" s="5">
        <v>5266</v>
      </c>
      <c r="B5327" s="1832">
        <f>'Revenues 9-14'!C268</f>
        <v>3685915</v>
      </c>
      <c r="C5327" s="2" t="s">
        <v>569</v>
      </c>
      <c r="D5327" s="2" t="str">
        <f t="shared" si="82"/>
        <v>Error?</v>
      </c>
    </row>
    <row r="5328" spans="1:5" x14ac:dyDescent="0.2">
      <c r="A5328" s="5">
        <v>5267</v>
      </c>
      <c r="B5328" s="1832">
        <f>'Revenues 9-14'!D5</f>
        <v>180527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180527</v>
      </c>
      <c r="C5334" s="2" t="s">
        <v>569</v>
      </c>
      <c r="D5334" s="2" t="str">
        <f t="shared" si="82"/>
        <v>Error?</v>
      </c>
    </row>
    <row r="5335" spans="1:4" x14ac:dyDescent="0.2">
      <c r="A5335" s="5">
        <v>5274</v>
      </c>
      <c r="B5335" s="1832">
        <f>'Revenues 9-14'!D14</f>
        <v>1010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1010</v>
      </c>
      <c r="C5339" s="2" t="s">
        <v>569</v>
      </c>
      <c r="D5339" s="2" t="str">
        <f t="shared" si="82"/>
        <v>Error?</v>
      </c>
    </row>
    <row r="5340" spans="1:4" x14ac:dyDescent="0.2">
      <c r="A5340" s="5">
        <v>5279</v>
      </c>
      <c r="B5340" s="1832">
        <f>'Revenues 9-14'!D65</f>
        <v>20123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20123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25000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130077</v>
      </c>
      <c r="D5354" s="2" t="str">
        <f t="shared" si="82"/>
        <v>Error?</v>
      </c>
    </row>
    <row r="5355" spans="1:4" x14ac:dyDescent="0.2">
      <c r="A5355" s="5">
        <v>5294</v>
      </c>
      <c r="B5355" s="1832">
        <f>'Revenues 9-14'!D108</f>
        <v>155077</v>
      </c>
      <c r="C5355" s="2" t="s">
        <v>569</v>
      </c>
      <c r="D5355" s="2" t="str">
        <f t="shared" si="82"/>
        <v>Error?</v>
      </c>
    </row>
    <row r="5356" spans="1:4" x14ac:dyDescent="0.2">
      <c r="A5356" s="5">
        <v>5295</v>
      </c>
      <c r="B5356" s="1832">
        <f>'Revenues 9-14'!D109</f>
        <v>356737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269996</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269996</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319996</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676733</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72212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72212</v>
      </c>
      <c r="C5557" s="2" t="s">
        <v>569</v>
      </c>
      <c r="D5557" s="2" t="str">
        <f t="shared" si="85"/>
        <v>Error?</v>
      </c>
    </row>
    <row r="5558" spans="1:4" x14ac:dyDescent="0.2">
      <c r="A5558" s="5">
        <v>5497</v>
      </c>
      <c r="B5558" s="1832">
        <f>'Revenues 9-14'!F14</f>
        <v>404</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404</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7398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7398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4647</v>
      </c>
      <c r="D5586" s="2" t="str">
        <f t="shared" si="86"/>
        <v>Error?</v>
      </c>
    </row>
    <row r="5587" spans="1:4" x14ac:dyDescent="0.2">
      <c r="A5587" s="5">
        <v>5526</v>
      </c>
      <c r="B5587" s="1832">
        <f>'Revenues 9-14'!F108</f>
        <v>4647</v>
      </c>
      <c r="C5587" s="2" t="s">
        <v>569</v>
      </c>
      <c r="D5587" s="2" t="str">
        <f t="shared" si="86"/>
        <v>Error?</v>
      </c>
    </row>
    <row r="5588" spans="1:4" x14ac:dyDescent="0.2">
      <c r="A5588" s="5">
        <v>5527</v>
      </c>
      <c r="B5588" s="1832">
        <f>'Revenues 9-14'!F109</f>
        <v>84661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100000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100000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149583</v>
      </c>
      <c r="D5615" s="2" t="str">
        <f t="shared" si="86"/>
        <v>Error?</v>
      </c>
    </row>
    <row r="5616" spans="1:4" x14ac:dyDescent="0.2">
      <c r="A5616" s="10">
        <v>5555</v>
      </c>
      <c r="B5616" s="1832"/>
      <c r="D5616" s="2" t="str">
        <f t="shared" si="86"/>
        <v>OK</v>
      </c>
    </row>
    <row r="5617" spans="1:5" x14ac:dyDescent="0.2">
      <c r="A5617" s="5">
        <v>5556</v>
      </c>
      <c r="B5617" s="1832">
        <f>'Revenues 9-14'!F153</f>
        <v>30183</v>
      </c>
      <c r="D5617" s="2" t="str">
        <f t="shared" si="86"/>
        <v>Error?</v>
      </c>
    </row>
    <row r="5618" spans="1:5" x14ac:dyDescent="0.2">
      <c r="A5618" s="5">
        <v>5557</v>
      </c>
      <c r="B5618" s="1832">
        <f>'Revenues 9-14'!F155</f>
        <v>179766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179766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279766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364427</v>
      </c>
      <c r="C5720" s="2" t="s">
        <v>569</v>
      </c>
      <c r="D5720" s="2" t="str">
        <f t="shared" si="88"/>
        <v>Error?</v>
      </c>
    </row>
    <row r="5721" spans="1:4" x14ac:dyDescent="0.2">
      <c r="A5721" s="5">
        <v>5660</v>
      </c>
      <c r="B5721" s="1832">
        <f>'Revenues 9-14'!G5</f>
        <v>29884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83698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113582</v>
      </c>
      <c r="C5725" s="2" t="s">
        <v>569</v>
      </c>
      <c r="D5725" s="2" t="str">
        <f t="shared" si="88"/>
        <v>Error?</v>
      </c>
    </row>
    <row r="5726" spans="1:4" x14ac:dyDescent="0.2">
      <c r="A5726" s="5">
        <v>5665</v>
      </c>
      <c r="B5726" s="1832">
        <f>'Revenues 9-14'!G14</f>
        <v>636</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18000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18636</v>
      </c>
      <c r="C5730" s="2" t="s">
        <v>569</v>
      </c>
      <c r="D5730" s="2" t="str">
        <f t="shared" si="88"/>
        <v>Error?</v>
      </c>
    </row>
    <row r="5731" spans="1:4" x14ac:dyDescent="0.2">
      <c r="A5731" s="5">
        <v>5670</v>
      </c>
      <c r="B5731" s="1832">
        <f>'Revenues 9-14'!G65</f>
        <v>4027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4027</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136245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18054</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18054</v>
      </c>
      <c r="C5918" s="2" t="s">
        <v>569</v>
      </c>
      <c r="D5918" s="2" t="str">
        <f t="shared" si="91"/>
        <v>Error?</v>
      </c>
    </row>
    <row r="5919" spans="1:4" x14ac:dyDescent="0.2">
      <c r="A5919" s="5">
        <v>5858</v>
      </c>
      <c r="B5919" s="1832">
        <f>'Revenues 9-14'!I14</f>
        <v>101</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101</v>
      </c>
      <c r="C5923" s="2" t="s">
        <v>569</v>
      </c>
      <c r="D5923" s="2" t="str">
        <f t="shared" si="91"/>
        <v>Error?</v>
      </c>
    </row>
    <row r="5924" spans="1:4" x14ac:dyDescent="0.2">
      <c r="A5924" s="5">
        <v>5863</v>
      </c>
      <c r="B5924" s="1832">
        <f>'Revenues 9-14'!I65</f>
        <v>7364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7364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25519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18054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18054</v>
      </c>
      <c r="C5987" s="2" t="s">
        <v>569</v>
      </c>
      <c r="D5987" s="2" t="str">
        <f t="shared" si="92"/>
        <v>Error?</v>
      </c>
    </row>
    <row r="5988" spans="1:4" x14ac:dyDescent="0.2">
      <c r="A5988" s="5">
        <v>5927</v>
      </c>
      <c r="B5988" s="1832">
        <f>'Revenues 9-14'!K14</f>
        <v>101</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101</v>
      </c>
      <c r="C5992" s="2" t="s">
        <v>569</v>
      </c>
      <c r="D5992" s="2" t="str">
        <f t="shared" si="92"/>
        <v>Error?</v>
      </c>
    </row>
    <row r="5993" spans="1:4" x14ac:dyDescent="0.2">
      <c r="A5993" s="5">
        <v>5932</v>
      </c>
      <c r="B5993" s="1832">
        <f>'Revenues 9-14'!K65</f>
        <v>47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47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18202</v>
      </c>
      <c r="C6023" s="2" t="s">
        <v>569</v>
      </c>
      <c r="D6023" s="2" t="str">
        <f t="shared" si="93"/>
        <v>Error?</v>
      </c>
    </row>
    <row r="6024" spans="1:5" x14ac:dyDescent="0.2">
      <c r="A6024" s="5">
        <v>5963</v>
      </c>
      <c r="B6024" s="1832">
        <f>'Revenues 9-14'!G109</f>
        <v>136245</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25519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18202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37915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17374</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371.7</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252845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252845</v>
      </c>
      <c r="D6215" s="2" t="str">
        <f t="shared" si="96"/>
        <v>Error?</v>
      </c>
      <c r="E6215" s="2" t="s">
        <v>189</v>
      </c>
    </row>
    <row r="6216" spans="1:5" x14ac:dyDescent="0.2">
      <c r="A6216">
        <v>6155</v>
      </c>
      <c r="B6216" s="1832">
        <f>'Assets-Liab 5-6'!J41</f>
        <v>252845</v>
      </c>
      <c r="D6216" s="2" t="str">
        <f t="shared" si="96"/>
        <v>Error?</v>
      </c>
      <c r="E6216" s="2" t="s">
        <v>189</v>
      </c>
    </row>
    <row r="6217" spans="1:5" x14ac:dyDescent="0.2">
      <c r="A6217">
        <v>6156</v>
      </c>
      <c r="B6217" s="1832">
        <f>'Assets-Liab 5-6'!J4</f>
        <v>252845</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119439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119439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119439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99237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99237</v>
      </c>
      <c r="D6229" s="2" t="str">
        <f t="shared" si="96"/>
        <v>Error?</v>
      </c>
      <c r="E6229" s="2" t="s">
        <v>189</v>
      </c>
    </row>
    <row r="6230" spans="1:5" x14ac:dyDescent="0.2">
      <c r="A6230">
        <v>6169</v>
      </c>
      <c r="B6230" s="1832">
        <f>'Acct Summary 7-8'!J20</f>
        <v>20202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20202</v>
      </c>
      <c r="D6263" s="2" t="str">
        <f t="shared" si="96"/>
        <v>Error?</v>
      </c>
      <c r="E6263" s="2" t="s">
        <v>189</v>
      </c>
    </row>
    <row r="6264" spans="1:5" x14ac:dyDescent="0.2">
      <c r="A6264">
        <v>6203</v>
      </c>
      <c r="B6264" s="1832">
        <f>'Acct Summary 7-8'!J79</f>
        <v>232643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252845</v>
      </c>
      <c r="D6266" s="2" t="str">
        <f t="shared" si="96"/>
        <v>Error?</v>
      </c>
      <c r="E6266" s="2" t="s">
        <v>189</v>
      </c>
    </row>
    <row r="6267" spans="1:5" x14ac:dyDescent="0.2">
      <c r="A6267">
        <v>6206</v>
      </c>
      <c r="B6267" s="1832">
        <f>'Acct Summary 7-8'!C82</f>
        <v>222580</v>
      </c>
      <c r="D6267" s="2" t="str">
        <f t="shared" si="96"/>
        <v>Error?</v>
      </c>
      <c r="E6267" s="2" t="s">
        <v>189</v>
      </c>
    </row>
    <row r="6268" spans="1:5" x14ac:dyDescent="0.2">
      <c r="A6268">
        <v>6207</v>
      </c>
      <c r="B6268" s="1832">
        <f>'Acct Summary 7-8'!D82</f>
        <v>35969</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102505</v>
      </c>
      <c r="D6270" s="2" t="str">
        <f t="shared" si="96"/>
        <v>Error?</v>
      </c>
      <c r="E6270" s="2" t="s">
        <v>189</v>
      </c>
    </row>
    <row r="6271" spans="1:5" x14ac:dyDescent="0.2">
      <c r="A6271">
        <v>6210</v>
      </c>
      <c r="B6271" s="1832">
        <f>'Acct Summary 7-8'!G82</f>
        <v>4859</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25519</v>
      </c>
      <c r="D6273" s="2" t="str">
        <f t="shared" si="97"/>
        <v>Error?</v>
      </c>
      <c r="E6273" s="2" t="s">
        <v>189</v>
      </c>
    </row>
    <row r="6274" spans="1:5" x14ac:dyDescent="0.2">
      <c r="A6274">
        <v>6213</v>
      </c>
      <c r="B6274" s="1832">
        <f>'Acct Summary 7-8'!J82</f>
        <v>20202</v>
      </c>
      <c r="D6274" s="2" t="str">
        <f t="shared" si="97"/>
        <v>Error?</v>
      </c>
      <c r="E6274" s="2" t="s">
        <v>189</v>
      </c>
    </row>
    <row r="6275" spans="1:5" x14ac:dyDescent="0.2">
      <c r="A6275">
        <v>6214</v>
      </c>
      <c r="B6275" s="1832">
        <f>'Acct Summary 7-8'!K82</f>
        <v>18202</v>
      </c>
      <c r="D6275" s="2" t="str">
        <f t="shared" si="97"/>
        <v>Error?</v>
      </c>
      <c r="E6275" s="2" t="s">
        <v>189</v>
      </c>
    </row>
    <row r="6276" spans="1:5" x14ac:dyDescent="0.2">
      <c r="A6276">
        <v>6215</v>
      </c>
      <c r="B6276" s="1832">
        <f>'Acct Summary 7-8'!C83</f>
        <v>0.10676835995586895</v>
      </c>
      <c r="D6276" s="2" t="str">
        <f t="shared" si="97"/>
        <v>Error?</v>
      </c>
      <c r="E6276" s="2" t="s">
        <v>189</v>
      </c>
    </row>
    <row r="6277" spans="1:5" x14ac:dyDescent="0.2">
      <c r="A6277">
        <v>6216</v>
      </c>
      <c r="B6277" s="1832">
        <f>'Acct Summary 7-8'!D83</f>
        <v>3.1071401422223449E-2</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0.21234041583547217</v>
      </c>
      <c r="D6279" s="2" t="str">
        <f t="shared" si="97"/>
        <v>Error?</v>
      </c>
      <c r="E6279" s="2" t="s">
        <v>189</v>
      </c>
    </row>
    <row r="6280" spans="1:5" x14ac:dyDescent="0.2">
      <c r="A6280">
        <v>6219</v>
      </c>
      <c r="B6280" s="1832">
        <f>'Acct Summary 7-8'!G83</f>
        <v>2.5220988596313654E-2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6.5776891095284853E-2</v>
      </c>
      <c r="D6282" s="2" t="str">
        <f t="shared" si="97"/>
        <v>Error?</v>
      </c>
      <c r="E6282" s="2" t="s">
        <v>189</v>
      </c>
    </row>
    <row r="6283" spans="1:5" x14ac:dyDescent="0.2">
      <c r="A6283">
        <v>6222</v>
      </c>
      <c r="B6283" s="1832">
        <f>'Acct Summary 7-8'!J83</f>
        <v>7.989875219996441E-2</v>
      </c>
      <c r="D6283" s="2" t="str">
        <f t="shared" si="97"/>
        <v>Error?</v>
      </c>
      <c r="E6283" s="2" t="s">
        <v>189</v>
      </c>
    </row>
    <row r="6284" spans="1:5" x14ac:dyDescent="0.2">
      <c r="A6284">
        <v>6223</v>
      </c>
      <c r="B6284" s="1832">
        <f>'Acct Summary 7-8'!K83</f>
        <v>0.27266462939660857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114573</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114573</v>
      </c>
      <c r="D6301" s="2" t="str">
        <f t="shared" si="97"/>
        <v>Error?</v>
      </c>
      <c r="E6301" s="2" t="s">
        <v>189</v>
      </c>
    </row>
    <row r="6302" spans="1:5" x14ac:dyDescent="0.2">
      <c r="A6302">
        <v>6241</v>
      </c>
      <c r="B6302" s="1832">
        <f>'Revenues 9-14'!J14</f>
        <v>641</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641</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3835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3835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390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1370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390</v>
      </c>
      <c r="D6351" s="2" t="str">
        <f t="shared" si="98"/>
        <v>Error?</v>
      </c>
      <c r="E6351" s="2" t="s">
        <v>189</v>
      </c>
    </row>
    <row r="6352" spans="1:5" x14ac:dyDescent="0.2">
      <c r="A6352">
        <v>6291</v>
      </c>
      <c r="B6352" s="1832">
        <f>'Revenues 9-14'!J109</f>
        <v>119439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17656</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77455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88701</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21534</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99237</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119439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3729</v>
      </c>
      <c r="D7073" s="2" t="str">
        <f t="shared" si="109"/>
        <v>Error?</v>
      </c>
    </row>
    <row r="7074" spans="1:4" x14ac:dyDescent="0.2">
      <c r="A7074">
        <v>7013</v>
      </c>
      <c r="B7074" s="1832">
        <f>'Expenditures 15-22'!K216</f>
        <v>3729</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286</v>
      </c>
      <c r="D7079" s="2" t="str">
        <f t="shared" si="109"/>
        <v>Error?</v>
      </c>
    </row>
    <row r="7080" spans="1:4" x14ac:dyDescent="0.2">
      <c r="A7080">
        <v>7019</v>
      </c>
      <c r="B7080" s="1832">
        <f>'Expenditures 15-22'!K226</f>
        <v>286</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15047</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15047</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26369</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26369</v>
      </c>
      <c r="D7153" s="2" t="str">
        <f t="shared" si="110"/>
        <v>Error?</v>
      </c>
    </row>
    <row r="7154" spans="1:4" x14ac:dyDescent="0.2">
      <c r="A7154">
        <v>7093</v>
      </c>
      <c r="B7154" s="1832">
        <f>'Expenditures 15-22'!C323</f>
        <v>40000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6540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46540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2175</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2175</v>
      </c>
      <c r="D7198" s="2" t="str">
        <f t="shared" si="111"/>
        <v>Error?</v>
      </c>
    </row>
    <row r="7199" spans="1:4" x14ac:dyDescent="0.2">
      <c r="A7199">
        <v>7138</v>
      </c>
      <c r="B7199" s="1832">
        <f>'Expenditures 15-22'!C330</f>
        <v>40000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59237</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99237</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40000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59237</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99237</v>
      </c>
      <c r="D7224" s="2" t="str">
        <f t="shared" si="111"/>
        <v>Error?</v>
      </c>
    </row>
    <row r="7225" spans="1:4" x14ac:dyDescent="0.2">
      <c r="A7225">
        <v>7164</v>
      </c>
      <c r="B7225" s="1832">
        <f>'Expenditures 15-22'!K343</f>
        <v>20202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10178</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1068</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19734</v>
      </c>
      <c r="D7263" s="2" t="str">
        <f t="shared" si="112"/>
        <v>Error?</v>
      </c>
    </row>
    <row r="7264" spans="1:4" x14ac:dyDescent="0.2">
      <c r="A7264">
        <f t="shared" si="113"/>
        <v>7203</v>
      </c>
      <c r="B7264" s="1832">
        <f>'Expenditures 15-22'!D17</f>
        <v>298</v>
      </c>
      <c r="D7264" s="2" t="str">
        <f t="shared" si="112"/>
        <v>Error?</v>
      </c>
    </row>
    <row r="7265" spans="1:5" x14ac:dyDescent="0.2">
      <c r="A7265">
        <f t="shared" si="113"/>
        <v>7204</v>
      </c>
      <c r="B7265" s="1832">
        <f>'Expenditures 15-22'!E17</f>
        <v>110</v>
      </c>
      <c r="D7265" s="2" t="str">
        <f t="shared" si="112"/>
        <v>Error?</v>
      </c>
    </row>
    <row r="7266" spans="1:5" x14ac:dyDescent="0.2">
      <c r="A7266">
        <f t="shared" si="113"/>
        <v>7205</v>
      </c>
      <c r="B7266" s="1832">
        <f>'Expenditures 15-22'!F17</f>
        <v>1392</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249056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8389</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8389</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717</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717</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1370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4100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5470</v>
      </c>
      <c r="D7719" s="2" t="str">
        <f t="shared" si="126"/>
        <v>Error?</v>
      </c>
      <c r="E7719" s="2" t="s">
        <v>822</v>
      </c>
    </row>
    <row r="7720" spans="1:6" x14ac:dyDescent="0.2">
      <c r="A7720">
        <v>7659</v>
      </c>
      <c r="B7720" s="1832">
        <f>'Rest Tax Levies-Tort Im 25'!H14</f>
        <v>14442</v>
      </c>
      <c r="D7720" s="2" t="str">
        <f t="shared" si="126"/>
        <v>Error?</v>
      </c>
      <c r="E7720" s="2" t="s">
        <v>822</v>
      </c>
    </row>
    <row r="7721" spans="1:6" x14ac:dyDescent="0.2">
      <c r="A7721">
        <v>7660</v>
      </c>
      <c r="B7721" s="1832">
        <f>'Rest Tax Levies-Tort Im 25'!K14</f>
        <v>5470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5470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140248</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4596644</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88701</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483746</v>
      </c>
      <c r="D7834" s="2" t="str">
        <f t="shared" si="129"/>
        <v>Error?</v>
      </c>
      <c r="E7834" s="4" t="s">
        <v>1998</v>
      </c>
    </row>
    <row r="7835" spans="1:5" x14ac:dyDescent="0.2">
      <c r="A7835">
        <v>7774</v>
      </c>
      <c r="B7835" s="1832">
        <f>'PCTC-OEPP 27-28'!F78</f>
        <v>4112898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11065.100887812752</v>
      </c>
      <c r="D7837" s="2" t="str">
        <f t="shared" si="129"/>
        <v>Error?</v>
      </c>
      <c r="E7837" s="4" t="s">
        <v>1998</v>
      </c>
    </row>
    <row r="7838" spans="1:5" x14ac:dyDescent="0.2">
      <c r="A7838">
        <v>7777</v>
      </c>
      <c r="B7838" s="1832">
        <f>'PCTC-OEPP 27-28'!F96</f>
        <v>18246</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31997</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4100</v>
      </c>
      <c r="D7846" s="2" t="str">
        <f t="shared" si="129"/>
        <v>Error?</v>
      </c>
      <c r="E7846" s="4" t="s">
        <v>1998</v>
      </c>
    </row>
    <row r="7847" spans="1:5" x14ac:dyDescent="0.2">
      <c r="A7847">
        <v>7786</v>
      </c>
      <c r="B7847" s="1832">
        <f>'PCTC-OEPP 27-28'!F112</f>
        <v>179766</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126104</v>
      </c>
      <c r="D7858" s="2" t="str">
        <f t="shared" si="129"/>
        <v>Error?</v>
      </c>
      <c r="E7858" s="4" t="s">
        <v>1998</v>
      </c>
    </row>
    <row r="7859" spans="1:5" x14ac:dyDescent="0.2">
      <c r="A7859">
        <v>7798</v>
      </c>
      <c r="B7859" s="1832">
        <f>'PCTC-OEPP 27-28'!F127</f>
        <v>113495</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58940</v>
      </c>
      <c r="D7861" s="2" t="str">
        <f t="shared" si="129"/>
        <v>Error?</v>
      </c>
      <c r="E7861" s="4" t="s">
        <v>1998</v>
      </c>
    </row>
    <row r="7862" spans="1:5" x14ac:dyDescent="0.2">
      <c r="A7862">
        <v>7801</v>
      </c>
      <c r="B7862" s="1832">
        <f>'PCTC-OEPP 27-28'!F130</f>
        <v>11</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4200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17423</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3721</v>
      </c>
      <c r="D7874" s="2" t="str">
        <f t="shared" si="129"/>
        <v>Error?</v>
      </c>
      <c r="E7874" s="4" t="s">
        <v>1998</v>
      </c>
    </row>
    <row r="7875" spans="1:5" x14ac:dyDescent="0.2">
      <c r="A7875">
        <v>7814</v>
      </c>
      <c r="B7875" s="1832">
        <f>'PCTC-OEPP 27-28'!F170</f>
        <v>297</v>
      </c>
      <c r="D7875" s="2" t="str">
        <f t="shared" si="129"/>
        <v>Error?</v>
      </c>
      <c r="E7875" s="4" t="s">
        <v>1998</v>
      </c>
    </row>
    <row r="7876" spans="1:5" x14ac:dyDescent="0.2">
      <c r="A7876">
        <v>7815</v>
      </c>
      <c r="B7876" s="1832">
        <f>'PCTC-OEPP 27-28'!F171</f>
        <v>19398</v>
      </c>
      <c r="D7876" s="2" t="str">
        <f t="shared" si="129"/>
        <v>Error?</v>
      </c>
      <c r="E7876" s="4" t="s">
        <v>1998</v>
      </c>
    </row>
    <row r="7877" spans="1:5" x14ac:dyDescent="0.2">
      <c r="A7877">
        <v>7816</v>
      </c>
      <c r="B7877" s="1832">
        <f>'PCTC-OEPP 27-28'!F175</f>
        <v>830667</v>
      </c>
      <c r="D7877" s="2" t="str">
        <f t="shared" si="129"/>
        <v>Error?</v>
      </c>
      <c r="E7877" s="4" t="s">
        <v>1998</v>
      </c>
    </row>
    <row r="7878" spans="1:5" x14ac:dyDescent="0.2">
      <c r="A7878">
        <v>7817</v>
      </c>
      <c r="B7878" s="1832">
        <f>'PCTC-OEPP 27-28'!F176</f>
        <v>3282231</v>
      </c>
      <c r="D7878" s="2" t="str">
        <f t="shared" si="129"/>
        <v>Error?</v>
      </c>
      <c r="E7878" s="4" t="s">
        <v>1998</v>
      </c>
    </row>
    <row r="7879" spans="1:5" x14ac:dyDescent="0.2">
      <c r="A7879">
        <v>7818</v>
      </c>
      <c r="B7879" s="1832">
        <f>'PCTC-OEPP 27-28'!F178</f>
        <v>3531287</v>
      </c>
      <c r="D7879" s="2" t="str">
        <f t="shared" si="129"/>
        <v>Error?</v>
      </c>
      <c r="E7879" s="4" t="s">
        <v>1998</v>
      </c>
    </row>
    <row r="7880" spans="1:5" x14ac:dyDescent="0.2">
      <c r="A7880">
        <v>7819</v>
      </c>
      <c r="B7880" s="1832">
        <f>'PCTC-OEPP 27-28'!F180</f>
        <v>9500.3685768092546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topLeftCell="A19"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1" t="s">
        <v>1181</v>
      </c>
      <c r="B2" s="2511"/>
      <c r="C2" s="2511"/>
      <c r="D2" s="2511"/>
      <c r="E2" s="2511"/>
      <c r="F2" s="2511"/>
      <c r="G2" s="2511"/>
      <c r="H2" s="2511"/>
      <c r="I2" s="2511"/>
      <c r="J2" s="2511"/>
      <c r="K2" s="2511"/>
      <c r="L2" s="2511"/>
    </row>
    <row r="3" spans="1:29" ht="13.5" customHeight="1" x14ac:dyDescent="0.2">
      <c r="A3" s="2543" t="s">
        <v>1180</v>
      </c>
      <c r="B3" s="2543"/>
      <c r="C3" s="2543"/>
      <c r="D3" s="2543"/>
      <c r="E3" s="2543"/>
      <c r="F3" s="2543"/>
      <c r="G3" s="2543"/>
      <c r="H3" s="2543"/>
      <c r="I3" s="2543"/>
      <c r="J3" s="2543"/>
      <c r="K3" s="2543"/>
      <c r="L3" s="2543"/>
    </row>
    <row r="4" spans="1:29" ht="13.5" customHeight="1" x14ac:dyDescent="0.2">
      <c r="A4" s="2532" t="str">
        <f>"Year Ending June 30, "&amp;'AFR20'!E2</f>
        <v>Year Ending June 30, 2020</v>
      </c>
      <c r="B4" s="2533"/>
      <c r="C4" s="2533"/>
      <c r="D4" s="2533"/>
      <c r="E4" s="2533"/>
      <c r="F4" s="2533"/>
      <c r="G4" s="2533"/>
      <c r="H4" s="2533"/>
      <c r="I4" s="2533"/>
      <c r="J4" s="2533"/>
      <c r="K4" s="2533"/>
      <c r="L4" s="253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4" t="str">
        <f>COVER!A17</f>
        <v>North Wayne CUSD 200</v>
      </c>
      <c r="B7" s="2535"/>
      <c r="C7" s="2535"/>
      <c r="D7" s="2536"/>
      <c r="E7" s="2537">
        <f>COVER!A13</f>
        <v>20096200026</v>
      </c>
      <c r="F7" s="2538"/>
      <c r="G7" s="2544">
        <f>COVER!T23</f>
        <v>65.032562999999996</v>
      </c>
      <c r="H7" s="2545"/>
      <c r="I7" s="2545"/>
      <c r="J7" s="2545"/>
      <c r="K7" s="2545"/>
      <c r="L7" s="254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7"/>
      <c r="B9" s="2548"/>
      <c r="C9" s="2548"/>
      <c r="D9" s="2548"/>
      <c r="E9" s="2548"/>
      <c r="F9" s="2549"/>
      <c r="G9" s="2517" t="str">
        <f>COVER!T13</f>
        <v>Kemper CPA Group LLP</v>
      </c>
      <c r="H9" s="2550"/>
      <c r="I9" s="2550"/>
      <c r="J9" s="2550"/>
      <c r="K9" s="2550"/>
      <c r="L9" s="2551"/>
    </row>
    <row r="10" spans="1:29" ht="13.5" customHeight="1" x14ac:dyDescent="0.2">
      <c r="A10" s="2523" t="str">
        <f>COVER!A38</f>
        <v>Lucas Schroeder</v>
      </c>
      <c r="B10" s="2524"/>
      <c r="C10" s="2524"/>
      <c r="D10" s="2524"/>
      <c r="E10" s="2524"/>
      <c r="F10" s="2525"/>
      <c r="G10" s="2517" t="str">
        <f>COVER!T17</f>
        <v>703 W. Main St</v>
      </c>
      <c r="H10" s="2518"/>
      <c r="I10" s="2518"/>
      <c r="J10" s="2518"/>
      <c r="K10" s="2518"/>
      <c r="L10" s="2519"/>
    </row>
    <row r="11" spans="1:29" ht="13.5" customHeight="1" x14ac:dyDescent="0.2">
      <c r="A11" s="963" t="s">
        <v>1502</v>
      </c>
      <c r="B11" s="964"/>
      <c r="C11" s="965"/>
      <c r="D11" s="970"/>
      <c r="E11" s="965"/>
      <c r="F11" s="969"/>
      <c r="G11" s="2517" t="str">
        <f>COVER!T19</f>
        <v>Olney</v>
      </c>
      <c r="H11" s="2518"/>
      <c r="I11" s="2518"/>
      <c r="J11" s="2518"/>
      <c r="K11" s="2518"/>
      <c r="L11" s="2519"/>
    </row>
    <row r="12" spans="1:29" ht="13.5" customHeight="1" x14ac:dyDescent="0.2">
      <c r="A12" s="2526" t="s">
        <v>1501</v>
      </c>
      <c r="B12" s="2527"/>
      <c r="C12" s="2527"/>
      <c r="D12" s="2527"/>
      <c r="E12" s="2527"/>
      <c r="F12" s="2528"/>
      <c r="G12" s="2520"/>
      <c r="H12" s="2521"/>
      <c r="I12" s="2521"/>
      <c r="J12" s="2521"/>
      <c r="K12" s="2521"/>
      <c r="L12" s="2522"/>
    </row>
    <row r="13" spans="1:29" ht="13.5" customHeight="1" x14ac:dyDescent="0.2">
      <c r="A13" s="2517"/>
      <c r="B13" s="2518"/>
      <c r="C13" s="2518"/>
      <c r="D13" s="2518"/>
      <c r="E13" s="2518"/>
      <c r="F13" s="2519"/>
      <c r="G13" s="2512" t="s">
        <v>1503</v>
      </c>
      <c r="H13" s="2513"/>
      <c r="I13" s="2529" t="str">
        <f>COVER!T25</f>
        <v>kmclaren@kempercpa.com</v>
      </c>
      <c r="J13" s="2530"/>
      <c r="K13" s="2530"/>
      <c r="L13" s="2531"/>
    </row>
    <row r="14" spans="1:29" ht="13.5" customHeight="1" x14ac:dyDescent="0.2">
      <c r="A14" s="2517" t="str">
        <f>COVER!A19</f>
        <v>P.O. Box 235</v>
      </c>
      <c r="B14" s="2518"/>
      <c r="C14" s="2518"/>
      <c r="D14" s="2518"/>
      <c r="E14" s="2518"/>
      <c r="F14" s="2519"/>
      <c r="G14" s="974" t="s">
        <v>1175</v>
      </c>
      <c r="H14" s="972"/>
      <c r="I14" s="972"/>
      <c r="J14" s="972"/>
      <c r="K14" s="972"/>
      <c r="L14" s="973"/>
    </row>
    <row r="15" spans="1:29" ht="13.5" customHeight="1" x14ac:dyDescent="0.2">
      <c r="A15" s="2517" t="str">
        <f>COVER!A21</f>
        <v>Cisne</v>
      </c>
      <c r="B15" s="2518"/>
      <c r="C15" s="2518"/>
      <c r="D15" s="2518"/>
      <c r="E15" s="2518"/>
      <c r="F15" s="2519"/>
      <c r="G15" s="2514" t="str">
        <f>COVER!T15</f>
        <v>Krista McLaren</v>
      </c>
      <c r="H15" s="2515"/>
      <c r="I15" s="2515"/>
      <c r="J15" s="2515"/>
      <c r="K15" s="2515"/>
      <c r="L15" s="2516"/>
    </row>
    <row r="16" spans="1:29" ht="12.2" customHeight="1" x14ac:dyDescent="0.2">
      <c r="A16" s="2540">
        <f>COVER!A25</f>
        <v>62823</v>
      </c>
      <c r="B16" s="2541"/>
      <c r="C16" s="2541"/>
      <c r="D16" s="2541"/>
      <c r="E16" s="2541"/>
      <c r="F16" s="2542"/>
      <c r="G16" s="2552"/>
      <c r="H16" s="2553"/>
      <c r="I16" s="2553"/>
      <c r="J16" s="2553"/>
      <c r="K16" s="2553"/>
      <c r="L16" s="2554"/>
    </row>
    <row r="17" spans="1:13" ht="12.2" customHeight="1" x14ac:dyDescent="0.2">
      <c r="A17" s="2555"/>
      <c r="B17" s="2541"/>
      <c r="C17" s="2541"/>
      <c r="D17" s="2541"/>
      <c r="E17" s="2541"/>
      <c r="F17" s="2542"/>
      <c r="G17" s="974" t="s">
        <v>1174</v>
      </c>
      <c r="H17" s="972"/>
      <c r="I17" s="972"/>
      <c r="J17" s="972"/>
      <c r="K17" s="976" t="s">
        <v>1173</v>
      </c>
      <c r="L17" s="969"/>
      <c r="M17" s="962"/>
    </row>
    <row r="18" spans="1:13" ht="12.2" customHeight="1" x14ac:dyDescent="0.2">
      <c r="A18" s="2523"/>
      <c r="B18" s="2524"/>
      <c r="C18" s="2524"/>
      <c r="D18" s="2524"/>
      <c r="E18" s="2524"/>
      <c r="F18" s="2525"/>
      <c r="G18" s="2534" t="str">
        <f>COVER!T21</f>
        <v>618-395-2105</v>
      </c>
      <c r="H18" s="2535"/>
      <c r="I18" s="2535"/>
      <c r="J18" s="2535"/>
      <c r="K18" s="2534" t="str">
        <f>COVER!X21</f>
        <v>618-395-7079</v>
      </c>
      <c r="L18" s="253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topLeftCell="A94"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6" t="str">
        <f>'Single Audit Cover'!A7</f>
        <v>North Wayne CUSD 200</v>
      </c>
      <c r="B1" s="2557"/>
      <c r="C1" s="2557"/>
      <c r="D1" s="2557"/>
    </row>
    <row r="2" spans="1:11" s="991" customFormat="1" ht="12.75" x14ac:dyDescent="0.2">
      <c r="A2" s="2558">
        <f>'Single Audit Cover'!E7</f>
        <v>20096200026</v>
      </c>
      <c r="B2" s="2559"/>
      <c r="C2" s="2559"/>
      <c r="D2" s="2559"/>
    </row>
    <row r="3" spans="1:11" s="991" customFormat="1" ht="12.75" x14ac:dyDescent="0.2">
      <c r="A3" s="2556" t="s">
        <v>1496</v>
      </c>
      <c r="B3" s="2557"/>
      <c r="C3" s="2557"/>
      <c r="D3" s="255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1" t="str">
        <f>'Single Audit Cover'!A7</f>
        <v>North Wayne CUSD 200</v>
      </c>
      <c r="B1" s="2561"/>
      <c r="C1" s="2561"/>
      <c r="D1" s="2561"/>
      <c r="E1" s="2561"/>
    </row>
    <row r="2" spans="1:5" x14ac:dyDescent="0.2">
      <c r="A2" s="2562">
        <f>'Single Audit Cover'!E7</f>
        <v>20096200026</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6" t="s">
        <v>1232</v>
      </c>
    </row>
    <row r="10" spans="1:5" x14ac:dyDescent="0.2">
      <c r="A10" s="1037" t="s">
        <v>1231</v>
      </c>
      <c r="B10" s="1038" t="s">
        <v>1230</v>
      </c>
      <c r="C10" s="1038"/>
      <c r="D10" s="1039">
        <f>SUM('Acct Summary 7-8'!C7:K7)</f>
        <v>347290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17374</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-297</v>
      </c>
    </row>
    <row r="19" spans="1:4" ht="13.5" thickBot="1" x14ac:dyDescent="0.25">
      <c r="A19" s="1041" t="s">
        <v>1224</v>
      </c>
      <c r="D19" s="1042">
        <f>SUM(D10:D17)</f>
        <v>364367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3"/>
      <c r="B24" s="2563"/>
      <c r="D24" s="1044"/>
    </row>
    <row r="25" spans="1:4" x14ac:dyDescent="0.2">
      <c r="A25" s="2560"/>
      <c r="B25" s="2560"/>
      <c r="D25" s="1044"/>
    </row>
    <row r="26" spans="1:4" x14ac:dyDescent="0.2">
      <c r="A26" s="2560"/>
      <c r="B26" s="2560"/>
      <c r="D26" s="1044"/>
    </row>
    <row r="27" spans="1:4" x14ac:dyDescent="0.2">
      <c r="A27" s="2560"/>
      <c r="B27" s="2560"/>
      <c r="D27" s="1044"/>
    </row>
    <row r="28" spans="1:4" x14ac:dyDescent="0.2">
      <c r="A28" s="2560"/>
      <c r="B28" s="2560"/>
      <c r="D28" s="1044"/>
    </row>
    <row r="29" spans="1:4" x14ac:dyDescent="0.2">
      <c r="A29" s="2560"/>
      <c r="B29" s="2560"/>
      <c r="D29" s="1044"/>
    </row>
    <row r="30" spans="1:4" x14ac:dyDescent="0.2">
      <c r="A30" s="2560"/>
      <c r="B30" s="2560"/>
      <c r="D30" s="1044"/>
    </row>
    <row r="32" spans="1:4" x14ac:dyDescent="0.2">
      <c r="A32" s="1036" t="s">
        <v>1222</v>
      </c>
      <c r="D32" s="1039">
        <f>SUM(D19:D30)</f>
        <v>364367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0"/>
      <c r="B40" s="2560"/>
      <c r="D40" s="1044"/>
    </row>
    <row r="41" spans="1:4" x14ac:dyDescent="0.2">
      <c r="A41" s="2560"/>
      <c r="B41" s="2560"/>
      <c r="D41" s="1047"/>
    </row>
    <row r="42" spans="1:4" x14ac:dyDescent="0.2">
      <c r="A42" s="2560"/>
      <c r="B42" s="2560"/>
      <c r="D42" s="1047"/>
    </row>
    <row r="43" spans="1:4" x14ac:dyDescent="0.2">
      <c r="A43" s="2560"/>
      <c r="B43" s="2560"/>
      <c r="D43" s="1047"/>
    </row>
    <row r="44" spans="1:4" x14ac:dyDescent="0.2">
      <c r="A44" s="2560"/>
      <c r="B44" s="2560"/>
      <c r="D44" s="1047"/>
    </row>
    <row r="45" spans="1:4" x14ac:dyDescent="0.2">
      <c r="A45" s="2560"/>
      <c r="B45" s="2560"/>
      <c r="D45" s="1047"/>
    </row>
    <row r="47" spans="1:4" x14ac:dyDescent="0.2">
      <c r="B47" s="1048" t="s">
        <v>1216</v>
      </c>
      <c r="C47" s="1048"/>
      <c r="D47" s="1049">
        <f>SUM(D35:D45)</f>
        <v>0</v>
      </c>
    </row>
    <row r="49" spans="2:4" x14ac:dyDescent="0.2">
      <c r="B49" s="1048" t="s">
        <v>1215</v>
      </c>
      <c r="C49" s="1048"/>
      <c r="D49" s="1049">
        <f>D32-D47</f>
        <v>364367</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3" t="str">
        <f>'Single Audit Cover'!A7</f>
        <v>North Wayne CUSD 200</v>
      </c>
      <c r="C1" s="2565"/>
      <c r="D1" s="2565"/>
      <c r="E1" s="2565"/>
      <c r="F1" s="2565"/>
      <c r="G1" s="2565"/>
      <c r="H1" s="2565"/>
      <c r="I1" s="2565"/>
      <c r="J1" s="2565"/>
      <c r="K1" s="2565"/>
      <c r="L1" s="2565"/>
      <c r="M1" s="2565"/>
    </row>
    <row r="2" spans="2:14" ht="15" x14ac:dyDescent="0.2">
      <c r="B2" s="2566">
        <f>'Single Audit Cover'!E7</f>
        <v>20096200026</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3"/>
      <c r="J5" s="1913"/>
    </row>
    <row r="6" spans="2:14" x14ac:dyDescent="0.2">
      <c r="B6" s="1079"/>
      <c r="C6" s="1080"/>
      <c r="D6" s="1081" t="s">
        <v>1254</v>
      </c>
      <c r="E6" s="1082" t="s">
        <v>524</v>
      </c>
      <c r="F6" s="1083"/>
      <c r="G6" s="1084" t="s">
        <v>1711</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8" t="str">
        <f>'Single Audit Cover'!A7</f>
        <v>North Wayne CUSD 200</v>
      </c>
      <c r="B1" s="2578"/>
      <c r="C1" s="2578"/>
      <c r="D1" s="2578"/>
      <c r="E1" s="2578"/>
      <c r="F1" s="2578"/>
    </row>
    <row r="2" spans="1:7" ht="13.5" customHeight="1" x14ac:dyDescent="0.2">
      <c r="A2" s="2566">
        <f>'Single Audit Cover'!E7</f>
        <v>20096200026</v>
      </c>
      <c r="B2" s="2566"/>
      <c r="C2" s="2566"/>
      <c r="D2" s="2566"/>
      <c r="E2" s="2566"/>
      <c r="F2" s="2566"/>
      <c r="G2" s="1051"/>
    </row>
    <row r="3" spans="1:7" ht="15.75" customHeight="1" x14ac:dyDescent="0.2">
      <c r="A3" s="2579" t="s">
        <v>1260</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5"/>
      <c r="D5" s="295"/>
    </row>
    <row r="6" spans="1:7" ht="13.5" customHeight="1" x14ac:dyDescent="0.2">
      <c r="A6" s="1052" t="s">
        <v>1705</v>
      </c>
      <c r="C6" s="295"/>
      <c r="D6" s="295"/>
    </row>
    <row r="7" spans="1:7" ht="60.95" customHeight="1" x14ac:dyDescent="0.2">
      <c r="A7" s="2577" t="s">
        <v>1706</v>
      </c>
      <c r="B7" s="2577"/>
      <c r="C7" s="2577"/>
      <c r="D7" s="2577"/>
      <c r="E7" s="2577"/>
      <c r="F7" s="2577"/>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7" t="s">
        <v>1708</v>
      </c>
      <c r="B13" s="2577"/>
      <c r="C13" s="2577"/>
      <c r="D13" s="2577"/>
      <c r="E13" s="2577"/>
      <c r="F13" s="2577"/>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0"/>
      <c r="E17" s="2570"/>
      <c r="F17" s="2570"/>
    </row>
    <row r="18" spans="1:6" ht="20.65" customHeight="1" x14ac:dyDescent="0.2">
      <c r="A18" s="1059"/>
      <c r="B18" s="1060"/>
      <c r="C18" s="1061"/>
      <c r="D18" s="2570"/>
      <c r="E18" s="2570"/>
      <c r="F18" s="2570"/>
    </row>
    <row r="19" spans="1:6" ht="20.65" customHeight="1" x14ac:dyDescent="0.2">
      <c r="A19" s="1059"/>
      <c r="B19" s="1060"/>
      <c r="C19" s="1061"/>
      <c r="D19" s="2570"/>
      <c r="E19" s="2570"/>
      <c r="F19" s="2570"/>
    </row>
    <row r="20" spans="1:6" ht="20.65" customHeight="1" x14ac:dyDescent="0.2">
      <c r="A20" s="1059"/>
      <c r="B20" s="1060"/>
      <c r="C20" s="1061"/>
      <c r="D20" s="2570"/>
      <c r="E20" s="2570"/>
      <c r="F20" s="2570"/>
    </row>
    <row r="21" spans="1:6" ht="20.65" customHeight="1" x14ac:dyDescent="0.2">
      <c r="A21" s="1059"/>
      <c r="B21" s="1060"/>
      <c r="C21" s="1061"/>
      <c r="D21" s="2570"/>
      <c r="E21" s="2570"/>
      <c r="F21" s="2570"/>
    </row>
    <row r="22" spans="1:6" ht="20.65" customHeight="1" x14ac:dyDescent="0.2">
      <c r="A22" s="1059"/>
      <c r="B22" s="1060"/>
      <c r="C22" s="1061"/>
      <c r="D22" s="2570"/>
      <c r="E22" s="2570"/>
      <c r="F22" s="2570"/>
    </row>
    <row r="23" spans="1:6" ht="20.65" customHeight="1" x14ac:dyDescent="0.2">
      <c r="A23" s="1059"/>
      <c r="B23" s="1060"/>
      <c r="C23" s="1061"/>
      <c r="D23" s="2570"/>
      <c r="E23" s="2570"/>
      <c r="F23" s="2570"/>
    </row>
    <row r="24" spans="1:6" ht="20.65" customHeight="1" x14ac:dyDescent="0.2">
      <c r="A24" s="1059"/>
      <c r="B24" s="1060"/>
      <c r="C24" s="1061"/>
      <c r="D24" s="2570"/>
      <c r="E24" s="2570"/>
      <c r="F24" s="2570"/>
    </row>
    <row r="25" spans="1:6" ht="20.65" customHeight="1" x14ac:dyDescent="0.2">
      <c r="A25" s="1059"/>
      <c r="B25" s="1060"/>
      <c r="C25" s="1061"/>
      <c r="D25" s="2570"/>
      <c r="E25" s="2570"/>
      <c r="F25" s="2570"/>
    </row>
    <row r="26" spans="1:6" ht="20.65" customHeight="1" x14ac:dyDescent="0.2">
      <c r="A26" s="1059"/>
      <c r="B26" s="1060"/>
      <c r="C26" s="1061"/>
      <c r="D26" s="2570"/>
      <c r="E26" s="2570"/>
      <c r="F26" s="2570"/>
    </row>
    <row r="27" spans="1:6" ht="20.65" customHeight="1" x14ac:dyDescent="0.2">
      <c r="A27" s="1059"/>
      <c r="B27" s="1060"/>
      <c r="C27" s="1061"/>
      <c r="D27" s="2570"/>
      <c r="E27" s="2570"/>
      <c r="F27" s="2570"/>
    </row>
    <row r="28" spans="1:6" ht="20.65" customHeight="1" x14ac:dyDescent="0.2">
      <c r="A28" s="1059"/>
      <c r="B28" s="1060"/>
      <c r="C28" s="1061"/>
      <c r="D28" s="2570"/>
      <c r="E28" s="2570"/>
      <c r="F28" s="2570"/>
    </row>
    <row r="29" spans="1:6" ht="20.65" customHeight="1" x14ac:dyDescent="0.2">
      <c r="A29" s="1059"/>
      <c r="B29" s="1060"/>
      <c r="C29" s="1061"/>
      <c r="D29" s="2570"/>
      <c r="E29" s="2570"/>
      <c r="F29" s="2570"/>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1" t="s">
        <v>1709</v>
      </c>
      <c r="B32" s="2571"/>
      <c r="C32" s="2571"/>
      <c r="D32" s="2571"/>
      <c r="E32" s="2571"/>
      <c r="F32" s="2571"/>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2">
        <f>+C33+C34</f>
        <v>0</v>
      </c>
      <c r="F34" s="257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4" t="s">
        <v>1573</v>
      </c>
      <c r="C49" s="2574"/>
      <c r="D49" s="2574"/>
      <c r="E49" s="1168"/>
    </row>
    <row r="50" spans="1:5" s="1076" customFormat="1" ht="3.75" customHeight="1" x14ac:dyDescent="0.2">
      <c r="A50" s="1075"/>
      <c r="B50" s="1475"/>
      <c r="C50" s="1475"/>
      <c r="D50" s="1475"/>
      <c r="E50" s="1168"/>
    </row>
    <row r="51" spans="1:5" s="1076" customFormat="1" ht="20.25" customHeight="1" x14ac:dyDescent="0.2">
      <c r="A51" s="1077">
        <v>6</v>
      </c>
      <c r="B51" s="2569" t="s">
        <v>1534</v>
      </c>
      <c r="C51" s="2569"/>
      <c r="D51" s="2569"/>
    </row>
    <row r="52" spans="1:5" ht="14.25" customHeight="1" x14ac:dyDescent="0.2">
      <c r="A52" s="1077"/>
      <c r="B52" s="2569"/>
      <c r="C52" s="2569"/>
      <c r="D52" s="2569"/>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election activeCell="L58" sqref="L5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t="s">
        <v>2068</v>
      </c>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1989</v>
      </c>
      <c r="B85" s="2183"/>
      <c r="C85" s="2183"/>
      <c r="D85" s="2184"/>
      <c r="E85" s="1544"/>
      <c r="F85" s="1544"/>
      <c r="G85" s="1544"/>
      <c r="H85" s="1544"/>
      <c r="I85" s="1902"/>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5" t="s">
        <v>1989</v>
      </c>
      <c r="B88" s="2186"/>
      <c r="C88" s="2186"/>
      <c r="D88" s="2187"/>
      <c r="E88" s="1544"/>
      <c r="F88" s="1544"/>
      <c r="G88" s="1544"/>
      <c r="H88" s="1544"/>
      <c r="I88" s="1902"/>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3"/>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zoomScale="110" zoomScaleNormal="110" workbookViewId="0">
      <selection activeCell="D46" sqref="D46"/>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2" t="str">
        <f>'Single Audit Cover'!A7</f>
        <v>North Wayne CUSD 200</v>
      </c>
      <c r="C1" s="2593"/>
      <c r="D1" s="2593"/>
      <c r="E1" s="2593"/>
      <c r="F1" s="2593"/>
      <c r="G1" s="2593"/>
      <c r="H1" s="2593"/>
      <c r="I1" s="2593"/>
      <c r="J1" s="1178"/>
    </row>
    <row r="2" spans="2:10" s="295" customFormat="1" ht="12.75" customHeight="1" x14ac:dyDescent="0.2">
      <c r="B2" s="2594">
        <f>'Single Audit Cover'!E7</f>
        <v>20096200026</v>
      </c>
      <c r="C2" s="2595"/>
      <c r="D2" s="2595"/>
      <c r="E2" s="2595"/>
      <c r="F2" s="2595"/>
      <c r="G2" s="2595"/>
      <c r="H2" s="2595"/>
      <c r="I2" s="2595"/>
      <c r="J2" s="1178"/>
    </row>
    <row r="3" spans="2:10" s="295" customFormat="1" ht="12.75" customHeight="1" x14ac:dyDescent="0.2">
      <c r="B3" s="2596" t="s">
        <v>1274</v>
      </c>
      <c r="C3" s="2597"/>
      <c r="D3" s="2597"/>
      <c r="E3" s="2597"/>
      <c r="F3" s="2597"/>
      <c r="G3" s="2597"/>
      <c r="H3" s="2597"/>
      <c r="I3" s="2597"/>
      <c r="J3" s="1179"/>
    </row>
    <row r="4" spans="2:10" s="295" customFormat="1" ht="12.75" customHeight="1" x14ac:dyDescent="0.2">
      <c r="B4" s="2596" t="str">
        <f>'Single Audit Cover'!A4</f>
        <v>Year Ending June 30, 2020</v>
      </c>
      <c r="C4" s="2597"/>
      <c r="D4" s="2597"/>
      <c r="E4" s="2597"/>
      <c r="F4" s="2597"/>
      <c r="G4" s="2597"/>
      <c r="H4" s="2597"/>
      <c r="I4" s="2597"/>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6" t="s">
        <v>1273</v>
      </c>
      <c r="C7" s="2597"/>
      <c r="D7" s="2597"/>
      <c r="E7" s="2597"/>
      <c r="F7" s="2597"/>
      <c r="G7" s="2597"/>
      <c r="H7" s="2597"/>
      <c r="I7" s="2597"/>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8" t="s">
        <v>1154</v>
      </c>
      <c r="D11" s="2598"/>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t="s">
        <v>2051</v>
      </c>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2051</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2051</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2051</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2051</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9"/>
      <c r="E29" s="2599"/>
      <c r="F29" s="2599"/>
      <c r="G29" s="2599"/>
      <c r="H29" s="2599"/>
      <c r="I29" s="2599"/>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2051</v>
      </c>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0" t="s">
        <v>1728</v>
      </c>
      <c r="D37" s="2601"/>
      <c r="E37" s="2601"/>
      <c r="F37" s="2602"/>
      <c r="G37" s="2600" t="s">
        <v>1575</v>
      </c>
      <c r="H37" s="2601"/>
      <c r="I37" s="2602"/>
    </row>
    <row r="38" spans="2:9" ht="16.5" customHeight="1" x14ac:dyDescent="0.2">
      <c r="B38" s="1200" t="s">
        <v>2097</v>
      </c>
      <c r="C38" s="2588" t="s">
        <v>2098</v>
      </c>
      <c r="D38" s="2589"/>
      <c r="E38" s="2589"/>
      <c r="F38" s="2590"/>
      <c r="G38" s="2603"/>
      <c r="H38" s="2604"/>
      <c r="I38" s="2605"/>
    </row>
    <row r="39" spans="2:9" ht="16.5" customHeight="1" x14ac:dyDescent="0.2">
      <c r="B39" s="1200"/>
      <c r="C39" s="2588"/>
      <c r="D39" s="2589"/>
      <c r="E39" s="2589"/>
      <c r="F39" s="2590"/>
      <c r="G39" s="2591"/>
      <c r="H39" s="2591"/>
      <c r="I39" s="2591"/>
    </row>
    <row r="40" spans="2:9" ht="16.5" customHeight="1" x14ac:dyDescent="0.2">
      <c r="B40" s="1200"/>
      <c r="C40" s="2588"/>
      <c r="D40" s="2589"/>
      <c r="E40" s="2589"/>
      <c r="F40" s="2590"/>
      <c r="G40" s="2591"/>
      <c r="H40" s="2591"/>
      <c r="I40" s="2591"/>
    </row>
    <row r="41" spans="2:9" ht="16.5" customHeight="1" x14ac:dyDescent="0.2">
      <c r="B41" s="1200"/>
      <c r="C41" s="2588"/>
      <c r="D41" s="2589"/>
      <c r="E41" s="2589"/>
      <c r="F41" s="2590"/>
      <c r="G41" s="2591"/>
      <c r="H41" s="2591"/>
      <c r="I41" s="2591"/>
    </row>
    <row r="42" spans="2:9" ht="16.5" customHeight="1" x14ac:dyDescent="0.2">
      <c r="B42" s="1200"/>
      <c r="C42" s="2588"/>
      <c r="D42" s="2589"/>
      <c r="E42" s="2589"/>
      <c r="F42" s="2590"/>
      <c r="G42" s="2591"/>
      <c r="H42" s="2591"/>
      <c r="I42" s="2591"/>
    </row>
    <row r="43" spans="2:9" ht="16.5" customHeight="1" x14ac:dyDescent="0.2">
      <c r="B43" s="1200"/>
      <c r="C43" s="2581" t="s">
        <v>1576</v>
      </c>
      <c r="D43" s="2582"/>
      <c r="E43" s="2582"/>
      <c r="F43" s="2583"/>
      <c r="G43" s="2584">
        <f>SUM(G38:I42)</f>
        <v>0</v>
      </c>
      <c r="H43" s="2584"/>
      <c r="I43" s="2584"/>
    </row>
    <row r="44" spans="2:9" ht="12.75" customHeight="1" x14ac:dyDescent="0.2"/>
    <row r="45" spans="2:9" ht="12.75" customHeight="1" x14ac:dyDescent="0.2">
      <c r="B45" s="1915" t="str">
        <f>"Total Federal Expenditures for 7/1/"&amp;MID('AFR20'!E2,3,2)-1&amp;"-6/30/"&amp;MID('AFR20'!E2,3,2)</f>
        <v>Total Federal Expenditures for 7/1/19-6/30/20</v>
      </c>
      <c r="C45" s="1916"/>
      <c r="D45" s="2585">
        <v>368989</v>
      </c>
      <c r="E45" s="2586"/>
    </row>
    <row r="46" spans="2:9" ht="5.25" customHeight="1" x14ac:dyDescent="0.2">
      <c r="B46" s="1201"/>
      <c r="D46" s="1202"/>
      <c r="E46" s="1203"/>
    </row>
    <row r="47" spans="2:9" ht="12.75" customHeight="1" x14ac:dyDescent="0.2">
      <c r="B47" s="1076" t="s">
        <v>1577</v>
      </c>
      <c r="C47" s="1076"/>
      <c r="D47" s="1204">
        <f>+G43/D45</f>
        <v>0</v>
      </c>
      <c r="E47" s="1205"/>
      <c r="F47" s="1206"/>
      <c r="I47" s="1207"/>
    </row>
    <row r="48" spans="2:9" ht="9.9499999999999993" customHeight="1" x14ac:dyDescent="0.2"/>
    <row r="49" spans="1:9" x14ac:dyDescent="0.2">
      <c r="B49" s="1138" t="s">
        <v>1262</v>
      </c>
      <c r="C49" s="1058"/>
      <c r="D49" s="1058"/>
      <c r="E49" s="2587" t="s">
        <v>2099</v>
      </c>
      <c r="F49" s="2587"/>
      <c r="G49" s="258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fitToWidth="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topLeftCell="A19" zoomScale="110" zoomScaleNormal="110" workbookViewId="0">
      <selection activeCell="B33" sqref="B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North Wayne CUSD 200</v>
      </c>
      <c r="C1" s="2592"/>
      <c r="D1" s="2592"/>
      <c r="E1" s="2592"/>
      <c r="F1" s="2592"/>
      <c r="G1" s="2592"/>
      <c r="H1" s="2592"/>
      <c r="I1" s="2592"/>
      <c r="J1" s="2592"/>
      <c r="K1" s="2592"/>
      <c r="L1" s="1144"/>
      <c r="M1" s="1144"/>
    </row>
    <row r="2" spans="1:13" ht="12" customHeight="1" x14ac:dyDescent="0.2">
      <c r="B2" s="2594">
        <f>'Single Audit Cover'!E7</f>
        <v>20096200026</v>
      </c>
      <c r="C2" s="2594"/>
      <c r="D2" s="2594"/>
      <c r="E2" s="2594"/>
      <c r="F2" s="2594"/>
      <c r="G2" s="2594"/>
      <c r="H2" s="2594"/>
      <c r="I2" s="2594"/>
      <c r="J2" s="2594"/>
      <c r="K2" s="2594"/>
      <c r="L2" s="1145"/>
      <c r="M2" s="1146"/>
    </row>
    <row r="3" spans="1:13" ht="10.35" customHeight="1" x14ac:dyDescent="0.2">
      <c r="B3" s="2608" t="s">
        <v>1274</v>
      </c>
      <c r="C3" s="2608"/>
      <c r="D3" s="2608"/>
      <c r="E3" s="2608"/>
      <c r="F3" s="2608"/>
      <c r="G3" s="2608"/>
      <c r="H3" s="2608"/>
      <c r="I3" s="2608"/>
      <c r="J3" s="2608"/>
      <c r="K3" s="2608"/>
      <c r="L3" s="1147"/>
      <c r="M3" s="1147"/>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1285</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7"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2015</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7" t="s">
        <v>2103</v>
      </c>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7" t="s">
        <v>2104</v>
      </c>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1" t="s">
        <v>2105</v>
      </c>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7" t="s">
        <v>2100</v>
      </c>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7" t="s">
        <v>2101</v>
      </c>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6" t="s">
        <v>2102</v>
      </c>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6" t="s">
        <v>2110</v>
      </c>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North Wayne CUSD 200</v>
      </c>
      <c r="C1" s="2615"/>
      <c r="D1" s="2615"/>
      <c r="E1" s="2615"/>
      <c r="F1" s="2615"/>
      <c r="G1" s="2615"/>
      <c r="H1" s="2615"/>
      <c r="I1" s="2615"/>
      <c r="J1" s="2615"/>
      <c r="K1" s="2615"/>
      <c r="L1" s="1221"/>
    </row>
    <row r="2" spans="1:12" ht="12.75" customHeight="1" x14ac:dyDescent="0.2">
      <c r="B2" s="2616">
        <f>'Single Audit Cover'!E7</f>
        <v>20096200026</v>
      </c>
      <c r="C2" s="2616"/>
      <c r="D2" s="2616"/>
      <c r="E2" s="2616"/>
      <c r="F2" s="2616"/>
      <c r="G2" s="2616"/>
      <c r="H2" s="2616"/>
      <c r="I2" s="2616"/>
      <c r="J2" s="2616"/>
      <c r="K2" s="2616"/>
      <c r="L2" s="1222"/>
    </row>
    <row r="3" spans="1:12" ht="12.75" customHeight="1" x14ac:dyDescent="0.2">
      <c r="B3" s="2608" t="s">
        <v>1274</v>
      </c>
      <c r="C3" s="2608"/>
      <c r="D3" s="2608"/>
      <c r="E3" s="2608"/>
      <c r="F3" s="2608"/>
      <c r="G3" s="2608"/>
      <c r="H3" s="2608"/>
      <c r="I3" s="2608"/>
      <c r="J3" s="2608"/>
      <c r="K3" s="2608"/>
      <c r="L3" s="1147"/>
    </row>
    <row r="4" spans="1:12" ht="12.75" customHeight="1" x14ac:dyDescent="0.2">
      <c r="B4" s="2608" t="str">
        <f>'Single Audit Cover'!A4</f>
        <v>Year Ending June 30, 2020</v>
      </c>
      <c r="C4" s="2608"/>
      <c r="D4" s="2608"/>
      <c r="E4" s="2608"/>
      <c r="F4" s="2608"/>
      <c r="G4" s="2608"/>
      <c r="H4" s="2608"/>
      <c r="I4" s="2608"/>
      <c r="J4" s="2608"/>
      <c r="K4" s="2608"/>
      <c r="L4" s="1147"/>
    </row>
    <row r="5" spans="1:12" ht="5.25" customHeight="1" x14ac:dyDescent="0.2">
      <c r="B5" s="1036" t="s">
        <v>1159</v>
      </c>
      <c r="C5" s="1036"/>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7"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9"/>
      <c r="G12" s="2599"/>
      <c r="H12" s="2599"/>
      <c r="I12" s="2599"/>
      <c r="J12" s="2599"/>
      <c r="K12" s="259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2"/>
      <c r="E14" s="2612"/>
      <c r="F14" s="2612"/>
      <c r="H14" s="1230" t="s">
        <v>1292</v>
      </c>
      <c r="I14" s="2613"/>
      <c r="J14" s="2613"/>
      <c r="K14" s="261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3"/>
      <c r="E16" s="2613"/>
      <c r="F16" s="2613"/>
      <c r="G16" s="2613"/>
      <c r="H16" s="2613"/>
      <c r="I16" s="2613"/>
      <c r="J16" s="2613"/>
      <c r="K16" s="2613"/>
      <c r="L16" s="300"/>
    </row>
    <row r="17" spans="2:12" ht="13.5" customHeight="1" x14ac:dyDescent="0.2">
      <c r="B17" s="1156" t="s">
        <v>1290</v>
      </c>
      <c r="C17" s="1156"/>
      <c r="D17" s="2614"/>
      <c r="E17" s="2614"/>
      <c r="F17" s="2614"/>
      <c r="G17" s="2614"/>
      <c r="H17" s="2614"/>
      <c r="I17" s="2614"/>
      <c r="J17" s="2614"/>
      <c r="K17" s="261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7"/>
      <c r="C20" s="2607"/>
      <c r="D20" s="2607"/>
      <c r="E20" s="2607"/>
      <c r="F20" s="2607"/>
      <c r="G20" s="2607"/>
      <c r="H20" s="2607"/>
      <c r="I20" s="2607"/>
      <c r="J20" s="2607"/>
      <c r="K20" s="260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C12" sqref="C1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2" t="str">
        <f>'Single Audit Cover'!A7</f>
        <v>North Wayne CUSD 200</v>
      </c>
      <c r="C1" s="2592"/>
      <c r="D1" s="2592"/>
      <c r="E1" s="1240"/>
    </row>
    <row r="2" spans="2:5" s="1058" customFormat="1" ht="12.75" customHeight="1" x14ac:dyDescent="0.2">
      <c r="B2" s="2594">
        <f>'Single Audit Cover'!E7</f>
        <v>20096200026</v>
      </c>
      <c r="C2" s="2594"/>
      <c r="D2" s="2594"/>
      <c r="E2" s="1241"/>
    </row>
    <row r="3" spans="2:5" ht="12.75" customHeight="1" x14ac:dyDescent="0.2">
      <c r="B3" s="2608" t="s">
        <v>1743</v>
      </c>
      <c r="C3" s="2608"/>
      <c r="D3" s="2608"/>
      <c r="E3" s="1050"/>
    </row>
    <row r="4" spans="2:5" s="1058" customFormat="1" ht="12.75" customHeight="1" x14ac:dyDescent="0.2">
      <c r="B4" s="2618" t="str">
        <f>'Single Audit Cover'!A4</f>
        <v>Year Ending June 30, 2020</v>
      </c>
      <c r="C4" s="2618"/>
      <c r="D4" s="2618"/>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2094</v>
      </c>
      <c r="C7" s="2619" t="s">
        <v>2095</v>
      </c>
      <c r="D7" s="302" t="s">
        <v>2096</v>
      </c>
      <c r="E7" s="302"/>
    </row>
    <row r="8" spans="2:5" ht="13.5" customHeight="1" x14ac:dyDescent="0.2">
      <c r="B8" s="1245"/>
      <c r="C8" s="2619"/>
      <c r="D8" s="302"/>
      <c r="E8" s="302"/>
    </row>
    <row r="9" spans="2:5" ht="13.5" customHeight="1" x14ac:dyDescent="0.2">
      <c r="B9" s="1246"/>
      <c r="C9" s="2619"/>
      <c r="D9" s="301"/>
      <c r="E9" s="301"/>
    </row>
    <row r="10" spans="2:5" ht="13.5" customHeight="1" x14ac:dyDescent="0.2">
      <c r="B10" s="1245"/>
      <c r="C10" s="2619"/>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5">
    <mergeCell ref="B1:D1"/>
    <mergeCell ref="B2:D2"/>
    <mergeCell ref="B3:D3"/>
    <mergeCell ref="B4:D4"/>
    <mergeCell ref="C7:C10"/>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B54" sqref="B54:L5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40526530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3.4250500000000003E-2</v>
      </c>
      <c r="E10" s="333" t="s">
        <v>998</v>
      </c>
      <c r="F10" s="332">
        <v>4.7307299999999998E-3</v>
      </c>
      <c r="G10" s="333" t="s">
        <v>998</v>
      </c>
      <c r="H10" s="332">
        <v>1.89229E-3</v>
      </c>
      <c r="I10" s="333" t="s">
        <v>999</v>
      </c>
      <c r="J10" s="1424">
        <f>ROUND(D10+F10+H10,5)</f>
        <v>4.0869999999999997E-2</v>
      </c>
      <c r="K10" s="217"/>
      <c r="L10" s="332">
        <v>4.7307000000000002E-4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4752594</v>
      </c>
      <c r="E16" s="1547"/>
      <c r="F16" s="1546">
        <f>SUM('Acct Summary 7-8'!C17,'Acct Summary 7-8'!D17,'Acct Summary 7-8'!F17)</f>
        <v>4366021</v>
      </c>
      <c r="G16" s="1547"/>
      <c r="H16" s="1546">
        <f>SUM(D16-F16)</f>
        <v>386573</v>
      </c>
      <c r="I16" s="1548"/>
      <c r="J16" s="1546">
        <f>SUM('Acct Summary 7-8'!C81,'Acct Summary 7-8'!D81,'Acct Summary 7-8'!F81,'Acct Summary 7-8'!I81)</f>
        <v>4113026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5592661.1400000006</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K28" sqref="K2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North Wayne CUSD 200</v>
      </c>
      <c r="E7" s="368"/>
      <c r="G7" s="247"/>
      <c r="H7" s="364"/>
      <c r="I7" s="364"/>
      <c r="J7" s="364"/>
      <c r="K7" s="364"/>
      <c r="L7" s="307"/>
      <c r="M7" s="307"/>
      <c r="N7" s="307"/>
      <c r="O7" s="307"/>
      <c r="P7" s="307"/>
    </row>
    <row r="8" spans="1:18" ht="12.75" x14ac:dyDescent="0.2">
      <c r="A8" s="307"/>
      <c r="B8" s="307"/>
      <c r="C8" s="366" t="s">
        <v>1115</v>
      </c>
      <c r="D8" s="369">
        <f>COVER!A13</f>
        <v>20096200026</v>
      </c>
      <c r="E8" s="370"/>
      <c r="G8" s="307"/>
      <c r="H8" s="307"/>
      <c r="I8" s="307"/>
      <c r="J8" s="307"/>
      <c r="K8" s="307"/>
      <c r="L8" s="307"/>
      <c r="M8" s="307"/>
      <c r="N8" s="307"/>
      <c r="O8" s="307"/>
      <c r="P8" s="307"/>
    </row>
    <row r="9" spans="1:18" ht="12.75" x14ac:dyDescent="0.2">
      <c r="A9" s="307"/>
      <c r="B9" s="307"/>
      <c r="C9" s="366" t="s">
        <v>708</v>
      </c>
      <c r="D9" s="371" t="str">
        <f>COVER!A15</f>
        <v>Wayne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4113026</v>
      </c>
      <c r="I12" s="380"/>
      <c r="J12" s="380"/>
      <c r="K12" s="1559">
        <f>TRUNC((H12/H13*100000),5)/100000</f>
        <v>0.86542759590000007</v>
      </c>
      <c r="L12" s="381"/>
      <c r="M12" s="337" t="s">
        <v>1134</v>
      </c>
      <c r="N12" s="337"/>
      <c r="O12" s="1562">
        <v>0.35</v>
      </c>
      <c r="P12" s="213"/>
      <c r="Q12" s="213"/>
    </row>
    <row r="13" spans="1:18" s="382" customFormat="1" ht="12.75" x14ac:dyDescent="0.2">
      <c r="A13" s="213"/>
      <c r="B13" s="377"/>
      <c r="C13" s="2205" t="s">
        <v>1313</v>
      </c>
      <c r="D13" s="2206"/>
      <c r="E13" s="213"/>
      <c r="F13" s="383" t="s">
        <v>788</v>
      </c>
      <c r="G13" s="378"/>
      <c r="H13" s="1551">
        <f>SUM('Acct Summary 7-8'!C8+'Acct Summary 7-8'!D8+'Acct Summary 7-8'!F8+'Acct Summary 7-8'!I8)+H14</f>
        <v>4752594</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4366021</v>
      </c>
      <c r="I17" s="380"/>
      <c r="J17" s="389"/>
      <c r="K17" s="1559">
        <f>TRUNC((H17/H18*100000),5)/100000</f>
        <v>0.9186606303</v>
      </c>
      <c r="L17" s="381"/>
      <c r="M17" s="390" t="s">
        <v>1161</v>
      </c>
      <c r="O17" s="1565" t="str">
        <f>IF(AND(O16="2", J20 &gt; 2),"1",IF(AND(O16 = "1", J20 &gt; 2),"2",IF(AND(O16="1", J20 &gt;1),"1","0")))</f>
        <v>0</v>
      </c>
      <c r="P17" s="213"/>
    </row>
    <row r="18" spans="1:18" s="382" customFormat="1" ht="11.25" x14ac:dyDescent="0.2">
      <c r="A18" s="213"/>
      <c r="B18" s="377"/>
      <c r="C18" s="2205" t="s">
        <v>1306</v>
      </c>
      <c r="D18" s="2206"/>
      <c r="E18" s="213"/>
      <c r="F18" s="391" t="s">
        <v>789</v>
      </c>
      <c r="G18" s="378"/>
      <c r="H18" s="1551">
        <f>SUM('Acct Summary 7-8'!C8+'Acct Summary 7-8'!D8+'Acct Summary 7-8'!F8+'Acct Summary 7-8'!I8)+H19</f>
        <v>4752594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2" t="s">
        <v>1395</v>
      </c>
      <c r="D24" s="2202"/>
      <c r="E24" s="213"/>
      <c r="F24" s="213" t="s">
        <v>442</v>
      </c>
      <c r="G24" s="378"/>
      <c r="H24" s="1551">
        <f>SUM('Assets-Liab 5-6'!C4+'Assets-Liab 5-6'!D4+'Assets-Liab 5-6'!F4+'Assets-Liab 5-6'!I4+'Assets-Liab 5-6'!C5+'Assets-Liab 5-6'!D5+'Assets-Liab 5-6'!F5+'Assets-Liab 5-6'!I5)</f>
        <v>4113026</v>
      </c>
      <c r="I24" s="394"/>
      <c r="J24" s="394"/>
      <c r="K24" s="1555">
        <f>TRUNC(((H24/H25*100000)/100000),2)</f>
        <v>339.13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12127.83611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1407871.38894</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0</v>
      </c>
      <c r="I32" s="392"/>
      <c r="J32" s="392"/>
      <c r="K32" s="1555">
        <f>TRUNC(100-((((H32/H33*100))*100)/100),2)</f>
        <v>100</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5592661.1400000006</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pane="bottomLeft" activeCell="L39" sqref="L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6"/>
      <c r="D3" s="1307"/>
      <c r="E3" s="1307"/>
      <c r="F3" s="1307"/>
      <c r="G3" s="1307"/>
      <c r="H3" s="1307"/>
      <c r="I3" s="1307"/>
      <c r="J3" s="1307"/>
      <c r="K3" s="1307"/>
      <c r="L3" s="1307"/>
      <c r="M3" s="1308"/>
      <c r="N3" s="1309"/>
    </row>
    <row r="4" spans="1:14" ht="13.5" customHeight="1" x14ac:dyDescent="0.2">
      <c r="A4" s="427" t="s">
        <v>1632</v>
      </c>
      <c r="B4" s="428"/>
      <c r="C4" s="1572">
        <v>2084700</v>
      </c>
      <c r="D4" s="1573">
        <v>1157624</v>
      </c>
      <c r="E4" s="1573"/>
      <c r="F4" s="1573">
        <v>482739</v>
      </c>
      <c r="G4" s="1573">
        <v>192657</v>
      </c>
      <c r="H4" s="1573"/>
      <c r="I4" s="1573">
        <v>387963</v>
      </c>
      <c r="J4" s="1574">
        <v>252845</v>
      </c>
      <c r="K4" s="1573">
        <v>66756</v>
      </c>
      <c r="L4" s="1573">
        <v>130729</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2084700</v>
      </c>
      <c r="D13" s="1587">
        <f t="shared" ref="D13:L13" si="0">SUM(D4:D12)</f>
        <v>1157624</v>
      </c>
      <c r="E13" s="1587">
        <f t="shared" si="0"/>
        <v>0</v>
      </c>
      <c r="F13" s="1587">
        <f t="shared" si="0"/>
        <v>482739</v>
      </c>
      <c r="G13" s="1587">
        <f t="shared" si="0"/>
        <v>192657</v>
      </c>
      <c r="H13" s="1587">
        <f t="shared" si="0"/>
        <v>0</v>
      </c>
      <c r="I13" s="1587">
        <f t="shared" si="0"/>
        <v>387963</v>
      </c>
      <c r="J13" s="1587">
        <f t="shared" si="0"/>
        <v>252845</v>
      </c>
      <c r="K13" s="1587">
        <f t="shared" si="0"/>
        <v>66756</v>
      </c>
      <c r="L13" s="1587">
        <f t="shared" si="0"/>
        <v>130729</v>
      </c>
      <c r="M13" s="1575"/>
      <c r="N13" s="1576"/>
    </row>
    <row r="14" spans="1:14" ht="18" customHeight="1" thickTop="1" x14ac:dyDescent="0.2">
      <c r="A14" s="2214" t="s">
        <v>146</v>
      </c>
      <c r="B14" s="2215"/>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37050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2605413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1630571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1280866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5553900</v>
      </c>
      <c r="N23" s="1594">
        <f>SUM(N21:N22)</f>
        <v>0</v>
      </c>
    </row>
    <row r="24" spans="1:14" ht="18" customHeight="1" thickTop="1" x14ac:dyDescent="0.2">
      <c r="A24" s="2216" t="s">
        <v>594</v>
      </c>
      <c r="B24" s="2217"/>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130729</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130729</v>
      </c>
      <c r="M34" s="1575"/>
      <c r="N34" s="1585"/>
    </row>
    <row r="35" spans="1:14" ht="18" customHeight="1" thickTop="1" x14ac:dyDescent="0.2">
      <c r="A35" s="2218" t="s">
        <v>526</v>
      </c>
      <c r="B35" s="221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v>64013</v>
      </c>
      <c r="E38" s="1573"/>
      <c r="F38" s="1573"/>
      <c r="G38" s="1573">
        <v>63209</v>
      </c>
      <c r="H38" s="1573"/>
      <c r="I38" s="1573"/>
      <c r="J38" s="1574"/>
      <c r="K38" s="1573"/>
      <c r="L38" s="1586"/>
      <c r="M38" s="1604"/>
      <c r="N38" s="1604"/>
    </row>
    <row r="39" spans="1:14" s="307" customFormat="1" ht="13.5" customHeight="1" x14ac:dyDescent="0.2">
      <c r="A39" s="438" t="s">
        <v>339</v>
      </c>
      <c r="B39" s="432">
        <v>730</v>
      </c>
      <c r="C39" s="1573">
        <v>2084700</v>
      </c>
      <c r="D39" s="1573">
        <v>1093611</v>
      </c>
      <c r="E39" s="1573"/>
      <c r="F39" s="1573">
        <v>482739</v>
      </c>
      <c r="G39" s="1573">
        <v>129448</v>
      </c>
      <c r="H39" s="1573"/>
      <c r="I39" s="1573">
        <v>387963</v>
      </c>
      <c r="J39" s="1574">
        <v>252845</v>
      </c>
      <c r="K39" s="1573">
        <v>66756</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5553900</v>
      </c>
      <c r="N40" s="1604"/>
    </row>
    <row r="41" spans="1:14" ht="13.5" customHeight="1" thickBot="1" x14ac:dyDescent="0.25">
      <c r="A41" s="1426" t="s">
        <v>650</v>
      </c>
      <c r="B41" s="1405"/>
      <c r="C41" s="1594">
        <f>(SUM(C34,C37,C38,C39))</f>
        <v>2084700</v>
      </c>
      <c r="D41" s="1594">
        <f t="shared" ref="D41:L41" si="2">SUM(D34,D37,D38:D39)</f>
        <v>1157624</v>
      </c>
      <c r="E41" s="1594">
        <f t="shared" si="2"/>
        <v>0</v>
      </c>
      <c r="F41" s="1594">
        <f t="shared" si="2"/>
        <v>482739</v>
      </c>
      <c r="G41" s="1594">
        <f t="shared" si="2"/>
        <v>192657</v>
      </c>
      <c r="H41" s="1594">
        <f t="shared" si="2"/>
        <v>0</v>
      </c>
      <c r="I41" s="1594">
        <f t="shared" si="2"/>
        <v>387963</v>
      </c>
      <c r="J41" s="1594">
        <f t="shared" si="2"/>
        <v>252845</v>
      </c>
      <c r="K41" s="1594">
        <f t="shared" si="2"/>
        <v>66756</v>
      </c>
      <c r="L41" s="1594">
        <f t="shared" si="2"/>
        <v>130729</v>
      </c>
      <c r="M41" s="1594">
        <f>SUM(M40)</f>
        <v>5553900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&amp;L&amp;8The notes to the financial statements are an integal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54" activePane="bottomLeft" state="frozen"/>
      <selection pane="bottomLeft" activeCell="C24" sqref="C2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1"/>
      <c r="D3" s="1312"/>
      <c r="E3" s="1312"/>
      <c r="F3" s="1312"/>
      <c r="G3" s="1312"/>
      <c r="H3" s="1312"/>
      <c r="I3" s="1312"/>
      <c r="J3" s="1312"/>
      <c r="K3" s="1313"/>
      <c r="L3" s="446"/>
    </row>
    <row r="4" spans="1:13" ht="15.75" customHeight="1" x14ac:dyDescent="0.2">
      <c r="A4" s="1537" t="s">
        <v>1482</v>
      </c>
      <c r="B4" s="1538">
        <v>1000</v>
      </c>
      <c r="C4" s="1606">
        <f>'Revenues 9-14'!C109</f>
        <v>1687917</v>
      </c>
      <c r="D4" s="1606">
        <f>'Revenues 9-14'!D109</f>
        <v>356737</v>
      </c>
      <c r="E4" s="1606">
        <f>'Revenues 9-14'!E109</f>
        <v>0</v>
      </c>
      <c r="F4" s="1606">
        <f>'Revenues 9-14'!F109</f>
        <v>84661</v>
      </c>
      <c r="G4" s="1606">
        <f>'Revenues 9-14'!G109</f>
        <v>136245</v>
      </c>
      <c r="H4" s="1606">
        <f>'Revenues 9-14'!H109</f>
        <v>0</v>
      </c>
      <c r="I4" s="1606">
        <f>'Revenues 9-14'!I109</f>
        <v>25519</v>
      </c>
      <c r="J4" s="1606">
        <f>'Revenues 9-14'!J109</f>
        <v>119439</v>
      </c>
      <c r="K4" s="1606">
        <f>'Revenues 9-14'!K109</f>
        <v>18202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1650708</v>
      </c>
      <c r="D6" s="1607">
        <f>'Revenues 9-14'!D170</f>
        <v>319996</v>
      </c>
      <c r="E6" s="1607">
        <f>'Revenues 9-14'!E170</f>
        <v>0</v>
      </c>
      <c r="F6" s="1607">
        <f>'Revenues 9-14'!F170</f>
        <v>279766</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347290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3685915</v>
      </c>
      <c r="D8" s="1594">
        <f t="shared" ref="D8:K8" si="0">SUM(D4:D7)</f>
        <v>676733</v>
      </c>
      <c r="E8" s="1594">
        <f t="shared" si="0"/>
        <v>0</v>
      </c>
      <c r="F8" s="1594">
        <f t="shared" si="0"/>
        <v>364427</v>
      </c>
      <c r="G8" s="1594">
        <f t="shared" si="0"/>
        <v>136245</v>
      </c>
      <c r="H8" s="1594">
        <f t="shared" si="0"/>
        <v>0</v>
      </c>
      <c r="I8" s="1594">
        <f t="shared" si="0"/>
        <v>25519</v>
      </c>
      <c r="J8" s="1594">
        <f t="shared" si="0"/>
        <v>119439</v>
      </c>
      <c r="K8" s="1594">
        <f t="shared" si="0"/>
        <v>18202</v>
      </c>
      <c r="L8" s="325"/>
    </row>
    <row r="9" spans="1:13" ht="15.75" thickTop="1" x14ac:dyDescent="0.2">
      <c r="A9" s="449" t="s">
        <v>1634</v>
      </c>
      <c r="B9" s="450">
        <v>3998</v>
      </c>
      <c r="C9" s="1586">
        <v>1834143</v>
      </c>
      <c r="D9" s="1613"/>
      <c r="E9" s="1586"/>
      <c r="F9" s="1586"/>
      <c r="G9" s="1614"/>
      <c r="H9" s="1586"/>
      <c r="I9" s="1609" t="s">
        <v>1159</v>
      </c>
      <c r="J9" s="1583"/>
      <c r="K9" s="1586"/>
      <c r="L9" s="325"/>
    </row>
    <row r="10" spans="1:13" s="452" customFormat="1" ht="13.5" thickBot="1" x14ac:dyDescent="0.25">
      <c r="A10" s="1426" t="s">
        <v>1163</v>
      </c>
      <c r="B10" s="1407"/>
      <c r="C10" s="1594">
        <f>SUM(C8:C9)</f>
        <v>5520058</v>
      </c>
      <c r="D10" s="1594">
        <f t="shared" ref="D10:K10" si="1">SUM(D8:D9)</f>
        <v>676733</v>
      </c>
      <c r="E10" s="1594">
        <f t="shared" si="1"/>
        <v>0</v>
      </c>
      <c r="F10" s="1594">
        <f t="shared" si="1"/>
        <v>364427</v>
      </c>
      <c r="G10" s="1594">
        <f t="shared" si="1"/>
        <v>136245</v>
      </c>
      <c r="H10" s="1594">
        <f t="shared" si="1"/>
        <v>0</v>
      </c>
      <c r="I10" s="1594">
        <f t="shared" si="1"/>
        <v>25519</v>
      </c>
      <c r="J10" s="1594">
        <f t="shared" si="1"/>
        <v>119439</v>
      </c>
      <c r="K10" s="1594">
        <f t="shared" si="1"/>
        <v>18202</v>
      </c>
      <c r="L10" s="451"/>
    </row>
    <row r="11" spans="1:13" s="452" customFormat="1" ht="16.7" customHeight="1" thickTop="1" x14ac:dyDescent="0.2">
      <c r="A11" s="2214" t="s">
        <v>1166</v>
      </c>
      <c r="B11" s="2215"/>
      <c r="C11" s="1602"/>
      <c r="D11" s="1603"/>
      <c r="E11" s="1603"/>
      <c r="F11" s="1603"/>
      <c r="G11" s="1603"/>
      <c r="H11" s="1603"/>
      <c r="I11" s="1603"/>
      <c r="J11" s="1603"/>
      <c r="K11" s="1615"/>
      <c r="L11" s="451"/>
    </row>
    <row r="12" spans="1:13" ht="15.75" customHeight="1" x14ac:dyDescent="0.2">
      <c r="A12" s="1314" t="s">
        <v>453</v>
      </c>
      <c r="B12" s="1316">
        <v>1000</v>
      </c>
      <c r="C12" s="1606">
        <f>'Expenditures 15-22'!K33</f>
        <v>2517901</v>
      </c>
      <c r="D12" s="1616" t="s">
        <v>1159</v>
      </c>
      <c r="E12" s="1575" t="s">
        <v>1159</v>
      </c>
      <c r="F12" s="1575" t="s">
        <v>1159</v>
      </c>
      <c r="G12" s="1606">
        <f>'Expenditures 15-22'!K229</f>
        <v>50809</v>
      </c>
      <c r="H12" s="1617"/>
      <c r="I12" s="1575" t="s">
        <v>1159</v>
      </c>
      <c r="J12" s="1575" t="s">
        <v>1159</v>
      </c>
      <c r="K12" s="1617" t="s">
        <v>1159</v>
      </c>
      <c r="L12" s="325"/>
    </row>
    <row r="13" spans="1:13" ht="15.75" customHeight="1" x14ac:dyDescent="0.2">
      <c r="A13" s="1314" t="s">
        <v>454</v>
      </c>
      <c r="B13" s="1316">
        <v>2000</v>
      </c>
      <c r="C13" s="1607">
        <f>'Expenditures 15-22'!K74</f>
        <v>820392</v>
      </c>
      <c r="D13" s="1607">
        <f>'Expenditures 15-22'!K129</f>
        <v>640764</v>
      </c>
      <c r="E13" s="1576" t="s">
        <v>1159</v>
      </c>
      <c r="F13" s="1607">
        <f>'Expenditures 15-22'!K184</f>
        <v>261922</v>
      </c>
      <c r="G13" s="1607">
        <f>'Expenditures 15-22'!K279</f>
        <v>80577</v>
      </c>
      <c r="H13" s="1607">
        <f>'Expenditures 15-22'!K303</f>
        <v>0</v>
      </c>
      <c r="I13" s="1575" t="s">
        <v>1159</v>
      </c>
      <c r="J13" s="1607">
        <f>'Expenditures 15-22'!K330</f>
        <v>99237</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125042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3463335</v>
      </c>
      <c r="D17" s="1594">
        <f t="shared" si="2"/>
        <v>640764</v>
      </c>
      <c r="E17" s="1594">
        <f t="shared" si="2"/>
        <v>0</v>
      </c>
      <c r="F17" s="1594">
        <f t="shared" si="2"/>
        <v>261922</v>
      </c>
      <c r="G17" s="1594">
        <f t="shared" si="2"/>
        <v>131386</v>
      </c>
      <c r="H17" s="1594">
        <f t="shared" si="2"/>
        <v>0</v>
      </c>
      <c r="I17" s="1575"/>
      <c r="J17" s="1594">
        <f>SUM(J12:J16)</f>
        <v>99237</v>
      </c>
      <c r="K17" s="1594">
        <f>SUM(K12:K16)</f>
        <v>0</v>
      </c>
      <c r="L17" s="325"/>
    </row>
    <row r="18" spans="1:12" ht="15" customHeight="1" thickTop="1" x14ac:dyDescent="0.2">
      <c r="A18" s="1430" t="s">
        <v>1635</v>
      </c>
      <c r="B18" s="1431">
        <v>4180</v>
      </c>
      <c r="C18" s="1606">
        <f t="shared" ref="C18:H18" si="3">C9</f>
        <v>1834143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5297478</v>
      </c>
      <c r="D19" s="1594">
        <f t="shared" si="4"/>
        <v>640764</v>
      </c>
      <c r="E19" s="1594">
        <f t="shared" si="4"/>
        <v>0</v>
      </c>
      <c r="F19" s="1594">
        <f t="shared" si="4"/>
        <v>261922</v>
      </c>
      <c r="G19" s="1594">
        <f t="shared" si="4"/>
        <v>131386</v>
      </c>
      <c r="H19" s="1594">
        <f t="shared" si="4"/>
        <v>0</v>
      </c>
      <c r="I19" s="1575"/>
      <c r="J19" s="1594">
        <f>SUM(J17:J18)</f>
        <v>99237</v>
      </c>
      <c r="K19" s="1594">
        <f>SUM(K17:K18)</f>
        <v>0</v>
      </c>
      <c r="L19" s="325"/>
    </row>
    <row r="20" spans="1:12" ht="16.5" thickTop="1" thickBot="1" x14ac:dyDescent="0.25">
      <c r="A20" s="2230" t="s">
        <v>1636</v>
      </c>
      <c r="B20" s="2231"/>
      <c r="C20" s="1622">
        <f>C8-C17</f>
        <v>222580</v>
      </c>
      <c r="D20" s="1622">
        <f t="shared" ref="D20:K20" si="5">D8-D17</f>
        <v>35969</v>
      </c>
      <c r="E20" s="1622">
        <f t="shared" si="5"/>
        <v>0</v>
      </c>
      <c r="F20" s="1622">
        <f t="shared" si="5"/>
        <v>102505</v>
      </c>
      <c r="G20" s="1622">
        <f t="shared" si="5"/>
        <v>4859</v>
      </c>
      <c r="H20" s="1622">
        <f t="shared" si="5"/>
        <v>0</v>
      </c>
      <c r="I20" s="1622">
        <f t="shared" si="5"/>
        <v>25519</v>
      </c>
      <c r="J20" s="1622">
        <f t="shared" si="5"/>
        <v>20202</v>
      </c>
      <c r="K20" s="1622">
        <f t="shared" si="5"/>
        <v>18202</v>
      </c>
      <c r="L20" s="325"/>
    </row>
    <row r="21" spans="1:12" ht="16.7" customHeight="1" thickTop="1" x14ac:dyDescent="0.2">
      <c r="A21" s="2242" t="s">
        <v>591</v>
      </c>
      <c r="B21" s="2243"/>
      <c r="C21" s="1602"/>
      <c r="D21" s="1603"/>
      <c r="E21" s="1603"/>
      <c r="F21" s="1603"/>
      <c r="G21" s="1603"/>
      <c r="H21" s="1603"/>
      <c r="I21" s="1603"/>
      <c r="J21" s="1603"/>
      <c r="K21" s="1615"/>
      <c r="L21" s="453"/>
    </row>
    <row r="22" spans="1:12" ht="15.75" customHeight="1" collapsed="1" x14ac:dyDescent="0.2">
      <c r="A22" s="2238" t="s">
        <v>592</v>
      </c>
      <c r="B22" s="2239"/>
      <c r="C22" s="1582"/>
      <c r="D22" s="1582"/>
      <c r="E22" s="1582"/>
      <c r="F22" s="1582"/>
      <c r="G22" s="1582"/>
      <c r="H22" s="1582"/>
      <c r="I22" s="1582"/>
      <c r="J22" s="1582"/>
      <c r="K22" s="1582"/>
      <c r="L22" s="325"/>
    </row>
    <row r="23" spans="1:12" s="433" customFormat="1" ht="15.75" customHeight="1" x14ac:dyDescent="0.2">
      <c r="A23" s="2234" t="s">
        <v>290</v>
      </c>
      <c r="B23" s="2235"/>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6" t="s">
        <v>974</v>
      </c>
      <c r="B32" s="2237"/>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4" t="s">
        <v>371</v>
      </c>
      <c r="B44" s="2245"/>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8" t="s">
        <v>108</v>
      </c>
      <c r="B45" s="2239"/>
      <c r="C45" s="1625"/>
      <c r="D45" s="1625"/>
      <c r="E45" s="1625"/>
      <c r="F45" s="1625"/>
      <c r="G45" s="1625"/>
      <c r="H45" s="1625"/>
      <c r="I45" s="1625"/>
      <c r="J45" s="1625"/>
      <c r="K45" s="1625"/>
      <c r="L45" s="325"/>
    </row>
    <row r="46" spans="1:12" s="433" customFormat="1" ht="15.75" customHeight="1" x14ac:dyDescent="0.2">
      <c r="A46" s="2246" t="s">
        <v>109</v>
      </c>
      <c r="B46" s="2247"/>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0" t="s">
        <v>437</v>
      </c>
      <c r="B76" s="2221"/>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2" t="s">
        <v>1167</v>
      </c>
      <c r="B77" s="2223"/>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6" t="s">
        <v>593</v>
      </c>
      <c r="B78" s="2227"/>
      <c r="C78" s="1629">
        <f t="shared" ref="C78:K78" si="9">C20+C77</f>
        <v>222580</v>
      </c>
      <c r="D78" s="1629">
        <f t="shared" si="9"/>
        <v>35969</v>
      </c>
      <c r="E78" s="1629">
        <f t="shared" si="9"/>
        <v>0</v>
      </c>
      <c r="F78" s="1629">
        <f t="shared" si="9"/>
        <v>102505</v>
      </c>
      <c r="G78" s="1629">
        <f t="shared" si="9"/>
        <v>4859</v>
      </c>
      <c r="H78" s="1629">
        <f t="shared" si="9"/>
        <v>0</v>
      </c>
      <c r="I78" s="1629">
        <f t="shared" si="9"/>
        <v>25519</v>
      </c>
      <c r="J78" s="1629">
        <f t="shared" si="9"/>
        <v>20202</v>
      </c>
      <c r="K78" s="1629">
        <f t="shared" si="9"/>
        <v>18202</v>
      </c>
      <c r="L78" s="457"/>
    </row>
    <row r="79" spans="1:12" ht="13.5" thickTop="1" x14ac:dyDescent="0.2">
      <c r="A79" s="1844" t="str">
        <f>"Fund Balances - July 1, "&amp;'AFR20'!E2-1</f>
        <v>Fund Balances - July 1, 2019</v>
      </c>
      <c r="B79" s="458"/>
      <c r="C79" s="1583">
        <v>1862120</v>
      </c>
      <c r="D79" s="1630">
        <v>1121655</v>
      </c>
      <c r="E79" s="1630"/>
      <c r="F79" s="1630">
        <v>380234</v>
      </c>
      <c r="G79" s="1630">
        <v>187798</v>
      </c>
      <c r="H79" s="1630"/>
      <c r="I79" s="1630">
        <v>362444</v>
      </c>
      <c r="J79" s="1630">
        <v>232643</v>
      </c>
      <c r="K79" s="1630">
        <v>48554</v>
      </c>
      <c r="L79" s="325"/>
    </row>
    <row r="80" spans="1:12" x14ac:dyDescent="0.2">
      <c r="A80" s="2232" t="s">
        <v>1772</v>
      </c>
      <c r="B80" s="2233"/>
      <c r="C80" s="1574"/>
      <c r="D80" s="1574"/>
      <c r="E80" s="1574"/>
      <c r="F80" s="1574"/>
      <c r="G80" s="1574"/>
      <c r="H80" s="1574"/>
      <c r="I80" s="1574"/>
      <c r="J80" s="1574"/>
      <c r="K80" s="1574"/>
      <c r="L80" s="325"/>
    </row>
    <row r="81" spans="1:12" ht="13.5" thickBot="1" x14ac:dyDescent="0.25">
      <c r="A81" s="2224" t="str">
        <f>"Fund Balances - June 30, "&amp;'AFR20'!E2</f>
        <v>Fund Balances - June 30, 2020</v>
      </c>
      <c r="B81" s="2225"/>
      <c r="C81" s="1594">
        <f>(SUM(C78:C80))</f>
        <v>2084700</v>
      </c>
      <c r="D81" s="1594">
        <f>SUM(D78:D80)</f>
        <v>1157624</v>
      </c>
      <c r="E81" s="1594">
        <f t="shared" ref="E81:K81" si="10">SUM(E78:E80)</f>
        <v>0</v>
      </c>
      <c r="F81" s="1594">
        <f t="shared" si="10"/>
        <v>482739</v>
      </c>
      <c r="G81" s="1594">
        <f t="shared" si="10"/>
        <v>192657</v>
      </c>
      <c r="H81" s="1594">
        <f t="shared" si="10"/>
        <v>0</v>
      </c>
      <c r="I81" s="1594">
        <f t="shared" si="10"/>
        <v>387963</v>
      </c>
      <c r="J81" s="1594">
        <f t="shared" si="10"/>
        <v>252845</v>
      </c>
      <c r="K81" s="1594">
        <f t="shared" si="10"/>
        <v>66756</v>
      </c>
      <c r="L81" s="325"/>
    </row>
    <row r="82" spans="1:12" ht="0.75" customHeight="1" thickTop="1" thickBot="1" x14ac:dyDescent="0.25">
      <c r="A82" s="459" t="s">
        <v>340</v>
      </c>
      <c r="B82" s="460"/>
      <c r="C82" s="461">
        <f>(C81-C79)</f>
        <v>222580</v>
      </c>
      <c r="D82" s="461">
        <f t="shared" ref="D82:K82" si="11">(D81-D79)</f>
        <v>35969</v>
      </c>
      <c r="E82" s="461">
        <f t="shared" si="11"/>
        <v>0</v>
      </c>
      <c r="F82" s="461">
        <f t="shared" si="11"/>
        <v>102505</v>
      </c>
      <c r="G82" s="461">
        <f t="shared" si="11"/>
        <v>4859</v>
      </c>
      <c r="H82" s="461">
        <f t="shared" si="11"/>
        <v>0</v>
      </c>
      <c r="I82" s="461">
        <f t="shared" si="11"/>
        <v>25519</v>
      </c>
      <c r="J82" s="461">
        <f t="shared" si="11"/>
        <v>20202</v>
      </c>
      <c r="K82" s="461">
        <f t="shared" si="11"/>
        <v>18202</v>
      </c>
    </row>
    <row r="83" spans="1:12" ht="14.25" hidden="1" thickTop="1" thickBot="1" x14ac:dyDescent="0.25">
      <c r="A83" s="462" t="s">
        <v>341</v>
      </c>
      <c r="B83" s="428"/>
      <c r="C83" s="463">
        <f>C82/C81</f>
        <v>0.10676835995586895</v>
      </c>
      <c r="D83" s="463">
        <f t="shared" ref="D83:K83" si="12">D82/D81</f>
        <v>3.1071401422223449E-2</v>
      </c>
      <c r="E83" s="463" t="e">
        <f t="shared" si="12"/>
        <v>#DIV/0!</v>
      </c>
      <c r="F83" s="463">
        <f t="shared" si="12"/>
        <v>0.21234041583547217</v>
      </c>
      <c r="G83" s="463">
        <f t="shared" si="12"/>
        <v>2.5220988596313654E-2</v>
      </c>
      <c r="H83" s="463" t="e">
        <f t="shared" si="12"/>
        <v>#DIV/0!</v>
      </c>
      <c r="I83" s="463">
        <f t="shared" si="12"/>
        <v>6.5776891095284853E-2</v>
      </c>
      <c r="J83" s="463">
        <f t="shared" si="12"/>
        <v>7.989875219996441E-2</v>
      </c>
      <c r="K83" s="463">
        <f t="shared" si="12"/>
        <v>0.27266462939660857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2" firstPageNumber="7" fitToHeight="0"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&amp;L&amp;8The notes to the financial statements are an integal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83" activePane="bottomLeft" state="frozen"/>
      <selection pane="bottomLeft" activeCell="C194" sqref="C19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1779</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1307004</v>
      </c>
      <c r="D5" s="1586">
        <v>180527</v>
      </c>
      <c r="E5" s="1573"/>
      <c r="F5" s="1631">
        <v>72212</v>
      </c>
      <c r="G5" s="1573">
        <v>29884</v>
      </c>
      <c r="H5" s="1573"/>
      <c r="I5" s="1573">
        <v>18054</v>
      </c>
      <c r="J5" s="1574">
        <v>114573</v>
      </c>
      <c r="K5" s="1573">
        <v>18054</v>
      </c>
    </row>
    <row r="6" spans="1:12" ht="15" x14ac:dyDescent="0.2">
      <c r="A6" s="427" t="s">
        <v>1643</v>
      </c>
      <c r="B6" s="429">
        <v>1130</v>
      </c>
      <c r="C6" s="1573">
        <v>18054</v>
      </c>
      <c r="D6" s="1573"/>
      <c r="E6" s="1580"/>
      <c r="F6" s="1580"/>
      <c r="G6" s="1575"/>
      <c r="H6" s="1575"/>
      <c r="I6" s="1575"/>
      <c r="J6" s="1575"/>
      <c r="K6" s="1575"/>
    </row>
    <row r="7" spans="1:12" x14ac:dyDescent="0.2">
      <c r="A7" s="427" t="s">
        <v>110</v>
      </c>
      <c r="B7" s="471">
        <v>1140</v>
      </c>
      <c r="C7" s="1573">
        <v>14442</v>
      </c>
      <c r="D7" s="1573"/>
      <c r="E7" s="1575"/>
      <c r="F7" s="1574"/>
      <c r="G7" s="1574"/>
      <c r="H7" s="1574"/>
      <c r="I7" s="1575"/>
      <c r="J7" s="1575"/>
      <c r="K7" s="1575"/>
    </row>
    <row r="8" spans="1:12" x14ac:dyDescent="0.2">
      <c r="A8" s="427" t="s">
        <v>410</v>
      </c>
      <c r="B8" s="429">
        <v>1150</v>
      </c>
      <c r="C8" s="1580"/>
      <c r="D8" s="1580"/>
      <c r="E8" s="1582"/>
      <c r="F8" s="1582"/>
      <c r="G8" s="1586">
        <v>83698</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1339500</v>
      </c>
      <c r="D12" s="1633">
        <f t="shared" si="0"/>
        <v>180527</v>
      </c>
      <c r="E12" s="1633">
        <f t="shared" si="0"/>
        <v>0</v>
      </c>
      <c r="F12" s="1633">
        <f t="shared" si="0"/>
        <v>72212</v>
      </c>
      <c r="G12" s="1633">
        <f t="shared" si="0"/>
        <v>113582</v>
      </c>
      <c r="H12" s="1633">
        <f t="shared" si="0"/>
        <v>0</v>
      </c>
      <c r="I12" s="1633">
        <f t="shared" si="0"/>
        <v>18054</v>
      </c>
      <c r="J12" s="1633">
        <f t="shared" si="0"/>
        <v>114573</v>
      </c>
      <c r="K12" s="1594">
        <f t="shared" si="0"/>
        <v>18054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7495</v>
      </c>
      <c r="D14" s="1573">
        <v>1010</v>
      </c>
      <c r="E14" s="1573"/>
      <c r="F14" s="1573">
        <v>404</v>
      </c>
      <c r="G14" s="1573">
        <v>636</v>
      </c>
      <c r="H14" s="1573"/>
      <c r="I14" s="1573">
        <v>101</v>
      </c>
      <c r="J14" s="1574">
        <v>641</v>
      </c>
      <c r="K14" s="1573">
        <v>101</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214524</v>
      </c>
      <c r="D16" s="1573"/>
      <c r="E16" s="1573"/>
      <c r="F16" s="1573"/>
      <c r="G16" s="1573">
        <v>18000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222019</v>
      </c>
      <c r="D18" s="1635">
        <f t="shared" ref="D18:K18" si="1">SUM(D14:D17)</f>
        <v>1010</v>
      </c>
      <c r="E18" s="1635">
        <f t="shared" si="1"/>
        <v>0</v>
      </c>
      <c r="F18" s="1635">
        <f t="shared" si="1"/>
        <v>404</v>
      </c>
      <c r="G18" s="1635">
        <f t="shared" si="1"/>
        <v>18636</v>
      </c>
      <c r="H18" s="1635">
        <f t="shared" si="1"/>
        <v>0</v>
      </c>
      <c r="I18" s="1635">
        <f t="shared" si="1"/>
        <v>101</v>
      </c>
      <c r="J18" s="1635">
        <f t="shared" si="1"/>
        <v>641</v>
      </c>
      <c r="K18" s="1636">
        <f t="shared" si="1"/>
        <v>101</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34612</v>
      </c>
      <c r="D65" s="1573">
        <v>20123</v>
      </c>
      <c r="E65" s="1573"/>
      <c r="F65" s="1574">
        <v>7398</v>
      </c>
      <c r="G65" s="1573">
        <v>4027</v>
      </c>
      <c r="H65" s="1573"/>
      <c r="I65" s="1573">
        <v>7364</v>
      </c>
      <c r="J65" s="1574">
        <v>3835</v>
      </c>
      <c r="K65" s="1573">
        <v>47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34612</v>
      </c>
      <c r="D67" s="1594">
        <f t="shared" ref="D67:K67" si="2">SUM(D65:D66)</f>
        <v>20123</v>
      </c>
      <c r="E67" s="1594">
        <f t="shared" si="2"/>
        <v>0</v>
      </c>
      <c r="F67" s="1594">
        <f t="shared" si="2"/>
        <v>7398</v>
      </c>
      <c r="G67" s="1594">
        <f t="shared" si="2"/>
        <v>4027</v>
      </c>
      <c r="H67" s="1594">
        <f t="shared" si="2"/>
        <v>0</v>
      </c>
      <c r="I67" s="1594">
        <f t="shared" si="2"/>
        <v>7364</v>
      </c>
      <c r="J67" s="1594">
        <f t="shared" si="2"/>
        <v>3835</v>
      </c>
      <c r="K67" s="1594">
        <f t="shared" si="2"/>
        <v>47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37915</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3379</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5101</v>
      </c>
      <c r="D73" s="1575"/>
      <c r="E73" s="1575"/>
      <c r="F73" s="1575"/>
      <c r="G73" s="1575"/>
      <c r="H73" s="1575"/>
      <c r="I73" s="1575"/>
      <c r="J73" s="1575"/>
      <c r="K73" s="1575"/>
    </row>
    <row r="74" spans="1:11" ht="12.75" customHeight="1" x14ac:dyDescent="0.2">
      <c r="A74" s="427" t="s">
        <v>25</v>
      </c>
      <c r="B74" s="429">
        <v>1690</v>
      </c>
      <c r="C74" s="1632">
        <v>431</v>
      </c>
      <c r="D74" s="1575"/>
      <c r="E74" s="1575"/>
      <c r="F74" s="1575"/>
      <c r="G74" s="1575"/>
      <c r="H74" s="1575"/>
      <c r="I74" s="1575"/>
      <c r="J74" s="1575"/>
      <c r="K74" s="1575"/>
    </row>
    <row r="75" spans="1:11" ht="12.75" customHeight="1" thickBot="1" x14ac:dyDescent="0.25">
      <c r="A75" s="1406" t="s">
        <v>544</v>
      </c>
      <c r="B75" s="1407"/>
      <c r="C75" s="1594">
        <f>SUM(C69:C74)</f>
        <v>46826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10927</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7319</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18246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14646</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14646</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v>25000</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v>390</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1370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10698</v>
      </c>
      <c r="D107" s="1573">
        <v>130077</v>
      </c>
      <c r="E107" s="1573"/>
      <c r="F107" s="1573">
        <v>4647</v>
      </c>
      <c r="G107" s="1573"/>
      <c r="H107" s="1573"/>
      <c r="I107" s="1573"/>
      <c r="J107" s="1574"/>
      <c r="K107" s="1573"/>
    </row>
    <row r="108" spans="1:12" ht="12.75" customHeight="1" thickBot="1" x14ac:dyDescent="0.25">
      <c r="A108" s="1406" t="s">
        <v>484</v>
      </c>
      <c r="B108" s="1408"/>
      <c r="C108" s="1633">
        <f>SUM(C95:C107)</f>
        <v>12068</v>
      </c>
      <c r="D108" s="1633">
        <f t="shared" ref="D108:K108" si="3">SUM(D95:D107)</f>
        <v>155077</v>
      </c>
      <c r="E108" s="1633">
        <f t="shared" si="3"/>
        <v>0</v>
      </c>
      <c r="F108" s="1633">
        <f t="shared" si="3"/>
        <v>4647</v>
      </c>
      <c r="G108" s="1633">
        <f t="shared" si="3"/>
        <v>0</v>
      </c>
      <c r="H108" s="1633">
        <f t="shared" si="3"/>
        <v>0</v>
      </c>
      <c r="I108" s="1633">
        <f t="shared" si="3"/>
        <v>0</v>
      </c>
      <c r="J108" s="1633">
        <f t="shared" si="3"/>
        <v>390</v>
      </c>
      <c r="K108" s="1594">
        <f t="shared" si="3"/>
        <v>0</v>
      </c>
    </row>
    <row r="109" spans="1:12" ht="14.25" thickTop="1" thickBot="1" x14ac:dyDescent="0.25">
      <c r="A109" s="1409" t="s">
        <v>246</v>
      </c>
      <c r="B109" s="1410" t="s">
        <v>566</v>
      </c>
      <c r="C109" s="1641">
        <f t="shared" ref="C109:K109" si="4">SUM(C12,C18,C40,C63,C67,C75,C82,C93,C108,)</f>
        <v>1687917</v>
      </c>
      <c r="D109" s="1641">
        <f t="shared" si="4"/>
        <v>356737</v>
      </c>
      <c r="E109" s="1641">
        <f t="shared" si="4"/>
        <v>0</v>
      </c>
      <c r="F109" s="1641">
        <f t="shared" si="4"/>
        <v>84661</v>
      </c>
      <c r="G109" s="1641">
        <f t="shared" si="4"/>
        <v>136245</v>
      </c>
      <c r="H109" s="1641">
        <f t="shared" si="4"/>
        <v>0</v>
      </c>
      <c r="I109" s="1641">
        <f t="shared" si="4"/>
        <v>25519</v>
      </c>
      <c r="J109" s="1641">
        <f t="shared" si="4"/>
        <v>119439</v>
      </c>
      <c r="K109" s="1629">
        <f t="shared" si="4"/>
        <v>18202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1542049</v>
      </c>
      <c r="D117" s="1586">
        <v>269996</v>
      </c>
      <c r="E117" s="1573"/>
      <c r="F117" s="1586">
        <v>100000</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1542049</v>
      </c>
      <c r="D122" s="1633">
        <f t="shared" si="5"/>
        <v>269996</v>
      </c>
      <c r="E122" s="1633">
        <f t="shared" si="5"/>
        <v>0</v>
      </c>
      <c r="F122" s="1633">
        <f t="shared" si="5"/>
        <v>100000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14341</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17656</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31997</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1249</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4100</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149583</v>
      </c>
      <c r="G152" s="1574"/>
      <c r="H152" s="1575"/>
      <c r="I152" s="1575"/>
      <c r="J152" s="1575"/>
      <c r="K152" s="1575"/>
    </row>
    <row r="153" spans="1:11" ht="12.75" customHeight="1" x14ac:dyDescent="0.2">
      <c r="A153" s="427" t="s">
        <v>1048</v>
      </c>
      <c r="B153" s="478">
        <v>3510</v>
      </c>
      <c r="C153" s="1632"/>
      <c r="D153" s="1573"/>
      <c r="E153" s="1640"/>
      <c r="F153" s="1573">
        <v>30183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179766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71313</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8" t="s">
        <v>395</v>
      </c>
      <c r="B169" s="2249"/>
      <c r="C169" s="1658">
        <f t="shared" ref="C169:K169" si="6">SUM(C132,C141,C145,C146:C150,C155,C156:C167,C168)</f>
        <v>108659</v>
      </c>
      <c r="D169" s="1658">
        <f t="shared" si="6"/>
        <v>50000</v>
      </c>
      <c r="E169" s="1658">
        <f t="shared" si="6"/>
        <v>0</v>
      </c>
      <c r="F169" s="1658">
        <f t="shared" si="6"/>
        <v>179766</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1650708</v>
      </c>
      <c r="D170" s="1641">
        <f t="shared" si="7"/>
        <v>319996</v>
      </c>
      <c r="E170" s="1641">
        <f t="shared" si="7"/>
        <v>0</v>
      </c>
      <c r="F170" s="1641">
        <f t="shared" si="7"/>
        <v>279766</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0" t="s">
        <v>1475</v>
      </c>
      <c r="B172" s="2251"/>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4" t="s">
        <v>1646</v>
      </c>
      <c r="B175" s="225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8" t="s">
        <v>1645</v>
      </c>
      <c r="B176" s="2259"/>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6" t="s">
        <v>780</v>
      </c>
      <c r="B181" s="225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2" t="s">
        <v>1780</v>
      </c>
      <c r="B182" s="2253"/>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66451</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26618</v>
      </c>
      <c r="D193" s="1575"/>
      <c r="E193" s="1640"/>
      <c r="F193" s="1575"/>
      <c r="G193" s="1664"/>
      <c r="H193" s="1575"/>
      <c r="I193" s="1575"/>
      <c r="J193" s="1575"/>
      <c r="K193" s="1575"/>
    </row>
    <row r="194" spans="1:11" ht="12.75" customHeight="1" x14ac:dyDescent="0.2">
      <c r="A194" s="427" t="s">
        <v>1434</v>
      </c>
      <c r="B194" s="429">
        <v>4225</v>
      </c>
      <c r="C194" s="1632">
        <v>33035</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126104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113495</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113495</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3701</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58940</v>
      </c>
      <c r="D213" s="1573"/>
      <c r="E213" s="1575"/>
      <c r="F213" s="1573"/>
      <c r="G213" s="1573"/>
      <c r="H213" s="1575"/>
      <c r="I213" s="1575"/>
      <c r="J213" s="1575"/>
      <c r="K213" s="1575"/>
    </row>
    <row r="214" spans="1:11" ht="12.75" customHeight="1" x14ac:dyDescent="0.2">
      <c r="A214" s="427" t="s">
        <v>1045</v>
      </c>
      <c r="B214" s="429">
        <v>4625</v>
      </c>
      <c r="C214" s="1632">
        <v>11</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62652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4200</v>
      </c>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4200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17423</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3721</v>
      </c>
      <c r="D263" s="1651"/>
      <c r="E263" s="1575"/>
      <c r="F263" s="1651"/>
      <c r="G263" s="1651"/>
      <c r="H263" s="1575"/>
      <c r="I263" s="1575"/>
      <c r="J263" s="1575"/>
      <c r="K263" s="1575"/>
    </row>
    <row r="264" spans="1:11" ht="12.75" customHeight="1" thickTop="1" thickBot="1" x14ac:dyDescent="0.25">
      <c r="A264" s="427" t="s">
        <v>374</v>
      </c>
      <c r="B264" s="429">
        <v>4992</v>
      </c>
      <c r="C264" s="1650">
        <v>297</v>
      </c>
      <c r="D264" s="1651"/>
      <c r="E264" s="1575"/>
      <c r="F264" s="1651"/>
      <c r="G264" s="1651"/>
      <c r="H264" s="1575"/>
      <c r="I264" s="1575"/>
      <c r="J264" s="1575"/>
      <c r="K264" s="1575"/>
    </row>
    <row r="265" spans="1:11" s="489" customFormat="1" ht="12.75" customHeight="1" thickTop="1" thickBot="1" x14ac:dyDescent="0.25">
      <c r="A265" s="479" t="s">
        <v>75</v>
      </c>
      <c r="B265" s="475">
        <v>4998</v>
      </c>
      <c r="C265" s="1650">
        <v>19398</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347290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347290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3685915</v>
      </c>
      <c r="D268" s="1641">
        <f t="shared" si="12"/>
        <v>676733</v>
      </c>
      <c r="E268" s="1641">
        <f t="shared" si="12"/>
        <v>0</v>
      </c>
      <c r="F268" s="1641">
        <f t="shared" si="12"/>
        <v>364427</v>
      </c>
      <c r="G268" s="1641">
        <f t="shared" si="12"/>
        <v>136245</v>
      </c>
      <c r="H268" s="1641">
        <f t="shared" si="12"/>
        <v>0</v>
      </c>
      <c r="I268" s="1641">
        <f t="shared" si="12"/>
        <v>25519</v>
      </c>
      <c r="J268" s="1641">
        <f t="shared" si="12"/>
        <v>119439</v>
      </c>
      <c r="K268" s="1629">
        <f t="shared" si="12"/>
        <v>18202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2" firstPageNumber="9" fitToHeight="0" orientation="landscape" useFirstPageNumber="1" r:id="rId1"/>
  <headerFooter alignWithMargins="0">
    <oddHeader>&amp;L&amp;8Page &amp;P&amp;C&amp;"Arial,Bold"&amp;9STATEMENT OF REVENUES RECEIVED/REVENUES
FOR THE YEAR ENDING JUNE 30, 2020&amp;R&amp;8Page &amp;P</oddHeader>
    <oddFooter>&amp;L&amp;8The notes to the financial statements are an integal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279" activePane="bottomLeft" state="frozen"/>
      <selection pane="bottomLeft" activeCell="H301" sqref="H30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6" t="s">
        <v>294</v>
      </c>
      <c r="B3" s="2267"/>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1483414</v>
      </c>
      <c r="D5" s="1573">
        <v>100880</v>
      </c>
      <c r="E5" s="1573">
        <v>8376</v>
      </c>
      <c r="F5" s="1573">
        <v>58107</v>
      </c>
      <c r="G5" s="1573">
        <v>5104</v>
      </c>
      <c r="H5" s="1573"/>
      <c r="I5" s="1574"/>
      <c r="J5" s="1574"/>
      <c r="K5" s="1672">
        <f>SUM(C5:J5)</f>
        <v>1655881</v>
      </c>
      <c r="L5" s="1573">
        <v>1750600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77455</v>
      </c>
      <c r="D7" s="1574">
        <v>10178</v>
      </c>
      <c r="E7" s="1574"/>
      <c r="F7" s="1574">
        <v>1068</v>
      </c>
      <c r="G7" s="1574"/>
      <c r="H7" s="1574"/>
      <c r="I7" s="1574"/>
      <c r="J7" s="1574"/>
      <c r="K7" s="1672">
        <f t="shared" ref="K7:K32" si="0">SUM(C7:J7)</f>
        <v>88701</v>
      </c>
      <c r="L7" s="1573">
        <v>95025</v>
      </c>
    </row>
    <row r="8" spans="1:14" x14ac:dyDescent="0.2">
      <c r="A8" s="1274" t="s">
        <v>163</v>
      </c>
      <c r="B8" s="503">
        <v>1200</v>
      </c>
      <c r="C8" s="1573">
        <v>269761</v>
      </c>
      <c r="D8" s="1573">
        <v>11443</v>
      </c>
      <c r="E8" s="1573">
        <v>213</v>
      </c>
      <c r="F8" s="1573">
        <v>1856</v>
      </c>
      <c r="G8" s="1573"/>
      <c r="H8" s="1573"/>
      <c r="I8" s="1574"/>
      <c r="J8" s="1574"/>
      <c r="K8" s="1672">
        <f t="shared" si="0"/>
        <v>283273</v>
      </c>
      <c r="L8" s="1573">
        <v>305351</v>
      </c>
    </row>
    <row r="9" spans="1:14" x14ac:dyDescent="0.2">
      <c r="A9" s="1274" t="s">
        <v>716</v>
      </c>
      <c r="B9" s="503" t="s">
        <v>962</v>
      </c>
      <c r="C9" s="1574"/>
      <c r="D9" s="1574"/>
      <c r="E9" s="1574"/>
      <c r="F9" s="1574"/>
      <c r="G9" s="1574"/>
      <c r="H9" s="1574"/>
      <c r="I9" s="1574"/>
      <c r="J9" s="1574"/>
      <c r="K9" s="1672">
        <f t="shared" si="0"/>
        <v>0</v>
      </c>
      <c r="L9" s="1573">
        <v>450</v>
      </c>
    </row>
    <row r="10" spans="1:14" x14ac:dyDescent="0.2">
      <c r="A10" s="1274" t="s">
        <v>717</v>
      </c>
      <c r="B10" s="503">
        <v>1250</v>
      </c>
      <c r="C10" s="1573">
        <v>87387</v>
      </c>
      <c r="D10" s="1573">
        <v>11851</v>
      </c>
      <c r="E10" s="1573">
        <v>1039</v>
      </c>
      <c r="F10" s="1573">
        <v>2789</v>
      </c>
      <c r="G10" s="1573">
        <v>2805</v>
      </c>
      <c r="H10" s="1573"/>
      <c r="I10" s="1574"/>
      <c r="J10" s="1574"/>
      <c r="K10" s="1672">
        <f t="shared" si="0"/>
        <v>105871</v>
      </c>
      <c r="L10" s="1573">
        <v>95660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232977</v>
      </c>
      <c r="D13" s="1573">
        <v>16036</v>
      </c>
      <c r="E13" s="1573">
        <v>5741</v>
      </c>
      <c r="F13" s="1573">
        <v>24416</v>
      </c>
      <c r="G13" s="1573">
        <v>3072</v>
      </c>
      <c r="H13" s="1573"/>
      <c r="I13" s="1574"/>
      <c r="J13" s="1574"/>
      <c r="K13" s="1672">
        <f t="shared" si="0"/>
        <v>282242</v>
      </c>
      <c r="L13" s="1573">
        <v>299515</v>
      </c>
    </row>
    <row r="14" spans="1:14" x14ac:dyDescent="0.2">
      <c r="A14" s="1274" t="s">
        <v>957</v>
      </c>
      <c r="B14" s="503">
        <v>1500</v>
      </c>
      <c r="C14" s="1573">
        <v>49667</v>
      </c>
      <c r="D14" s="1573">
        <v>576</v>
      </c>
      <c r="E14" s="1573">
        <v>12402</v>
      </c>
      <c r="F14" s="1573">
        <v>11776</v>
      </c>
      <c r="G14" s="1573">
        <v>4284</v>
      </c>
      <c r="H14" s="1573"/>
      <c r="I14" s="1574"/>
      <c r="J14" s="1574"/>
      <c r="K14" s="1672">
        <f t="shared" si="0"/>
        <v>78705</v>
      </c>
      <c r="L14" s="1573">
        <v>85018</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v>1600</v>
      </c>
      <c r="D16" s="1573">
        <v>12</v>
      </c>
      <c r="E16" s="1573"/>
      <c r="F16" s="1573">
        <v>82</v>
      </c>
      <c r="G16" s="1573"/>
      <c r="H16" s="1573"/>
      <c r="I16" s="1574"/>
      <c r="J16" s="1574"/>
      <c r="K16" s="1672">
        <f t="shared" si="0"/>
        <v>1694</v>
      </c>
      <c r="L16" s="1573">
        <v>2621</v>
      </c>
    </row>
    <row r="17" spans="1:12" x14ac:dyDescent="0.2">
      <c r="A17" s="1274" t="s">
        <v>719</v>
      </c>
      <c r="B17" s="503" t="s">
        <v>161</v>
      </c>
      <c r="C17" s="1574">
        <v>19734</v>
      </c>
      <c r="D17" s="1574">
        <v>298</v>
      </c>
      <c r="E17" s="1574">
        <v>110</v>
      </c>
      <c r="F17" s="1574">
        <v>1392</v>
      </c>
      <c r="G17" s="1574"/>
      <c r="H17" s="1574"/>
      <c r="I17" s="1574"/>
      <c r="J17" s="1574"/>
      <c r="K17" s="1672">
        <f t="shared" si="0"/>
        <v>21534</v>
      </c>
      <c r="L17" s="1573">
        <v>21516</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2221995</v>
      </c>
      <c r="D33" s="1674">
        <f t="shared" ref="D33:L33" si="1">SUM(D5:D32)</f>
        <v>151274</v>
      </c>
      <c r="E33" s="1674">
        <f t="shared" si="1"/>
        <v>27881</v>
      </c>
      <c r="F33" s="1674">
        <f t="shared" si="1"/>
        <v>101486</v>
      </c>
      <c r="G33" s="1674">
        <f t="shared" si="1"/>
        <v>15265</v>
      </c>
      <c r="H33" s="1674">
        <f t="shared" si="1"/>
        <v>0</v>
      </c>
      <c r="I33" s="1674">
        <f t="shared" si="1"/>
        <v>0</v>
      </c>
      <c r="J33" s="1674">
        <f t="shared" si="1"/>
        <v>0</v>
      </c>
      <c r="K33" s="1674">
        <f t="shared" si="1"/>
        <v>2517901</v>
      </c>
      <c r="L33" s="1674">
        <f t="shared" si="1"/>
        <v>2655756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49451</v>
      </c>
      <c r="D37" s="1573">
        <v>6653</v>
      </c>
      <c r="E37" s="1573">
        <v>5191</v>
      </c>
      <c r="F37" s="1573">
        <v>393</v>
      </c>
      <c r="G37" s="1573"/>
      <c r="H37" s="1573"/>
      <c r="I37" s="1574"/>
      <c r="J37" s="1574"/>
      <c r="K37" s="1672">
        <f t="shared" si="2"/>
        <v>61688</v>
      </c>
      <c r="L37" s="1573">
        <v>82943</v>
      </c>
    </row>
    <row r="38" spans="1:14" x14ac:dyDescent="0.2">
      <c r="A38" s="1274" t="s">
        <v>196</v>
      </c>
      <c r="B38" s="503">
        <v>2130</v>
      </c>
      <c r="C38" s="1573">
        <v>29494</v>
      </c>
      <c r="D38" s="1573">
        <v>11</v>
      </c>
      <c r="E38" s="1573">
        <v>1326</v>
      </c>
      <c r="F38" s="1573">
        <v>3155</v>
      </c>
      <c r="G38" s="1573"/>
      <c r="H38" s="1573"/>
      <c r="I38" s="1574"/>
      <c r="J38" s="1574"/>
      <c r="K38" s="1672">
        <f t="shared" si="2"/>
        <v>33986</v>
      </c>
      <c r="L38" s="1573">
        <v>37631</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44878</v>
      </c>
      <c r="D40" s="1573">
        <v>1183</v>
      </c>
      <c r="E40" s="1573">
        <v>622</v>
      </c>
      <c r="F40" s="1573">
        <v>543</v>
      </c>
      <c r="G40" s="1573"/>
      <c r="H40" s="1573"/>
      <c r="I40" s="1574"/>
      <c r="J40" s="1574"/>
      <c r="K40" s="1672">
        <f t="shared" si="2"/>
        <v>47226</v>
      </c>
      <c r="L40" s="1573">
        <v>49043</v>
      </c>
    </row>
    <row r="41" spans="1:14" x14ac:dyDescent="0.2">
      <c r="A41" s="1274" t="s">
        <v>1650</v>
      </c>
      <c r="B41" s="503">
        <v>2190</v>
      </c>
      <c r="C41" s="1573">
        <v>5916</v>
      </c>
      <c r="D41" s="1573"/>
      <c r="E41" s="1573"/>
      <c r="F41" s="1573"/>
      <c r="G41" s="1573"/>
      <c r="H41" s="1573"/>
      <c r="I41" s="1574"/>
      <c r="J41" s="1574"/>
      <c r="K41" s="1672">
        <f t="shared" si="2"/>
        <v>5916</v>
      </c>
      <c r="L41" s="1573">
        <v>6436</v>
      </c>
    </row>
    <row r="42" spans="1:14" ht="12.75" customHeight="1" thickBot="1" x14ac:dyDescent="0.25">
      <c r="A42" s="1380" t="s">
        <v>556</v>
      </c>
      <c r="B42" s="1381" t="s">
        <v>711</v>
      </c>
      <c r="C42" s="1674">
        <f>SUM(C36:C41)</f>
        <v>129739</v>
      </c>
      <c r="D42" s="1674">
        <f t="shared" ref="D42:L42" si="3">SUM(D36:D41)</f>
        <v>7847</v>
      </c>
      <c r="E42" s="1674">
        <f t="shared" si="3"/>
        <v>7139</v>
      </c>
      <c r="F42" s="1674">
        <f t="shared" si="3"/>
        <v>4091</v>
      </c>
      <c r="G42" s="1674">
        <f t="shared" si="3"/>
        <v>0</v>
      </c>
      <c r="H42" s="1674">
        <f t="shared" si="3"/>
        <v>0</v>
      </c>
      <c r="I42" s="1674">
        <f t="shared" si="3"/>
        <v>0</v>
      </c>
      <c r="J42" s="1674">
        <f t="shared" si="3"/>
        <v>0</v>
      </c>
      <c r="K42" s="1674">
        <f t="shared" si="3"/>
        <v>148816</v>
      </c>
      <c r="L42" s="1674">
        <f t="shared" si="3"/>
        <v>176053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2250</v>
      </c>
      <c r="D44" s="1586">
        <v>261</v>
      </c>
      <c r="E44" s="1586">
        <v>1058</v>
      </c>
      <c r="F44" s="1586"/>
      <c r="G44" s="1586"/>
      <c r="H44" s="1586"/>
      <c r="I44" s="1574"/>
      <c r="J44" s="1574"/>
      <c r="K44" s="1678">
        <f>SUM(C44:J44)</f>
        <v>3569</v>
      </c>
      <c r="L44" s="1586">
        <v>3380</v>
      </c>
    </row>
    <row r="45" spans="1:14" x14ac:dyDescent="0.2">
      <c r="A45" s="1274" t="s">
        <v>810</v>
      </c>
      <c r="B45" s="503">
        <v>2220</v>
      </c>
      <c r="C45" s="1573">
        <v>1683</v>
      </c>
      <c r="D45" s="1573"/>
      <c r="E45" s="1573"/>
      <c r="F45" s="1573"/>
      <c r="G45" s="1573"/>
      <c r="H45" s="1573"/>
      <c r="I45" s="1574"/>
      <c r="J45" s="1574"/>
      <c r="K45" s="1678">
        <f>SUM(C45:J45)</f>
        <v>1683</v>
      </c>
      <c r="L45" s="1573">
        <v>3245</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3933</v>
      </c>
      <c r="D47" s="1674">
        <f t="shared" ref="D47:K47" si="4">SUM(D44:D46)</f>
        <v>261</v>
      </c>
      <c r="E47" s="1674">
        <f t="shared" si="4"/>
        <v>1058</v>
      </c>
      <c r="F47" s="1674">
        <f t="shared" si="4"/>
        <v>0</v>
      </c>
      <c r="G47" s="1674">
        <f t="shared" si="4"/>
        <v>0</v>
      </c>
      <c r="H47" s="1674">
        <f t="shared" si="4"/>
        <v>0</v>
      </c>
      <c r="I47" s="1674">
        <f t="shared" si="4"/>
        <v>0</v>
      </c>
      <c r="J47" s="1674">
        <f t="shared" si="4"/>
        <v>0</v>
      </c>
      <c r="K47" s="1674">
        <f t="shared" si="4"/>
        <v>5252</v>
      </c>
      <c r="L47" s="1674">
        <f>SUM(L44:L46)</f>
        <v>6625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3204</v>
      </c>
      <c r="D49" s="1586"/>
      <c r="E49" s="1586">
        <v>17758</v>
      </c>
      <c r="F49" s="1586">
        <v>1803</v>
      </c>
      <c r="G49" s="1586"/>
      <c r="H49" s="1586"/>
      <c r="I49" s="1574"/>
      <c r="J49" s="1574"/>
      <c r="K49" s="1678">
        <f>SUM(C49:J49)</f>
        <v>22765</v>
      </c>
      <c r="L49" s="1586">
        <v>26929</v>
      </c>
    </row>
    <row r="50" spans="1:14" x14ac:dyDescent="0.2">
      <c r="A50" s="1274" t="s">
        <v>813</v>
      </c>
      <c r="B50" s="503">
        <v>2320</v>
      </c>
      <c r="C50" s="1573">
        <v>32750</v>
      </c>
      <c r="D50" s="1573">
        <v>2582</v>
      </c>
      <c r="E50" s="1573">
        <v>3187</v>
      </c>
      <c r="F50" s="1573">
        <v>321</v>
      </c>
      <c r="G50" s="1573"/>
      <c r="H50" s="1573"/>
      <c r="I50" s="1574"/>
      <c r="J50" s="1574"/>
      <c r="K50" s="1678">
        <f>SUM(C50:J50)</f>
        <v>38840</v>
      </c>
      <c r="L50" s="1573">
        <v>39953</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35954</v>
      </c>
      <c r="D53" s="1674">
        <f t="shared" ref="D53:L53" si="5">SUM(D49:D52)</f>
        <v>2582</v>
      </c>
      <c r="E53" s="1674">
        <f t="shared" si="5"/>
        <v>20945</v>
      </c>
      <c r="F53" s="1674">
        <f t="shared" si="5"/>
        <v>2124</v>
      </c>
      <c r="G53" s="1674">
        <f t="shared" si="5"/>
        <v>0</v>
      </c>
      <c r="H53" s="1674">
        <f t="shared" si="5"/>
        <v>0</v>
      </c>
      <c r="I53" s="1674">
        <f t="shared" si="5"/>
        <v>0</v>
      </c>
      <c r="J53" s="1674">
        <f t="shared" si="5"/>
        <v>0</v>
      </c>
      <c r="K53" s="1674">
        <f t="shared" si="5"/>
        <v>61605</v>
      </c>
      <c r="L53" s="1674">
        <f t="shared" si="5"/>
        <v>66882</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285531</v>
      </c>
      <c r="D55" s="1586">
        <v>22424</v>
      </c>
      <c r="E55" s="1586">
        <v>4771</v>
      </c>
      <c r="F55" s="1586">
        <v>19074</v>
      </c>
      <c r="G55" s="1586">
        <v>7095</v>
      </c>
      <c r="H55" s="1586"/>
      <c r="I55" s="1574"/>
      <c r="J55" s="1574"/>
      <c r="K55" s="1678">
        <f>SUM(C55:J55)</f>
        <v>338895</v>
      </c>
      <c r="L55" s="1586">
        <v>355549</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285531</v>
      </c>
      <c r="D57" s="1679">
        <f t="shared" ref="D57:K57" si="6">SUM(D55:D56)</f>
        <v>22424</v>
      </c>
      <c r="E57" s="1679">
        <f t="shared" si="6"/>
        <v>4771</v>
      </c>
      <c r="F57" s="1679">
        <f t="shared" si="6"/>
        <v>19074</v>
      </c>
      <c r="G57" s="1679">
        <f t="shared" si="6"/>
        <v>7095</v>
      </c>
      <c r="H57" s="1679">
        <f t="shared" si="6"/>
        <v>0</v>
      </c>
      <c r="I57" s="1679">
        <f t="shared" si="6"/>
        <v>0</v>
      </c>
      <c r="J57" s="1679">
        <f t="shared" si="6"/>
        <v>0</v>
      </c>
      <c r="K57" s="1679">
        <f t="shared" si="6"/>
        <v>338895</v>
      </c>
      <c r="L57" s="1674">
        <f>SUM(L55:L56)</f>
        <v>355549</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73296</v>
      </c>
      <c r="D60" s="1573">
        <v>420</v>
      </c>
      <c r="E60" s="1573">
        <v>2571</v>
      </c>
      <c r="F60" s="1573">
        <v>2519</v>
      </c>
      <c r="G60" s="1573">
        <v>1069</v>
      </c>
      <c r="H60" s="1573"/>
      <c r="I60" s="1574"/>
      <c r="J60" s="1574"/>
      <c r="K60" s="1678">
        <f t="shared" si="7"/>
        <v>79875</v>
      </c>
      <c r="L60" s="1573">
        <v>83766</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87208</v>
      </c>
      <c r="D63" s="1573">
        <v>1224</v>
      </c>
      <c r="E63" s="1573">
        <v>2782</v>
      </c>
      <c r="F63" s="1573">
        <v>89865</v>
      </c>
      <c r="G63" s="1573">
        <v>4870</v>
      </c>
      <c r="H63" s="1573"/>
      <c r="I63" s="1574"/>
      <c r="J63" s="1574"/>
      <c r="K63" s="1678">
        <f t="shared" si="7"/>
        <v>185949</v>
      </c>
      <c r="L63" s="1573">
        <v>219998</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160504</v>
      </c>
      <c r="D65" s="1674">
        <f t="shared" ref="D65:L65" si="8">SUM(D59:D64)</f>
        <v>1644</v>
      </c>
      <c r="E65" s="1674">
        <f t="shared" si="8"/>
        <v>5353</v>
      </c>
      <c r="F65" s="1674">
        <f t="shared" si="8"/>
        <v>92384</v>
      </c>
      <c r="G65" s="1674">
        <f t="shared" si="8"/>
        <v>5939</v>
      </c>
      <c r="H65" s="1674">
        <f t="shared" si="8"/>
        <v>0</v>
      </c>
      <c r="I65" s="1674">
        <f t="shared" si="8"/>
        <v>0</v>
      </c>
      <c r="J65" s="1674">
        <f t="shared" si="8"/>
        <v>0</v>
      </c>
      <c r="K65" s="1674">
        <f t="shared" si="8"/>
        <v>265824</v>
      </c>
      <c r="L65" s="1674">
        <f t="shared" si="8"/>
        <v>303764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615661</v>
      </c>
      <c r="D74" s="1681">
        <f t="shared" ref="D74:K74" si="10">SUM(D42,D47,D53,D57,D65,D72,D73)</f>
        <v>34758</v>
      </c>
      <c r="E74" s="1681">
        <f t="shared" si="10"/>
        <v>39266</v>
      </c>
      <c r="F74" s="1681">
        <f t="shared" si="10"/>
        <v>117673</v>
      </c>
      <c r="G74" s="1681">
        <f t="shared" si="10"/>
        <v>13034</v>
      </c>
      <c r="H74" s="1681">
        <f t="shared" si="10"/>
        <v>0</v>
      </c>
      <c r="I74" s="1681">
        <f t="shared" si="10"/>
        <v>0</v>
      </c>
      <c r="J74" s="1681">
        <f t="shared" si="10"/>
        <v>0</v>
      </c>
      <c r="K74" s="1681">
        <f t="shared" si="10"/>
        <v>820392</v>
      </c>
      <c r="L74" s="1681">
        <f>SUM(L42,L47,L53,L57,L65,L72,L73)</f>
        <v>908873</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73884</v>
      </c>
      <c r="F79" s="1673"/>
      <c r="G79" s="1673"/>
      <c r="H79" s="1573">
        <v>51158</v>
      </c>
      <c r="I79" s="1582"/>
      <c r="J79" s="1582"/>
      <c r="K79" s="1672">
        <f t="shared" si="11"/>
        <v>125042</v>
      </c>
      <c r="L79" s="1573">
        <v>185000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73884</v>
      </c>
      <c r="F84" s="1673"/>
      <c r="G84" s="1673"/>
      <c r="H84" s="1674">
        <f>SUM(H78:H83)</f>
        <v>51158</v>
      </c>
      <c r="I84" s="1582"/>
      <c r="J84" s="1582"/>
      <c r="K84" s="1674">
        <f>SUM(K78:K83)</f>
        <v>125042</v>
      </c>
      <c r="L84" s="1674">
        <f>SUM(L78:L83)</f>
        <v>185000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73884</v>
      </c>
      <c r="F102" s="1673"/>
      <c r="G102" s="1673"/>
      <c r="H102" s="1681">
        <f>SUM(H84,H92,H100,H101)</f>
        <v>51158</v>
      </c>
      <c r="I102" s="1582"/>
      <c r="J102" s="1582"/>
      <c r="K102" s="1681">
        <f>SUM(K84,K92,K100,K101)</f>
        <v>125042</v>
      </c>
      <c r="L102" s="1681">
        <f>SUM(L84,L92,L100,L101)</f>
        <v>185000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10000</v>
      </c>
      <c r="M113" s="502"/>
      <c r="N113" s="502"/>
    </row>
    <row r="114" spans="1:14" ht="12.75" customHeight="1" thickTop="1" thickBot="1" x14ac:dyDescent="0.25">
      <c r="A114" s="1380" t="s">
        <v>48</v>
      </c>
      <c r="B114" s="1388"/>
      <c r="C114" s="1674">
        <f>SUM(C33,C74,C75,C102,C112,C113)</f>
        <v>2837656</v>
      </c>
      <c r="D114" s="1674">
        <f t="shared" ref="D114:K114" si="13">SUM(D33,D74,D75,D102,D112,D113)</f>
        <v>186032</v>
      </c>
      <c r="E114" s="1674">
        <f t="shared" si="13"/>
        <v>141031</v>
      </c>
      <c r="F114" s="1674">
        <f t="shared" si="13"/>
        <v>219159</v>
      </c>
      <c r="G114" s="1674">
        <f t="shared" si="13"/>
        <v>28299</v>
      </c>
      <c r="H114" s="1674">
        <f>SUM(H33,H74,H75,H102,H112,H113)</f>
        <v>51158</v>
      </c>
      <c r="I114" s="1674">
        <f t="shared" si="13"/>
        <v>0</v>
      </c>
      <c r="J114" s="1674">
        <f t="shared" si="13"/>
        <v>0</v>
      </c>
      <c r="K114" s="1674">
        <f t="shared" si="13"/>
        <v>3463335</v>
      </c>
      <c r="L114" s="1674">
        <f>SUM(L33,L74,L75,L102,L112,L113)</f>
        <v>3759629</v>
      </c>
    </row>
    <row r="115" spans="1:14" ht="13.5" thickTop="1" x14ac:dyDescent="0.2">
      <c r="A115" s="2285" t="s">
        <v>989</v>
      </c>
      <c r="B115" s="2286"/>
      <c r="C115" s="1675"/>
      <c r="D115" s="1675"/>
      <c r="E115" s="1675"/>
      <c r="F115" s="1675"/>
      <c r="G115" s="1675"/>
      <c r="H115" s="1675"/>
      <c r="I115" s="1675"/>
      <c r="J115" s="1675"/>
      <c r="K115" s="1689">
        <f>'Revenues 9-14'!C268-'Expenditures 15-22'!K114</f>
        <v>222580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3" t="s">
        <v>293</v>
      </c>
      <c r="B117" s="2264"/>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v>149</v>
      </c>
      <c r="G123" s="1573">
        <v>210499</v>
      </c>
      <c r="H123" s="1573"/>
      <c r="I123" s="1574"/>
      <c r="J123" s="1574"/>
      <c r="K123" s="1674">
        <f>SUM(C123:J123)</f>
        <v>210648</v>
      </c>
      <c r="L123" s="1573">
        <v>196700</v>
      </c>
    </row>
    <row r="124" spans="1:14" ht="14.25" thickTop="1" thickBot="1" x14ac:dyDescent="0.25">
      <c r="A124" s="1274" t="s">
        <v>195</v>
      </c>
      <c r="B124" s="503">
        <v>2540</v>
      </c>
      <c r="C124" s="1573">
        <v>161392</v>
      </c>
      <c r="D124" s="1573">
        <v>17624</v>
      </c>
      <c r="E124" s="1573">
        <v>99861</v>
      </c>
      <c r="F124" s="1573">
        <v>123763</v>
      </c>
      <c r="G124" s="1573">
        <v>27476</v>
      </c>
      <c r="H124" s="1573"/>
      <c r="I124" s="1574"/>
      <c r="J124" s="1574"/>
      <c r="K124" s="1674">
        <f>SUM(C124:J124)</f>
        <v>430116</v>
      </c>
      <c r="L124" s="1573">
        <v>464604</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161392</v>
      </c>
      <c r="D127" s="1674">
        <f t="shared" ref="D127:L127" si="14">SUM(D122:D126)</f>
        <v>17624</v>
      </c>
      <c r="E127" s="1674">
        <f t="shared" si="14"/>
        <v>99861</v>
      </c>
      <c r="F127" s="1674">
        <f t="shared" si="14"/>
        <v>123912</v>
      </c>
      <c r="G127" s="1674">
        <f t="shared" si="14"/>
        <v>237975</v>
      </c>
      <c r="H127" s="1674">
        <f t="shared" si="14"/>
        <v>0</v>
      </c>
      <c r="I127" s="1674">
        <f t="shared" si="14"/>
        <v>0</v>
      </c>
      <c r="J127" s="1674">
        <f t="shared" si="14"/>
        <v>0</v>
      </c>
      <c r="K127" s="1674">
        <f t="shared" si="14"/>
        <v>640764</v>
      </c>
      <c r="L127" s="1674">
        <f t="shared" si="14"/>
        <v>661304</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161392</v>
      </c>
      <c r="D129" s="1681">
        <f t="shared" ref="D129:L129" si="15">SUM(D120,D127,D128)</f>
        <v>17624</v>
      </c>
      <c r="E129" s="1681">
        <f t="shared" si="15"/>
        <v>99861</v>
      </c>
      <c r="F129" s="1681">
        <f t="shared" si="15"/>
        <v>123912</v>
      </c>
      <c r="G129" s="1681">
        <f t="shared" si="15"/>
        <v>237975</v>
      </c>
      <c r="H129" s="1681">
        <f t="shared" si="15"/>
        <v>0</v>
      </c>
      <c r="I129" s="1681">
        <f t="shared" si="15"/>
        <v>0</v>
      </c>
      <c r="J129" s="1681">
        <f t="shared" si="15"/>
        <v>0</v>
      </c>
      <c r="K129" s="1681">
        <f t="shared" si="15"/>
        <v>640764</v>
      </c>
      <c r="L129" s="1681">
        <f t="shared" si="15"/>
        <v>661304</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5" t="s">
        <v>616</v>
      </c>
      <c r="B151" s="2257"/>
      <c r="C151" s="1674">
        <f>SUM(C129,C130,C139,C149,C150)</f>
        <v>161392</v>
      </c>
      <c r="D151" s="1674">
        <f t="shared" ref="D151:K151" si="16">SUM(D129,D130,D139,D149,D150)</f>
        <v>17624</v>
      </c>
      <c r="E151" s="1674">
        <f t="shared" si="16"/>
        <v>99861</v>
      </c>
      <c r="F151" s="1674">
        <f t="shared" si="16"/>
        <v>123912</v>
      </c>
      <c r="G151" s="1674">
        <f t="shared" si="16"/>
        <v>237975</v>
      </c>
      <c r="H151" s="1674">
        <f t="shared" si="16"/>
        <v>0</v>
      </c>
      <c r="I151" s="1674">
        <f t="shared" si="16"/>
        <v>0</v>
      </c>
      <c r="J151" s="1674">
        <f t="shared" si="16"/>
        <v>0</v>
      </c>
      <c r="K151" s="1674">
        <f t="shared" si="16"/>
        <v>640764</v>
      </c>
      <c r="L151" s="1674">
        <f>SUM(L129,L130,L139,L149,L150)</f>
        <v>661304</v>
      </c>
    </row>
    <row r="152" spans="1:14" ht="12.75" customHeight="1" thickTop="1" x14ac:dyDescent="0.2">
      <c r="A152" s="2278" t="s">
        <v>1168</v>
      </c>
      <c r="B152" s="2279"/>
      <c r="C152" s="1675"/>
      <c r="D152" s="1675"/>
      <c r="E152" s="1675"/>
      <c r="F152" s="1675"/>
      <c r="G152" s="1675"/>
      <c r="H152" s="1675"/>
      <c r="I152" s="1675"/>
      <c r="J152" s="1673"/>
      <c r="K152" s="1689">
        <f>'Revenues 9-14'!D268-'Expenditures 15-22'!K151</f>
        <v>35969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3" t="s">
        <v>617</v>
      </c>
      <c r="B154" s="2265"/>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85" t="s">
        <v>989</v>
      </c>
      <c r="B175" s="2286"/>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179313</v>
      </c>
      <c r="D182" s="1573">
        <v>17543</v>
      </c>
      <c r="E182" s="1573">
        <v>11826</v>
      </c>
      <c r="F182" s="1573">
        <v>53240</v>
      </c>
      <c r="G182" s="1573"/>
      <c r="H182" s="1573"/>
      <c r="I182" s="1574"/>
      <c r="J182" s="1574"/>
      <c r="K182" s="1672">
        <f>SUM(C182:J182)</f>
        <v>261922</v>
      </c>
      <c r="L182" s="1573">
        <v>302841</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179313</v>
      </c>
      <c r="D184" s="1681">
        <f t="shared" ref="D184:J184" si="17">SUM(D180,D182,D183)</f>
        <v>17543</v>
      </c>
      <c r="E184" s="1681">
        <f t="shared" si="17"/>
        <v>11826</v>
      </c>
      <c r="F184" s="1681">
        <f t="shared" si="17"/>
        <v>53240</v>
      </c>
      <c r="G184" s="1681">
        <f t="shared" si="17"/>
        <v>0</v>
      </c>
      <c r="H184" s="1681">
        <f t="shared" si="17"/>
        <v>0</v>
      </c>
      <c r="I184" s="1681">
        <f t="shared" si="17"/>
        <v>0</v>
      </c>
      <c r="J184" s="1681">
        <f t="shared" si="17"/>
        <v>0</v>
      </c>
      <c r="K184" s="1681">
        <f>SUM(K180,K182,K183)</f>
        <v>261922</v>
      </c>
      <c r="L184" s="1681">
        <f>SUM(L180, L182:L183)</f>
        <v>302841</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179313</v>
      </c>
      <c r="D210" s="1674">
        <f>SUM(D184,D185)</f>
        <v>17543</v>
      </c>
      <c r="E210" s="1674">
        <f>SUM(E184,E185,E196)</f>
        <v>11826</v>
      </c>
      <c r="F210" s="1674">
        <f>SUM(F184,F185)</f>
        <v>53240</v>
      </c>
      <c r="G210" s="1674">
        <f>SUM(G184,G185)</f>
        <v>0</v>
      </c>
      <c r="H210" s="1674">
        <f>SUM(H184,H185,H196,H208,H209)</f>
        <v>0</v>
      </c>
      <c r="I210" s="1674">
        <f>SUM(I184,I185)</f>
        <v>0</v>
      </c>
      <c r="J210" s="1674">
        <f>SUM(J184,J185)</f>
        <v>0</v>
      </c>
      <c r="K210" s="1672">
        <f>SUM(K184,K185,K196,K208,K209)</f>
        <v>261922</v>
      </c>
      <c r="L210" s="1674">
        <f>SUM(L184,L185,L196,L208,L209)</f>
        <v>302841</v>
      </c>
    </row>
    <row r="211" spans="1:14" ht="13.5" thickTop="1" x14ac:dyDescent="0.2">
      <c r="A211" s="2285" t="s">
        <v>989</v>
      </c>
      <c r="B211" s="2286"/>
      <c r="C211" s="1675"/>
      <c r="D211" s="1675"/>
      <c r="E211" s="1675"/>
      <c r="F211" s="1675"/>
      <c r="G211" s="1675"/>
      <c r="H211" s="1675"/>
      <c r="I211" s="1673"/>
      <c r="J211" s="1673"/>
      <c r="K211" s="1689">
        <f>'Revenues 9-14'!F268-'Expenditures 15-22'!K210</f>
        <v>102505</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0" t="s">
        <v>959</v>
      </c>
      <c r="B213" s="2281"/>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31408</v>
      </c>
      <c r="E215" s="1673"/>
      <c r="F215" s="1673"/>
      <c r="G215" s="1673"/>
      <c r="H215" s="1673"/>
      <c r="I215" s="1673"/>
      <c r="J215" s="1673"/>
      <c r="K215" s="1672">
        <f>D215</f>
        <v>31408</v>
      </c>
      <c r="L215" s="1573">
        <v>33594</v>
      </c>
    </row>
    <row r="216" spans="1:14" x14ac:dyDescent="0.2">
      <c r="A216" s="1274" t="s">
        <v>162</v>
      </c>
      <c r="B216" s="503" t="s">
        <v>961</v>
      </c>
      <c r="C216" s="1673"/>
      <c r="D216" s="1574">
        <v>3729</v>
      </c>
      <c r="E216" s="1673"/>
      <c r="F216" s="1673"/>
      <c r="G216" s="1673"/>
      <c r="H216" s="1673"/>
      <c r="I216" s="1673"/>
      <c r="J216" s="1673"/>
      <c r="K216" s="1672">
        <f t="shared" ref="K216:K228" si="19">D216</f>
        <v>3729</v>
      </c>
      <c r="L216" s="1573">
        <v>3829</v>
      </c>
    </row>
    <row r="217" spans="1:14" x14ac:dyDescent="0.2">
      <c r="A217" s="1274" t="s">
        <v>163</v>
      </c>
      <c r="B217" s="503">
        <v>1200</v>
      </c>
      <c r="C217" s="1673"/>
      <c r="D217" s="1573">
        <v>9341</v>
      </c>
      <c r="E217" s="1673"/>
      <c r="F217" s="1673"/>
      <c r="G217" s="1673"/>
      <c r="H217" s="1673"/>
      <c r="I217" s="1673"/>
      <c r="J217" s="1673"/>
      <c r="K217" s="1672">
        <f t="shared" si="19"/>
        <v>9341</v>
      </c>
      <c r="L217" s="1573">
        <v>11974</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1166</v>
      </c>
      <c r="E219" s="1673"/>
      <c r="F219" s="1673"/>
      <c r="G219" s="1673"/>
      <c r="H219" s="1673"/>
      <c r="I219" s="1673"/>
      <c r="J219" s="1673"/>
      <c r="K219" s="1672">
        <f t="shared" si="19"/>
        <v>1166</v>
      </c>
      <c r="L219" s="1573">
        <v>1097</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3135</v>
      </c>
      <c r="E222" s="1673"/>
      <c r="F222" s="1673"/>
      <c r="G222" s="1673"/>
      <c r="H222" s="1673"/>
      <c r="I222" s="1673"/>
      <c r="J222" s="1673"/>
      <c r="K222" s="1672">
        <f t="shared" si="19"/>
        <v>3135</v>
      </c>
      <c r="L222" s="1573">
        <v>3295</v>
      </c>
    </row>
    <row r="223" spans="1:14" x14ac:dyDescent="0.2">
      <c r="A223" s="1274" t="s">
        <v>957</v>
      </c>
      <c r="B223" s="503">
        <v>1500</v>
      </c>
      <c r="C223" s="1673"/>
      <c r="D223" s="1573">
        <v>1722</v>
      </c>
      <c r="E223" s="1673"/>
      <c r="F223" s="1673"/>
      <c r="G223" s="1673"/>
      <c r="H223" s="1673"/>
      <c r="I223" s="1673"/>
      <c r="J223" s="1673"/>
      <c r="K223" s="1672">
        <f t="shared" si="19"/>
        <v>1722</v>
      </c>
      <c r="L223" s="1573">
        <v>2592</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v>22</v>
      </c>
      <c r="E225" s="1673"/>
      <c r="F225" s="1673"/>
      <c r="G225" s="1673"/>
      <c r="H225" s="1673"/>
      <c r="I225" s="1673"/>
      <c r="J225" s="1673"/>
      <c r="K225" s="1672">
        <f t="shared" si="19"/>
        <v>22</v>
      </c>
      <c r="L225" s="1573">
        <v>23</v>
      </c>
    </row>
    <row r="226" spans="1:12" x14ac:dyDescent="0.2">
      <c r="A226" s="1274" t="s">
        <v>719</v>
      </c>
      <c r="B226" s="503" t="s">
        <v>161</v>
      </c>
      <c r="C226" s="1673"/>
      <c r="D226" s="1574">
        <v>286</v>
      </c>
      <c r="E226" s="1673"/>
      <c r="F226" s="1673"/>
      <c r="G226" s="1673"/>
      <c r="H226" s="1673"/>
      <c r="I226" s="1673"/>
      <c r="J226" s="1673"/>
      <c r="K226" s="1672">
        <f t="shared" si="19"/>
        <v>286</v>
      </c>
      <c r="L226" s="1573">
        <v>287</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50809</v>
      </c>
      <c r="E229" s="1673"/>
      <c r="F229" s="1673"/>
      <c r="G229" s="1673"/>
      <c r="H229" s="1673"/>
      <c r="I229" s="1673"/>
      <c r="J229" s="1673"/>
      <c r="K229" s="1674">
        <f>SUM(K215:K228)</f>
        <v>50809</v>
      </c>
      <c r="L229" s="1674">
        <f>SUM(L215:L228)</f>
        <v>56691</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1115</v>
      </c>
      <c r="E233" s="1673"/>
      <c r="F233" s="1673"/>
      <c r="G233" s="1673"/>
      <c r="H233" s="1673"/>
      <c r="I233" s="1673"/>
      <c r="J233" s="1673"/>
      <c r="K233" s="1672">
        <f t="shared" si="20"/>
        <v>1115</v>
      </c>
      <c r="L233" s="1573">
        <v>3820</v>
      </c>
    </row>
    <row r="234" spans="1:12" x14ac:dyDescent="0.2">
      <c r="A234" s="1274" t="s">
        <v>196</v>
      </c>
      <c r="B234" s="503">
        <v>2130</v>
      </c>
      <c r="C234" s="1673"/>
      <c r="D234" s="1573">
        <v>3809</v>
      </c>
      <c r="E234" s="1673"/>
      <c r="F234" s="1673"/>
      <c r="G234" s="1673"/>
      <c r="H234" s="1673"/>
      <c r="I234" s="1673"/>
      <c r="J234" s="1673"/>
      <c r="K234" s="1672">
        <f t="shared" si="20"/>
        <v>3809</v>
      </c>
      <c r="L234" s="1573">
        <v>4235</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635</v>
      </c>
      <c r="E236" s="1673"/>
      <c r="F236" s="1673"/>
      <c r="G236" s="1673"/>
      <c r="H236" s="1673"/>
      <c r="I236" s="1673"/>
      <c r="J236" s="1673"/>
      <c r="K236" s="1672">
        <f t="shared" si="20"/>
        <v>635</v>
      </c>
      <c r="L236" s="1573">
        <v>661</v>
      </c>
    </row>
    <row r="237" spans="1:12" x14ac:dyDescent="0.2">
      <c r="A237" s="1274" t="s">
        <v>164</v>
      </c>
      <c r="B237" s="503">
        <v>2190</v>
      </c>
      <c r="C237" s="1673"/>
      <c r="D237" s="1573">
        <v>771</v>
      </c>
      <c r="E237" s="1673"/>
      <c r="F237" s="1673"/>
      <c r="G237" s="1673"/>
      <c r="H237" s="1673"/>
      <c r="I237" s="1673"/>
      <c r="J237" s="1673"/>
      <c r="K237" s="1672">
        <f t="shared" si="20"/>
        <v>771</v>
      </c>
      <c r="L237" s="1573">
        <v>902</v>
      </c>
    </row>
    <row r="238" spans="1:12" ht="12.75" customHeight="1" thickBot="1" x14ac:dyDescent="0.25">
      <c r="A238" s="1380" t="s">
        <v>556</v>
      </c>
      <c r="B238" s="1383" t="s">
        <v>711</v>
      </c>
      <c r="C238" s="1673"/>
      <c r="D238" s="1674">
        <f>SUM(D232:D237)</f>
        <v>6330</v>
      </c>
      <c r="E238" s="1673"/>
      <c r="F238" s="1673"/>
      <c r="G238" s="1673"/>
      <c r="H238" s="1673"/>
      <c r="I238" s="1673"/>
      <c r="J238" s="1673"/>
      <c r="K238" s="1674">
        <f>SUM(K232:K237)</f>
        <v>6330</v>
      </c>
      <c r="L238" s="1674">
        <f>SUM(L232:L237)</f>
        <v>9618</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32</v>
      </c>
      <c r="E240" s="1673"/>
      <c r="F240" s="1673"/>
      <c r="G240" s="1673"/>
      <c r="H240" s="1673"/>
      <c r="I240" s="1673"/>
      <c r="J240" s="1673"/>
      <c r="K240" s="1678">
        <f>D240</f>
        <v>32</v>
      </c>
      <c r="L240" s="1586">
        <v>33</v>
      </c>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32</v>
      </c>
      <c r="E243" s="1673"/>
      <c r="F243" s="1673"/>
      <c r="G243" s="1673"/>
      <c r="H243" s="1673"/>
      <c r="I243" s="1673"/>
      <c r="J243" s="1673"/>
      <c r="K243" s="1674">
        <f>SUM(K240:K242)</f>
        <v>32</v>
      </c>
      <c r="L243" s="1674">
        <f>SUM(L240:L242)</f>
        <v>33</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246</v>
      </c>
      <c r="E245" s="1673"/>
      <c r="F245" s="1673"/>
      <c r="G245" s="1673"/>
      <c r="H245" s="1673"/>
      <c r="I245" s="1673"/>
      <c r="J245" s="1673"/>
      <c r="K245" s="1678">
        <f>D245</f>
        <v>246</v>
      </c>
      <c r="L245" s="1586">
        <v>245</v>
      </c>
    </row>
    <row r="246" spans="1:12" x14ac:dyDescent="0.2">
      <c r="A246" s="1274" t="s">
        <v>813</v>
      </c>
      <c r="B246" s="503">
        <v>2320</v>
      </c>
      <c r="C246" s="1673"/>
      <c r="D246" s="1573">
        <v>586</v>
      </c>
      <c r="E246" s="1673"/>
      <c r="F246" s="1673"/>
      <c r="G246" s="1673"/>
      <c r="H246" s="1673"/>
      <c r="I246" s="1673"/>
      <c r="J246" s="1673"/>
      <c r="K246" s="1678">
        <f t="shared" ref="K246:K256" si="21">D246</f>
        <v>586</v>
      </c>
      <c r="L246" s="1573">
        <v>597</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832</v>
      </c>
      <c r="E257" s="1673"/>
      <c r="F257" s="1673"/>
      <c r="G257" s="1673"/>
      <c r="H257" s="1673"/>
      <c r="I257" s="1673"/>
      <c r="J257" s="1673"/>
      <c r="K257" s="1674">
        <f>SUM(K245:K256)</f>
        <v>832</v>
      </c>
      <c r="L257" s="1674">
        <f>SUM(L245:L256)</f>
        <v>842</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14098</v>
      </c>
      <c r="E259" s="1673"/>
      <c r="F259" s="1673"/>
      <c r="G259" s="1673"/>
      <c r="H259" s="1673"/>
      <c r="I259" s="1673"/>
      <c r="J259" s="1673"/>
      <c r="K259" s="1678">
        <f>D259</f>
        <v>14098</v>
      </c>
      <c r="L259" s="1586">
        <v>15703</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14098</v>
      </c>
      <c r="E261" s="1673"/>
      <c r="F261" s="1673"/>
      <c r="G261" s="1673"/>
      <c r="H261" s="1673"/>
      <c r="I261" s="1673"/>
      <c r="J261" s="1673"/>
      <c r="K261" s="1674">
        <f>SUM(K259:K260)</f>
        <v>14098</v>
      </c>
      <c r="L261" s="1674">
        <f>SUM(L259:L260)</f>
        <v>15703</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9348</v>
      </c>
      <c r="E264" s="1673"/>
      <c r="F264" s="1673"/>
      <c r="G264" s="1673"/>
      <c r="H264" s="1673"/>
      <c r="I264" s="1673"/>
      <c r="J264" s="1673"/>
      <c r="K264" s="1678">
        <f t="shared" ref="K264:K269" si="22">D264</f>
        <v>9348</v>
      </c>
      <c r="L264" s="1573">
        <v>9886</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18028</v>
      </c>
      <c r="E266" s="1673"/>
      <c r="F266" s="1673"/>
      <c r="G266" s="1673"/>
      <c r="H266" s="1673"/>
      <c r="I266" s="1673"/>
      <c r="J266" s="1673"/>
      <c r="K266" s="1678">
        <f t="shared" si="22"/>
        <v>18028</v>
      </c>
      <c r="L266" s="1573">
        <v>21031</v>
      </c>
    </row>
    <row r="267" spans="1:14" x14ac:dyDescent="0.2">
      <c r="A267" s="1274" t="s">
        <v>947</v>
      </c>
      <c r="B267" s="503">
        <v>2550</v>
      </c>
      <c r="C267" s="1673"/>
      <c r="D267" s="1573">
        <v>21934</v>
      </c>
      <c r="E267" s="1673"/>
      <c r="F267" s="1673"/>
      <c r="G267" s="1673"/>
      <c r="H267" s="1673"/>
      <c r="I267" s="1673"/>
      <c r="J267" s="1673"/>
      <c r="K267" s="1678">
        <f t="shared" si="22"/>
        <v>21934</v>
      </c>
      <c r="L267" s="1573">
        <v>25190</v>
      </c>
    </row>
    <row r="268" spans="1:14" x14ac:dyDescent="0.2">
      <c r="A268" s="1274" t="s">
        <v>100</v>
      </c>
      <c r="B268" s="503">
        <v>2560</v>
      </c>
      <c r="C268" s="1673"/>
      <c r="D268" s="1573">
        <v>9975</v>
      </c>
      <c r="E268" s="1673"/>
      <c r="F268" s="1673"/>
      <c r="G268" s="1673"/>
      <c r="H268" s="1673"/>
      <c r="I268" s="1673"/>
      <c r="J268" s="1673"/>
      <c r="K268" s="1678">
        <f t="shared" si="22"/>
        <v>9975</v>
      </c>
      <c r="L268" s="1573">
        <v>11007</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59285</v>
      </c>
      <c r="E270" s="1673"/>
      <c r="F270" s="1673"/>
      <c r="G270" s="1673"/>
      <c r="H270" s="1673"/>
      <c r="I270" s="1673"/>
      <c r="J270" s="1673"/>
      <c r="K270" s="1674">
        <f>SUM(K263:K269)</f>
        <v>59285</v>
      </c>
      <c r="L270" s="1674">
        <f>SUM(L263:L269)</f>
        <v>67114</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80577</v>
      </c>
      <c r="E279" s="1673"/>
      <c r="F279" s="1673"/>
      <c r="G279" s="1673"/>
      <c r="H279" s="1673"/>
      <c r="I279" s="1673"/>
      <c r="J279" s="1673"/>
      <c r="K279" s="1681">
        <f>SUM(K238,K243,K257,K261,K270,K277,K278)</f>
        <v>80577</v>
      </c>
      <c r="L279" s="1681">
        <f>SUM(L238,L243,L257,L261,L270,L277,L278)</f>
        <v>93310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6" t="s">
        <v>502</v>
      </c>
      <c r="B295" s="2277"/>
      <c r="C295" s="1673"/>
      <c r="D295" s="1674">
        <f>SUM(D229,D279,D280,D285)</f>
        <v>131386</v>
      </c>
      <c r="E295" s="1673"/>
      <c r="F295" s="1673"/>
      <c r="G295" s="1673"/>
      <c r="H295" s="1674">
        <f>H293</f>
        <v>0</v>
      </c>
      <c r="I295" s="1673"/>
      <c r="J295" s="1673"/>
      <c r="K295" s="1674">
        <f>SUM(K229,K279,K280,K285,K293,K294)</f>
        <v>131386</v>
      </c>
      <c r="L295" s="1674">
        <f>SUM(L229,L279,L280,L285,L293,L294)</f>
        <v>150001</v>
      </c>
    </row>
    <row r="296" spans="1:14" ht="13.5" thickTop="1" x14ac:dyDescent="0.2">
      <c r="A296" s="2285" t="s">
        <v>989</v>
      </c>
      <c r="B296" s="2286"/>
      <c r="C296" s="1673"/>
      <c r="D296" s="1675"/>
      <c r="E296" s="1673"/>
      <c r="F296" s="1673"/>
      <c r="G296" s="1673"/>
      <c r="H296" s="1707"/>
      <c r="I296" s="1673"/>
      <c r="J296" s="1673"/>
      <c r="K296" s="1689">
        <f>'Revenues 9-14'!G268-'Expenditures 15-22'!K295</f>
        <v>4859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8" t="s">
        <v>142</v>
      </c>
      <c r="B298" s="2262"/>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3" t="s">
        <v>275</v>
      </c>
      <c r="B312" s="2274"/>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69" t="s">
        <v>989</v>
      </c>
      <c r="B313" s="2270"/>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2" t="s">
        <v>148</v>
      </c>
      <c r="B315" s="2283"/>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4" t="s">
        <v>892</v>
      </c>
      <c r="B317" s="2283"/>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15047</v>
      </c>
      <c r="F320" s="1574"/>
      <c r="G320" s="1574"/>
      <c r="H320" s="1574"/>
      <c r="I320" s="1574"/>
      <c r="J320" s="1574"/>
      <c r="K320" s="1672">
        <f t="shared" ref="K320:K327" si="24">SUM(C320:J320)</f>
        <v>15047</v>
      </c>
      <c r="L320" s="1574">
        <v>15047</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2000</v>
      </c>
      <c r="M321" s="539"/>
      <c r="N321" s="539"/>
    </row>
    <row r="322" spans="1:14" s="548" customFormat="1" x14ac:dyDescent="0.2">
      <c r="A322" s="1289" t="s">
        <v>236</v>
      </c>
      <c r="B322" s="567" t="s">
        <v>282</v>
      </c>
      <c r="C322" s="1574"/>
      <c r="D322" s="1574"/>
      <c r="E322" s="1574">
        <v>26369</v>
      </c>
      <c r="F322" s="1574"/>
      <c r="G322" s="1574"/>
      <c r="H322" s="1574"/>
      <c r="I322" s="1574"/>
      <c r="J322" s="1574"/>
      <c r="K322" s="1672">
        <f t="shared" si="24"/>
        <v>26369</v>
      </c>
      <c r="L322" s="1574">
        <v>35475</v>
      </c>
      <c r="M322" s="539"/>
      <c r="N322" s="539"/>
    </row>
    <row r="323" spans="1:14" s="548" customFormat="1" x14ac:dyDescent="0.2">
      <c r="A323" s="1289" t="s">
        <v>697</v>
      </c>
      <c r="B323" s="567" t="s">
        <v>283</v>
      </c>
      <c r="C323" s="1574">
        <v>40000</v>
      </c>
      <c r="D323" s="1574"/>
      <c r="E323" s="1574">
        <v>6540</v>
      </c>
      <c r="F323" s="1574"/>
      <c r="G323" s="1574"/>
      <c r="H323" s="1574"/>
      <c r="I323" s="1574"/>
      <c r="J323" s="1574"/>
      <c r="K323" s="1672">
        <f t="shared" si="24"/>
        <v>46540</v>
      </c>
      <c r="L323" s="1574">
        <v>46540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2175</v>
      </c>
      <c r="F327" s="1574"/>
      <c r="G327" s="1574"/>
      <c r="H327" s="1574"/>
      <c r="I327" s="1574"/>
      <c r="J327" s="1574"/>
      <c r="K327" s="1672">
        <f t="shared" si="24"/>
        <v>2175</v>
      </c>
      <c r="L327" s="1574">
        <v>6000</v>
      </c>
      <c r="M327" s="539"/>
      <c r="N327" s="539"/>
    </row>
    <row r="328" spans="1:14" s="548" customFormat="1" x14ac:dyDescent="0.2">
      <c r="A328" s="1290" t="s">
        <v>469</v>
      </c>
      <c r="B328" s="562" t="s">
        <v>1122</v>
      </c>
      <c r="C328" s="1579"/>
      <c r="D328" s="1579"/>
      <c r="E328" s="1579">
        <v>8389</v>
      </c>
      <c r="F328" s="1579"/>
      <c r="G328" s="1579"/>
      <c r="H328" s="1579"/>
      <c r="I328" s="1579"/>
      <c r="J328" s="1579"/>
      <c r="K328" s="1713">
        <f>SUM(C328:J328)</f>
        <v>8389</v>
      </c>
      <c r="L328" s="1579"/>
      <c r="M328" s="539"/>
      <c r="N328" s="539"/>
    </row>
    <row r="329" spans="1:14" s="548" customFormat="1" x14ac:dyDescent="0.2">
      <c r="A329" s="1290" t="s">
        <v>1123</v>
      </c>
      <c r="B329" s="562" t="s">
        <v>1124</v>
      </c>
      <c r="C329" s="1579"/>
      <c r="D329" s="1579"/>
      <c r="E329" s="1579">
        <v>717</v>
      </c>
      <c r="F329" s="1579"/>
      <c r="G329" s="1579"/>
      <c r="H329" s="1579"/>
      <c r="I329" s="1579"/>
      <c r="J329" s="1579"/>
      <c r="K329" s="1713">
        <f>SUM(C329:J329)</f>
        <v>717</v>
      </c>
      <c r="L329" s="1579"/>
      <c r="M329" s="539"/>
      <c r="N329" s="539"/>
    </row>
    <row r="330" spans="1:14" s="548" customFormat="1" ht="12.75" customHeight="1" thickBot="1" x14ac:dyDescent="0.25">
      <c r="A330" s="1401" t="s">
        <v>712</v>
      </c>
      <c r="B330" s="1381" t="s">
        <v>565</v>
      </c>
      <c r="C330" s="1674">
        <f>SUM(C319:C329)</f>
        <v>40000</v>
      </c>
      <c r="D330" s="1674">
        <f t="shared" ref="D330:J330" si="25">SUM(D319:D329)</f>
        <v>0</v>
      </c>
      <c r="E330" s="1674">
        <f t="shared" si="25"/>
        <v>59237</v>
      </c>
      <c r="F330" s="1674">
        <f t="shared" si="25"/>
        <v>0</v>
      </c>
      <c r="G330" s="1674">
        <f t="shared" si="25"/>
        <v>0</v>
      </c>
      <c r="H330" s="1674">
        <f t="shared" si="25"/>
        <v>0</v>
      </c>
      <c r="I330" s="1674">
        <f t="shared" si="25"/>
        <v>0</v>
      </c>
      <c r="J330" s="1674">
        <f t="shared" si="25"/>
        <v>0</v>
      </c>
      <c r="K330" s="1674">
        <f>SUM(K319:K329)</f>
        <v>99237</v>
      </c>
      <c r="L330" s="1674">
        <f>SUM(L319:L329)</f>
        <v>105062</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40000</v>
      </c>
      <c r="D342" s="1674">
        <f>SUM(D330)</f>
        <v>0</v>
      </c>
      <c r="E342" s="1674">
        <f>SUM(E330)</f>
        <v>59237</v>
      </c>
      <c r="F342" s="1674">
        <f>SUM(F330)</f>
        <v>0</v>
      </c>
      <c r="G342" s="1674">
        <f>SUM(G330)</f>
        <v>0</v>
      </c>
      <c r="H342" s="1674">
        <f>SUM(H330,H334,H340)</f>
        <v>0</v>
      </c>
      <c r="I342" s="1674">
        <f>SUM(I330)</f>
        <v>0</v>
      </c>
      <c r="J342" s="1674">
        <f>SUM(J330)</f>
        <v>0</v>
      </c>
      <c r="K342" s="1674">
        <f>SUM(K330,K334,K340)</f>
        <v>99237</v>
      </c>
      <c r="L342" s="1681">
        <f>SUM(L330,L334,L340,L341)</f>
        <v>105062</v>
      </c>
    </row>
    <row r="343" spans="1:14" ht="12.75" customHeight="1" thickTop="1" x14ac:dyDescent="0.2">
      <c r="A343" s="2271" t="s">
        <v>989</v>
      </c>
      <c r="B343" s="2272"/>
      <c r="C343" s="1673"/>
      <c r="D343" s="1673"/>
      <c r="E343" s="1673"/>
      <c r="F343" s="1673"/>
      <c r="G343" s="1673"/>
      <c r="H343" s="1673"/>
      <c r="I343" s="1673"/>
      <c r="J343" s="1673"/>
      <c r="K343" s="1689">
        <f>'Revenues 9-14'!J268-'Expenditures 15-22'!K342</f>
        <v>20202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1" t="s">
        <v>960</v>
      </c>
      <c r="B345" s="2262"/>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v>66792</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66792</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66792</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66792</v>
      </c>
    </row>
    <row r="368" spans="1:14" ht="13.5" thickTop="1" x14ac:dyDescent="0.2">
      <c r="A368" s="2285" t="s">
        <v>989</v>
      </c>
      <c r="B368" s="2286"/>
      <c r="C368" s="1694"/>
      <c r="D368" s="1694"/>
      <c r="E368" s="1677"/>
      <c r="F368" s="1677"/>
      <c r="G368" s="1677"/>
      <c r="H368" s="1677"/>
      <c r="I368" s="1677"/>
      <c r="J368" s="1676"/>
      <c r="K368" s="1672">
        <f>'Revenues 9-14'!K268-'Expenditures 15-22'!K367</f>
        <v>18202</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&amp;L&amp;8The notes to the financial statements are an integal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sharepoint/v3"/>
    <ds:schemaRef ds:uri="http://purl.org/dc/terms/"/>
    <ds:schemaRef ds:uri="http://schemas.microsoft.com/office/2006/documentManagement/types"/>
    <ds:schemaRef ds:uri="6ce3111e-7420-4802-b50a-75d4e9a0b980"/>
    <ds:schemaRef ds:uri="http://schemas.microsoft.com/office/infopath/2007/PartnerControls"/>
    <ds:schemaRef ds:uri="http://purl.org/dc/dcmitype/"/>
    <ds:schemaRef ds:uri="http://schemas.openxmlformats.org/package/2006/metadata/core-properties"/>
    <ds:schemaRef ds:uri="http://purl.org/dc/elements/1.1/"/>
    <ds:schemaRef ds:uri="4d435f69-8686-490b-bd6d-b153bf22ab50"/>
    <ds:schemaRef ds:uri="d21dc803-237d-4c68-8692-8d731fd29118"/>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2020-09-17T21:12:56Z</cp:lastPrinted>
  <dcterms:created xsi:type="dcterms:W3CDTF">2003-10-29T19:06:34Z</dcterms:created>
  <dcterms:modified xsi:type="dcterms:W3CDTF">2020-10-01T13:03:36Z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Statements</vt:lpwstr>
  </property>
  <property fmtid="{D5CDD505-2E9C-101B-9397-08002B2CF9AE}" pid="5" name="tabIndex">
    <vt:lpwstr>03-01</vt:lpwstr>
  </property>
  <property fmtid="{D5CDD505-2E9C-101B-9397-08002B2CF9AE}" pid="6" name="workpaperIndex">
    <vt:lpwstr>03-01c</vt:lpwstr>
  </property>
</Properties>
</file>