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62DBDA5-70EC-48F9-8F67-6BB77A9D016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6" l="1"/>
  <c r="B4" i="186"/>
  <c r="C10" i="185"/>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4" i="183" l="1"/>
  <c r="F33" i="183"/>
  <c r="F32" i="183"/>
  <c r="F31" i="183"/>
  <c r="F30" i="183"/>
  <c r="F29" i="183"/>
  <c r="F28" i="183"/>
  <c r="F27" i="183"/>
  <c r="F26" i="183"/>
  <c r="F25" i="183"/>
  <c r="F24" i="183"/>
  <c r="F23" i="183"/>
  <c r="F22" i="183"/>
  <c r="F21" i="183"/>
  <c r="F20" i="183"/>
  <c r="F19"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5" i="183" l="1"/>
  <c r="A15" i="183"/>
  <c r="D82" i="36" l="1"/>
  <c r="F35" i="183"/>
  <c r="E35"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G30" i="108" l="1"/>
  <c r="G14" i="4"/>
  <c r="B2609" i="106" s="1"/>
  <c r="D2609" i="106" s="1"/>
  <c r="F72" i="34"/>
  <c r="D69" i="36"/>
  <c r="F50" i="34"/>
  <c r="H342" i="29"/>
  <c r="B7696" i="106"/>
  <c r="D7696" i="106" s="1"/>
  <c r="E66" i="184"/>
  <c r="N66" i="184" s="1"/>
  <c r="B7171" i="106"/>
  <c r="D7171" i="106" s="1"/>
  <c r="E62" i="184"/>
  <c r="N62" i="184" s="1"/>
  <c r="B7135" i="106"/>
  <c r="D7135" i="106" s="1"/>
  <c r="E58" i="184"/>
  <c r="N58" i="184" s="1"/>
  <c r="I210" i="29"/>
  <c r="B7071" i="106" s="1"/>
  <c r="D7071" i="106" s="1"/>
  <c r="B7153" i="106"/>
  <c r="D7153" i="106" s="1"/>
  <c r="E60" i="184"/>
  <c r="N60" i="184" s="1"/>
  <c r="H12" i="184"/>
  <c r="F42" i="34"/>
  <c r="B7198" i="106"/>
  <c r="D7198" i="106" s="1"/>
  <c r="E65" i="184"/>
  <c r="N65" i="184" s="1"/>
  <c r="B7162" i="106"/>
  <c r="D7162" i="106" s="1"/>
  <c r="E61" i="184"/>
  <c r="N61" i="184" s="1"/>
  <c r="B7126" i="106"/>
  <c r="D7126" i="106" s="1"/>
  <c r="E57" i="184"/>
  <c r="B7189" i="106"/>
  <c r="D7189" i="106" s="1"/>
  <c r="E64" i="184"/>
  <c r="N64" i="184" s="1"/>
  <c r="C352" i="29"/>
  <c r="D31" i="108"/>
  <c r="E16" i="184"/>
  <c r="H16" i="184" s="1"/>
  <c r="B7705" i="106"/>
  <c r="D7705" i="106" s="1"/>
  <c r="E67" i="184"/>
  <c r="N67" i="184" s="1"/>
  <c r="B7180" i="106"/>
  <c r="D7180" i="106" s="1"/>
  <c r="E63" i="184"/>
  <c r="N63" i="184" s="1"/>
  <c r="J210" i="29"/>
  <c r="B7072" i="106" s="1"/>
  <c r="D7072"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F41" i="108"/>
  <c r="G43" i="108" s="1"/>
  <c r="N23" i="3"/>
  <c r="B284" i="106" s="1"/>
  <c r="D284" i="106" s="1"/>
  <c r="N57" i="184"/>
  <c r="N68" i="184" s="1"/>
  <c r="E68" i="184"/>
  <c r="H19" i="184"/>
  <c r="L20" i="184" s="1"/>
  <c r="B5527" i="106"/>
  <c r="D5527" i="106" s="1"/>
  <c r="D44" i="36"/>
  <c r="B7220" i="106"/>
  <c r="D7220" i="106" s="1"/>
  <c r="F75" i="34"/>
  <c r="B7886" i="106" s="1"/>
  <c r="D7886" i="106" s="1"/>
  <c r="B5770" i="106"/>
  <c r="D5770" i="106" s="1"/>
  <c r="B7222" i="106"/>
  <c r="D7222" i="106" s="1"/>
  <c r="F76" i="34"/>
  <c r="B7887" i="106" s="1"/>
  <c r="D7887" i="106" s="1"/>
  <c r="E367" i="29"/>
  <c r="B3636" i="106" s="1"/>
  <c r="D3636" i="106" s="1"/>
  <c r="B3635" i="106"/>
  <c r="D3635" i="106" s="1"/>
  <c r="L16" i="11"/>
  <c r="B2061" i="106" s="1"/>
  <c r="D2061" i="106" s="1"/>
  <c r="L114" i="29"/>
  <c r="K342" i="29"/>
  <c r="F13" i="34"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23" i="106"/>
  <c r="D6223" i="106" s="1"/>
  <c r="J10" i="4"/>
  <c r="B6225" i="106" s="1"/>
  <c r="D6225" i="106" s="1"/>
  <c r="D8" i="146"/>
  <c r="J19" i="4"/>
  <c r="B6229" i="106" s="1"/>
  <c r="D6229"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<sst xmlns="http://schemas.openxmlformats.org/spreadsheetml/2006/main" count="5217" uniqueCount="2110">
  <si>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</si>
  <si>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</si>
  <si>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</si>
  <si>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</si>
  <si>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</si>
  <si>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</si>
  <si>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</si>
  <si>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</si>
  <si>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</si>
  <si>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</si>
  <si>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</si>
  <si>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</si>
  <si>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</si>
  <si>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</si>
  <si>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</si>
  <si>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</si>
  <si>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</si>
  <si>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</si>
  <si>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</si>
  <si>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</si>
  <si>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</si>
  <si>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</si>
  <si>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</si>
  <si>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</si>
  <si>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</si>
  <si>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</si>
  <si>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</si>
  <si>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</si>
  <si>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</si>
  <si>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</si>
  <si>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</si>
  <si>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</si>
  <si>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</si>
  <si>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</si>
  <si>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</si>
  <si>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</si>
  <si>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</si>
  <si>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</si>
  <si>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</si>
  <si>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</si>
  <si>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</si>
  <si>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</si>
  <si>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</si>
  <si>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</si>
  <si>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</si>
  <si>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</si>
  <si>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</si>
  <si>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</si>
  <si>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</si>
  <si>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</si>
  <si>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</si>
  <si>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</si>
  <si>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</si>
  <si>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</si>
  <si>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</si>
  <si>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</si>
  <si>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</si>
  <si>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</si>
  <si>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</si>
  <si>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</si>
  <si>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</si>
  <si>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</si>
  <si>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</si>
  <si>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</si>
  <si>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</si>
  <si>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</si>
  <si>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</si>
  <si>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</si>
  <si>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</si>
  <si>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</si>
  <si>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</si>
  <si>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</si>
  <si>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</si>
  <si>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</si>
  <si>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</si>
  <si>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</si>
  <si>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</si>
  <si>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</si>
  <si>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</si>
  <si>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</si>
  <si>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</si>
  <si>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</si>
  <si>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</si>
  <si>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</si>
  <si>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</si>
  <si>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</si>
  <si>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</si>
  <si>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</si>
  <si>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</si>
  <si>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</si>
  <si>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</si>
  <si>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</si>
  <si>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</si>
  <si>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</si>
  <si>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</si>
  <si>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</si>
  <si>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</si>
  <si>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</si>
  <si>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</si>
  <si>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</si>
  <si>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</si>
  <si>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</si>
  <si>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</si>
  <si>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</si>
  <si>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</si>
  <si>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</si>
  <si>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</si>
  <si>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</si>
  <si>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</si>
  <si>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</si>
  <si>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</si>
  <si>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</si>
  <si>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</si>
  <si>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</si>
  <si>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</si>
  <si>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</si>
  <si>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</si>
  <si>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</si>
  <si>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</si>
  <si>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</si>
  <si>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</si>
  <si>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</si>
  <si>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</si>
  <si>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</si>
  <si>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</si>
  <si>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</si>
  <si>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</si>
  <si>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</si>
  <si>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</si>
  <si>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</si>
  <si>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</si>
  <si>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</si>
  <si>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</si>
  <si>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</si>
  <si>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</si>
  <si>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</si>
  <si>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</si>
  <si>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</si>
  <si>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</si>
  <si>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</si>
  <si>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</si>
  <si>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</si>
  <si>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</si>
  <si>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</si>
  <si>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</si>
  <si>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</si>
  <si>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</si>
  <si>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</si>
  <si>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</si>
  <si>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</si>
  <si>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</si>
  <si>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</si>
  <si>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</si>
  <si>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</si>
  <si>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</si>
  <si>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</si>
  <si>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</si>
  <si>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</si>
  <si>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</si>
  <si>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</si>
  <si>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</si>
  <si>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</si>
  <si>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</si>
  <si>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</si>
  <si>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</si>
  <si>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</si>
  <si>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</si>
  <si>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</si>
  <si>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</si>
  <si>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</si>
  <si>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</si>
  <si>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</si>
  <si>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</si>
  <si>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</si>
  <si>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</si>
  <si>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</si>
  <si>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</si>
  <si>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</si>
  <si>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</si>
  <si>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</si>
  <si>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</si>
  <si>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</si>
  <si>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</si>
  <si>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</si>
  <si>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</si>
  <si>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</si>
  <si>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</si>
  <si>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</si>
  <si>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</si>
  <si>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</si>
  <si>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</si>
  <si>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</si>
  <si>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</si>
  <si>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</si>
  <si>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</si>
  <si>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</si>
  <si>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</si>
  <si>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</si>
  <si>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</si>
  <si>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</si>
  <si>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</si>
  <si>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</si>
  <si>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</si>
  <si>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</si>
  <si>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</si>
  <si>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</si>
  <si>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</si>
  <si>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</si>
  <si>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</si>
  <si>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</si>
  <si>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</si>
  <si>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</si>
  <si>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</si>
  <si>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</si>
  <si>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</si>
  <si>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</si>
  <si>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</si>
  <si>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</si>
  <si>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</si>
  <si>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</si>
  <si>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</si>
  <si>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</si>
  <si>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</si>
  <si>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</si>
  <si>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</si>
  <si>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</si>
  <si>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</si>
  <si>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</si>
  <si>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</si>
  <si>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</si>
  <si>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</si>
  <si>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</si>
  <si>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</si>
  <si>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</si>
  <si>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</si>
  <si>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</si>
  <si>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</si>
  <si>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</si>
  <si>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</si>
  <si>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</si>
  <si>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</si>
  <si>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</si>
  <si>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</si>
  <si>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</si>
  <si>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</si>
  <si>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</si>
  <si>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</si>
  <si>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</si>
  <si>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</si>
  <si>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</si>
  <si>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</si>
  <si>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</si>
  <si>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</si>
  <si>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</si>
  <si>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</si>
  <si>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</si>
  <si>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</si>
  <si>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</si>
  <si>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</si>
  <si>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</si>
  <si>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</si>
  <si>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</si>
  <si>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</si>
  <si>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</si>
  <si>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</si>
  <si>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</si>
  <si>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</si>
  <si>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</si>
  <si>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</si>
  <si>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</si>
  <si>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</si>
  <si>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</si>
  <si>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</si>
  <si>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</si>
  <si>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</si>
  <si>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</si>
  <si>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</si>
  <si>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</si>
  <si>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</si>
  <si>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</si>
  <si>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</si>
  <si>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</si>
  <si>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</si>
  <si>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</si>
  <si>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</si>
  <si>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</si>
  <si>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</si>
  <si>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</si>
  <si>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</si>
  <si>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</si>
  <si>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</si>
  <si>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</si>
  <si>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</si>
  <si>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</si>
  <si>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</si>
  <si>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</si>
  <si>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</si>
  <si>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</si>
  <si>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</si>
  <si>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</si>
  <si>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</si>
  <si>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</si>
  <si>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</si>
  <si>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</si>
  <si>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</si>
  <si>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</si>
  <si>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</si>
  <si>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</si>
  <si>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</si>
  <si>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</si>
  <si>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</si>
  <si>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</si>
  <si>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</si>
  <si>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</si>
  <si>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</si>
  <si>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</si>
  <si>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</si>
  <si>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</si>
  <si>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</si>
  <si>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</si>
  <si>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</si>
  <si>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</si>
  <si>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</si>
  <si>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</si>
  <si>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</si>
  <si>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</si>
  <si>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</si>
  <si>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</si>
  <si>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</si>
  <si>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</si>
  <si>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</si>
  <si>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</si>
  <si>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</si>
  <si>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</si>
  <si>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</si>
  <si>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</si>
  <si>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</si>
  <si>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</si>
  <si>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</si>
  <si>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</si>
  <si>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</si>
  <si>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</si>
  <si>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</si>
  <si>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</si>
  <si>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</si>
  <si>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</si>
  <si>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</si>
  <si>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</si>
  <si>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</si>
  <si>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</si>
  <si>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</si>
  <si>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</si>
  <si>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</si>
  <si>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</si>
  <si>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</si>
  <si>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</si>
  <si>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</si>
  <si>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</si>
  <si>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</si>
  <si>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</si>
  <si>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</si>
  <si>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</si>
  <si>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</si>
  <si>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</si>
  <si>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</si>
  <si>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</si>
  <si>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</si>
  <si>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</si>
  <si>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</si>
  <si>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</si>
  <si>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</si>
  <si>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</si>
  <si>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</si>
  <si>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</si>
  <si>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</si>
  <si>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</si>
  <si>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</si>
  <si>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</si>
  <si>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</si>
  <si>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</si>
  <si>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</si>
  <si>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</si>
  <si>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</si>
  <si>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</si>
  <si>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</si>
  <si>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</si>
  <si>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</si>
  <si>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</si>
  <si>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</si>
  <si>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</si>
  <si>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</si>
  <si>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</si>
  <si>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</si>
  <si>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</si>
  <si>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</si>
  <si>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</si>
  <si>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</si>
  <si>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</si>
  <si>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</si>
  <si>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</si>
  <si>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</si>
  <si>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</si>
  <si>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</si>
  <si>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</si>
  <si>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</si>
  <si>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</si>
  <si>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</si>
  <si>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</si>
  <si>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</si>
  <si>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</si>
  <si>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</si>
  <si>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</si>
  <si>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</si>
  <si>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</si>
  <si>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</si>
  <si>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</si>
  <si>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</si>
  <si>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</si>
  <si>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</si>
  <si>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</si>
  <si>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</si>
  <si>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</si>
  <si>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</si>
  <si>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</si>
  <si>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</si>
  <si>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</si>
  <si>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</si>
  <si>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</si>
  <si>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</si>
  <si>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</si>
  <si>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</si>
  <si>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</si>
  <si>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</si>
  <si>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</si>
  <si>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</si>
  <si>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</si>
  <si>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</si>
  <si>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</si>
  <si>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</si>
  <si>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</si>
  <si>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</si>
  <si>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</si>
  <si>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</si>
  <si>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</si>
  <si>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</si>
  <si>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</si>
  <si>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</si>
  <si>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</si>
  <si>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</si>
  <si>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</si>
  <si>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</si>
  <si>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</si>
  <si>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</si>
  <si>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</si>
  <si>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</si>
  <si>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</si>
  <si>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</si>
  <si>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</si>
  <si>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</si>
  <si>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</si>
  <si>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</si>
  <si>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</si>
  <si>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</si>
  <si>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</si>
  <si>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</si>
  <si>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</si>
  <si>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</si>
  <si>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</si>
  <si>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</si>
  <si>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</si>
  <si>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</si>
  <si>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</si>
  <si>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</si>
  <si>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</si>
  <si>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</si>
  <si>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</si>
  <si>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</si>
  <si>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</si>
  <si>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</si>
  <si>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</si>
  <si>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</si>
  <si>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</si>
  <si>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</si>
  <si>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</si>
  <si>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</si>
  <si>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</si>
  <si>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</si>
  <si>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</si>
  <si>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</si>
  <si>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</si>
  <si>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</si>
  <si>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</si>
  <si>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</si>
  <si>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</si>
  <si>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</si>
  <si>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</si>
  <si>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</si>
  <si>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</si>
  <si>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</si>
  <si>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</si>
  <si>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</si>
  <si>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</si>
  <si>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</si>
  <si>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</si>
  <si>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</si>
  <si>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</si>
  <si>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</si>
  <si>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</si>
  <si>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</si>
  <si>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</si>
  <si>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</si>
  <si>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</si>
  <si>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</si>
  <si>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</si>
  <si>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</si>
  <si>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</si>
  <si>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</si>
  <si>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</si>
  <si>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</si>
  <si>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</si>
  <si>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</si>
  <si>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</si>
  <si>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</si>
  <si>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</si>
  <si>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</si>
  <si>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</si>
  <si>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</si>
  <si>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</si>
  <si>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</si>
  <si>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</si>
  <si>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</si>
  <si>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</si>
  <si>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</si>
  <si>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</si>
  <si>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</si>
  <si>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</si>
  <si>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</si>
  <si>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</si>
  <si>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</si>
  <si>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</si>
  <si>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</si>
  <si>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</si>
  <si>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</si>
  <si>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</si>
  <si>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</si>
  <si>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</si>
  <si>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</si>
  <si>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</si>
  <si>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</si>
  <si>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</si>
  <si>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</si>
  <si>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</si>
  <si>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</si>
  <si>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</si>
  <si>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</si>
  <si>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</si>
  <si>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</si>
  <si>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</si>
  <si>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</si>
  <si>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</si>
  <si>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</si>
  <si>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</si>
  <si>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</si>
  <si>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</si>
  <si>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</si>
  <si>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</si>
  <si>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</si>
  <si>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</si>
  <si>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</si>
  <si>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</si>
  <si>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</si>
  <si>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</si>
  <si>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</si>
  <si>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</si>
  <si>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</si>
  <si>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</si>
  <si>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</si>
  <si>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</si>
  <si>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</si>
  <si>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</si>
  <si>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</si>
  <si>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</si>
  <si>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</si>
  <si>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</si>
  <si>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</si>
  <si>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</si>
  <si>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</si>
  <si>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</si>
  <si>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</si>
  <si>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</si>
  <si>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</si>
  <si>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</si>
  <si>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</si>
  <si>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</si>
  <si>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</si>
  <si>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</si>
  <si>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</si>
  <si>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</si>
  <si>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</si>
  <si>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</si>
  <si>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</si>
  <si>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</si>
  <si>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</si>
  <si>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</si>
  <si>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</si>
  <si>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</si>
  <si>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</si>
  <si>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</si>
  <si>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</si>
  <si>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</si>
  <si>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</si>
  <si>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</si>
  <si>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</si>
  <si>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</si>
  <si>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</si>
  <si>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</si>
  <si>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</si>
  <si>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</si>
  <si>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</si>
  <si>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</si>
  <si>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</si>
  <si>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</si>
  <si>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</si>
  <si>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</si>
  <si>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</si>
  <si>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</si>
  <si>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</si>
  <si>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</si>
  <si>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</si>
  <si>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</si>
  <si>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</si>
  <si>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</si>
  <si>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</si>
  <si>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</si>
  <si>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</si>
  <si>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</si>
  <si>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</si>
  <si>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</si>
  <si>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</si>
  <si>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</si>
  <si>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</si>
  <si>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</si>
  <si>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</si>
  <si>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</si>
  <si>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</si>
  <si>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</si>
  <si>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</si>
  <si>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</si>
  <si>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</si>
  <si>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</si>
  <si>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</si>
  <si>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</si>
  <si>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</si>
  <si>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</si>
  <si>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</si>
  <si>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</si>
  <si>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</si>
  <si>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</si>
  <si>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</si>
  <si>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</si>
  <si>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</si>
  <si>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</si>
  <si>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</si>
  <si>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</si>
  <si>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</si>
  <si>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</si>
  <si>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</si>
  <si>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</si>
  <si>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</si>
  <si>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</si>
  <si>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</si>
  <si>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</si>
  <si>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</si>
  <si>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</si>
  <si>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</si>
  <si>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</si>
  <si>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</si>
  <si>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</si>
  <si>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</si>
  <si>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</si>
  <si>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</si>
  <si>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</si>
  <si>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</si>
  <si>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</si>
  <si>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</si>
  <si>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</si>
  <si>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</si>
  <si>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</si>
  <si>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</si>
  <si>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</si>
  <si>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</si>
  <si>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</si>
  <si>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</si>
  <si>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</si>
  <si>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</si>
  <si>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</si>
  <si>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</si>
  <si>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</si>
  <si>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</si>
  <si>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</si>
  <si>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</si>
  <si>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</si>
  <si>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</si>
  <si>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</si>
  <si>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</si>
  <si>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</si>
  <si>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</si>
  <si>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</si>
  <si>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</si>
  <si>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</si>
  <si>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</si>
  <si>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</si>
  <si>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</si>
  <si>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</si>
  <si>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</si>
  <si>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</si>
  <si>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</si>
  <si>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</si>
  <si>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</si>
  <si>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</si>
  <si>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</si>
  <si>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</si>
  <si>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</si>
  <si>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</si>
  <si>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</si>
  <si>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</si>
  <si>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</si>
  <si>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</si>
  <si>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</si>
  <si>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</si>
  <si>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</si>
  <si>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</si>
  <si>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</si>
  <si>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</si>
  <si>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</si>
  <si>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</si>
  <si>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</si>
  <si>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</si>
  <si>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</si>
  <si>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</si>
  <si>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</si>
  <si>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</si>
  <si>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</si>
  <si>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</si>
  <si>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</si>
  <si>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</si>
  <si>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</si>
  <si>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</si>
  <si>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</si>
  <si>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</si>
  <si>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</si>
  <si>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</si>
  <si>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</si>
  <si>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</si>
  <si>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</si>
  <si>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</si>
  <si>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</si>
  <si>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</si>
  <si>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</si>
  <si>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</si>
  <si>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</si>
  <si>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</si>
  <si>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</si>
  <si>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</si>
  <si>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</si>
  <si>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</si>
  <si>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</si>
  <si>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</si>
  <si>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</si>
  <si>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</si>
  <si>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</si>
  <si>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</si>
  <si>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</si>
  <si>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</si>
  <si>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</si>
  <si>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</si>
  <si>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</si>
  <si>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</si>
  <si>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</si>
  <si>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</si>
  <si>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</si>
  <si>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</si>
  <si>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</si>
  <si>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</si>
  <si>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</si>
  <si>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</si>
  <si>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</si>
  <si>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</si>
  <si>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</si>
  <si>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</si>
  <si>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</si>
  <si>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</si>
  <si>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</si>
  <si>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</si>
  <si>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</si>
  <si>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</si>
  <si>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</si>
  <si>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</si>
  <si>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</si>
  <si>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</si>
  <si>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</si>
  <si>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</si>
  <si>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</si>
  <si>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</si>
  <si>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</si>
  <si>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</si>
  <si>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</si>
  <si>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</si>
  <si>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</si>
  <si>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</si>
  <si>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</si>
  <si>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</si>
  <si>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</si>
  <si>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</si>
  <si>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</si>
  <si>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</si>
  <si>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</si>
  <si>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</si>
  <si>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</si>
  <si>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</si>
  <si>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</si>
  <si>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</si>
  <si>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</si>
  <si>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</si>
  <si>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</si>
  <si>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</si>
  <si>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</si>
  <si>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</si>
  <si>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</si>
  <si>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</si>
  <si>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</si>
  <si>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</si>
  <si>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</si>
  <si>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</si>
  <si>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</si>
  <si>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</si>
  <si>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</si>
  <si>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</si>
  <si>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</si>
  <si>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</si>
  <si>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</si>
  <si>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</si>
  <si>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</si>
  <si>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</si>
  <si>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</si>
  <si>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</si>
  <si>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</si>
  <si>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</si>
  <si>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</si>
  <si>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</si>
  <si>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</si>
  <si>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</si>
  <si>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</si>
  <si>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</si>
  <si>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</si>
  <si>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</si>
  <si>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</si>
  <si>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</si>
  <si>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</si>
  <si>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</si>
  <si>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</si>
  <si>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</si>
  <si>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</si>
  <si>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</si>
  <si>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</si>
  <si>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</si>
  <si>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</si>
  <si>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</si>
  <si>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</si>
  <si>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</si>
  <si>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</si>
  <si>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</si>
  <si>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</si>
  <si>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</si>
  <si>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</si>
  <si>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</si>
  <si>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</si>
  <si>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</si>
  <si>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</si>
  <si>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</si>
  <si>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</si>
  <si>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</si>
  <si>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</si>
  <si>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</si>
  <si>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</si>
  <si>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</si>
  <si>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</si>
  <si>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</si>
  <si>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</si>
  <si>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</si>
  <si>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</si>
  <si>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</si>
  <si>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</si>
  <si>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</si>
  <si>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</si>
  <si>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</si>
  <si>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</si>
  <si>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</si>
  <si>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</si>
  <si>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</si>
  <si>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</si>
  <si>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</si>
  <si>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</si>
  <si>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</si>
  <si>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</si>
  <si>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</si>
  <si>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</si>
  <si>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</si>
  <si>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</si>
  <si>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</si>
  <si>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</si>
  <si>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</si>
  <si>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</si>
  <si>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</si>
  <si>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</si>
  <si>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</si>
  <si>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</si>
  <si>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</si>
  <si>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</si>
  <si>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</si>
  <si>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</si>
  <si>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</si>
  <si>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</si>
  <si>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</si>
  <si>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</si>
  <si>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</si>
  <si>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</si>
  <si>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</si>
  <si>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</si>
  <si>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</si>
  <si>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</si>
  <si>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</si>
  <si>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</si>
  <si>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</si>
  <si>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</si>
  <si>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</si>
  <si>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</si>
  <si>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</si>
  <si>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</si>
  <si>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</si>
  <si>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</si>
  <si>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</si>
  <si>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</si>
  <si>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</si>
  <si>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</si>
  <si>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</si>
  <si>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</si>
  <si>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</si>
  <si>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</si>
  <si>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</si>
  <si>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</si>
  <si>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</si>
  <si>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</si>
  <si>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</si>
  <si>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</si>
  <si>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</si>
  <si>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</si>
  <si>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</si>
  <si>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</si>
  <si>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</si>
  <si>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</si>
  <si>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</si>
  <si>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</si>
  <si>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</si>
  <si>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</si>
  <si>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</si>
  <si>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</si>
  <si>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</si>
  <si>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</si>
  <si>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</si>
  <si>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</si>
  <si>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</si>
  <si>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</si>
  <si>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</si>
  <si>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</si>
  <si>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</si>
  <si>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</si>
  <si>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</si>
  <si>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</si>
  <si>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</si>
  <si>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</si>
  <si>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</si>
  <si>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</si>
  <si>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</si>
  <si>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</si>
  <si>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</si>
  <si>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</si>
  <si>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</si>
  <si>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</si>
  <si>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</si>
  <si>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</si>
  <si>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</si>
  <si>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</si>
  <si>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</si>
  <si>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</si>
  <si>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</si>
  <si>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</si>
  <si>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</si>
  <si>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</si>
  <si>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</si>
  <si>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</si>
  <si>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</si>
  <si>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</si>
  <si>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</si>
  <si>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</si>
  <si>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</si>
  <si>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</si>
  <si>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</si>
  <si>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</si>
  <si>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</si>
  <si>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</si>
  <si>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</si>
  <si>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</si>
  <si>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</si>
  <si>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</si>
  <si>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</si>
  <si>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</si>
  <si>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</si>
  <si>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</si>
  <si>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</si>
  <si>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</si>
  <si>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</si>
  <si>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</si>
  <si>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</si>
  <si>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</si>
  <si>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</si>
  <si>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</si>
  <si>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</si>
  <si>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</si>
  <si>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</si>
  <si>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</si>
  <si>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</si>
  <si>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</si>
  <si>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</si>
  <si>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</si>
  <si>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</si>
  <si>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</si>
  <si>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</si>
  <si>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</si>
  <si>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</si>
  <si>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</si>
  <si>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</si>
  <si>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</si>
  <si>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</si>
  <si>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</si>
  <si>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</si>
  <si>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</si>
  <si>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</si>
  <si>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</si>
  <si>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</si>
  <si>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</si>
  <si>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</si>
  <si>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</si>
  <si>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</si>
  <si>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</si>
  <si>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</si>
  <si>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</si>
  <si>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</si>
  <si>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</si>
  <si>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</si>
  <si>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</si>
  <si>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</si>
  <si>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</si>
  <si>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</si>
  <si>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</si>
  <si>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</si>
  <si>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</si>
  <si>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</si>
  <si>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</si>
  <si>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</si>
  <si>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</si>
  <si>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</si>
  <si>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</si>
  <si>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</si>
  <si>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</si>
  <si>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</si>
  <si>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</si>
  <si>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</si>
  <si>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</si>
  <si>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</si>
  <si>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</si>
  <si>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</si>
  <si>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</si>
  <si>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</si>
  <si>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</si>
  <si>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</si>
  <si>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</si>
  <si>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</si>
  <si>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</si>
  <si>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</si>
  <si>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</si>
  <si>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</si>
  <si>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</si>
  <si>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</si>
  <si>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</si>
  <si>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</si>
  <si>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</si>
  <si>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</si>
  <si>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</si>
  <si>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</si>
  <si>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</si>
  <si>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</si>
  <si>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</si>
  <si>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</si>
  <si>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</si>
  <si>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</si>
  <si>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</si>
  <si>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</si>
  <si>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</si>
  <si>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</si>
  <si>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</si>
  <si>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</si>
  <si>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</si>
  <si>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</si>
  <si>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</si>
  <si>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</si>
  <si>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</si>
  <si>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</si>
  <si>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</si>
  <si>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</si>
  <si>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</si>
  <si>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</si>
  <si>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</si>
  <si>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</si>
  <si>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</si>
  <si>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</si>
  <si>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</si>
  <si>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</si>
  <si>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</si>
  <si>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</si>
  <si>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</si>
  <si>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</si>
  <si>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</si>
  <si>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</si>
  <si>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</si>
  <si>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</si>
  <si>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</si>
  <si>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</si>
  <si>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</si>
  <si>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</si>
  <si>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</si>
  <si>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</si>
  <si>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</si>
  <si>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</si>
  <si>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</si>
  <si>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</si>
  <si>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</si>
  <si>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</si>
  <si>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</si>
  <si>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</si>
  <si>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</si>
  <si>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</si>
  <si>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</si>
  <si>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</si>
  <si>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</si>
  <si>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</si>
  <si>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</si>
  <si>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</si>
  <si>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</si>
  <si>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</si>
  <si>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</si>
  <si>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</si>
  <si>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</si>
  <si>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</si>
  <si>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</si>
  <si>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</si>
  <si>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</si>
  <si>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</si>
  <si>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</si>
  <si>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</si>
  <si>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</si>
  <si>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</si>
  <si>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</si>
  <si>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</si>
  <si>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</si>
  <si>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</si>
  <si>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</si>
  <si>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</si>
  <si>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</si>
  <si>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</si>
  <si>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</si>
  <si>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</si>
  <si>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</si>
  <si>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</si>
  <si>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</si>
  <si>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</si>
  <si>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</si>
  <si>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</si>
  <si>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</si>
  <si>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</si>
  <si>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</si>
  <si>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</si>
  <si>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</si>
  <si>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</si>
  <si>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</si>
  <si>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</si>
  <si>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</si>
  <si>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</si>
  <si>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</si>
  <si>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</si>
  <si>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</si>
  <si>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</si>
  <si>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</si>
  <si>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</si>
  <si>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</si>
  <si>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</si>
  <si>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</si>
  <si>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</si>
  <si>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</si>
  <si>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</si>
  <si>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</si>
  <si>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</si>
  <si>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</si>
  <si>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</si>
  <si>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</si>
  <si>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</si>
  <si>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</si>
  <si>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</si>
  <si>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</si>
  <si>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</si>
  <si>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</si>
  <si>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</si>
  <si>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</si>
  <si>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</si>
  <si>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</si>
  <si>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</si>
  <si>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</si>
  <si>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</si>
  <si>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</si>
  <si>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</si>
  <si>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</si>
  <si>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</si>
  <si>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</si>
  <si>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</si>
  <si>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</si>
  <si>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</si>
  <si>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</si>
  <si>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</si>
  <si>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</si>
  <si>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</si>
  <si>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</si>
  <si>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</si>
  <si>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</si>
  <si>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</si>
  <si>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</si>
  <si>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</si>
  <si>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</si>
  <si>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</si>
  <si>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</si>
  <si>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</si>
  <si>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</si>
  <si>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</si>
  <si>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</si>
  <si>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</si>
  <si>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</si>
  <si>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</si>
  <si>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</si>
  <si>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</si>
  <si>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</si>
  <si>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</si>
  <si>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</si>
  <si>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</si>
  <si>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</si>
  <si>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</si>
  <si>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</si>
  <si>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</si>
  <si>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</si>
  <si>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</si>
  <si>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</si>
  <si>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</si>
  <si>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</si>
  <si>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</si>
  <si>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</si>
  <si>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</si>
  <si>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</si>
  <si>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</si>
  <si>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</si>
  <si>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</si>
  <si>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</si>
  <si>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</si>
  <si>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</si>
  <si>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</si>
  <si>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</si>
  <si>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</si>
  <si>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</si>
  <si>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</si>
  <si>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</si>
  <si>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</si>
  <si>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</si>
  <si>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</si>
  <si>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</si>
  <si>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</si>
  <si>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</si>
  <si>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</si>
  <si>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</si>
  <si>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</si>
  <si>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</si>
  <si>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</si>
  <si>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</si>
  <si>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</si>
  <si>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</si>
  <si>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</si>
  <si>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</si>
  <si>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</si>
  <si>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</si>
  <si>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</si>
  <si>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</si>
  <si>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</si>
  <si>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</si>
  <si>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</si>
  <si>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</si>
  <si>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</si>
  <si>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</si>
  <si>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</si>
  <si>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</si>
  <si>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</si>
  <si>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</si>
  <si>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</si>
  <si>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</si>
  <si>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</si>
  <si>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</si>
  <si>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</si>
  <si>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</si>
  <si>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</si>
  <si>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</si>
  <si>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</si>
  <si>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</si>
  <si>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</si>
  <si>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</si>
  <si>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</si>
  <si>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</si>
  <si>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</si>
  <si>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</si>
  <si>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</si>
  <si>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</si>
  <si>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</si>
  <si>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</si>
  <si>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</si>
  <si>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</si>
  <si>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</si>
  <si>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</si>
  <si>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</si>
  <si>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</si>
  <si>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</si>
  <si>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</si>
  <si>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</si>
  <si>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</si>
  <si>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</si>
  <si>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</si>
  <si>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</si>
  <si>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</si>
  <si>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</si>
  <si>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</si>
  <si>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</si>
  <si>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</si>
  <si>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</si>
  <si>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</si>
  <si>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</si>
  <si>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</si>
  <si>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</si>
  <si>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</si>
  <si>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</si>
  <si>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</si>
  <si>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</si>
  <si>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</si>
  <si>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</si>
  <si>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</si>
  <si>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</si>
  <si>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</si>
  <si>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</si>
  <si>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</si>
  <si>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</si>
  <si>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</si>
  <si>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</si>
  <si>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</si>
  <si>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</si>
  <si>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</si>
  <si>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</si>
  <si>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</si>
  <si>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</si>
  <si>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</si>
  <si>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</si>
  <si>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</si>
  <si>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</si>
  <si>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</si>
  <si>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</si>
  <si>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</si>
  <si>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</si>
  <si>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</si>
  <si>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</si>
  <si>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</si>
  <si>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</si>
  <si>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</si>
  <si>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</si>
  <si>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</si>
  <si>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</si>
  <si>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</si>
  <si>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</si>
  <si>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</si>
  <si>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</si>
  <si>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</si>
  <si>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</si>
  <si>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</si>
  <si>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</si>
  <si>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</si>
  <si>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</si>
  <si>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</si>
  <si>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</si>
  <si>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</si>
  <si>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</si>
  <si>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</si>
  <si>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</si>
  <si>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</si>
  <si>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</si>
  <si>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</si>
  <si>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</si>
  <si>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</si>
  <si>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</si>
  <si>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</si>
  <si>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</si>
  <si>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</si>
  <si>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</si>
  <si>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</si>
  <si>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</si>
  <si>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</si>
  <si>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</si>
  <si>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</si>
  <si>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</si>
  <si>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</si>
  <si>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</si>
  <si>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</si>
  <si>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</si>
  <si>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</si>
  <si>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</si>
  <si>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</si>
  <si>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</si>
  <si>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</si>
  <si>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</si>
  <si>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</si>
  <si>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</si>
  <si>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</si>
  <si>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</si>
  <si>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</si>
  <si>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</si>
  <si>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</si>
  <si>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</si>
  <si>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</si>
  <si>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</si>
  <si>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</si>
  <si>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</si>
  <si>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</si>
  <si>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</si>
  <si>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</si>
  <si>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</si>
  <si>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</si>
  <si>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</si>
  <si>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</si>
  <si>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</si>
  <si>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</si>
  <si>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</si>
  <si>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</si>
  <si>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</si>
  <si>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</si>
  <si>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</si>
  <si>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</si>
  <si>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</si>
  <si>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</si>
  <si>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</si>
  <si>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</si>
  <si>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</si>
  <si>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</si>
  <si>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</si>
  <si>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</si>
  <si>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</si>
  <si>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</si>
  <si>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</si>
  <si>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</si>
  <si>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</si>
  <si>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</si>
  <si>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</si>
  <si>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</si>
  <si>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</si>
  <si>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</si>
  <si>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</si>
  <si>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</si>
  <si>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</si>
  <si>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</si>
  <si>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</si>
  <si>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</si>
  <si>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</si>
  <si>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</si>
  <si>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</si>
  <si>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</si>
  <si>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</si>
  <si>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</si>
  <si>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</si>
  <si>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</si>
  <si>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</si>
  <si>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</si>
  <si>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</si>
  <si>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</si>
  <si>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</si>
  <si>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</si>
  <si>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</si>
  <si>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</si>
  <si>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</si>
  <si>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</si>
  <si>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</si>
  <si>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</si>
  <si>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</si>
  <si>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</si>
  <si>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</si>
  <si>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</si>
  <si>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</si>
  <si>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</si>
  <si>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</si>
  <si>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</si>
  <si>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</si>
  <si>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</si>
  <si>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</si>
  <si>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</si>
  <si>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</si>
  <si>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</si>
  <si>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</si>
  <si>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</si>
  <si>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</si>
  <si>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</si>
  <si>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</si>
  <si>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</si>
  <si>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</si>
  <si>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</si>
  <si>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</si>
  <si>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</si>
  <si>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</si>
  <si>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</si>
  <si>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</si>
  <si>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</si>
  <si>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</si>
  <si>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</si>
  <si>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</si>
  <si>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</si>
  <si>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</si>
  <si>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</si>
  <si>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</si>
  <si>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</si>
  <si>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</si>
  <si>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</si>
  <si>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</si>
  <si>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</si>
  <si>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</si>
  <si>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</si>
  <si>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</si>
  <si>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</si>
  <si>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</si>
  <si>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</si>
  <si>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</si>
  <si>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</si>
  <si>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</si>
  <si>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</si>
  <si>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</si>
  <si>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</si>
  <si>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</si>
  <si>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</si>
  <si>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</si>
  <si>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</si>
  <si>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</si>
  <si>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</si>
  <si>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</si>
  <si>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</si>
  <si>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</si>
  <si>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</si>
  <si>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</si>
  <si>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</si>
  <si>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</si>
  <si>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</si>
  <si>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</si>
  <si>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</si>
  <si>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</si>
  <si>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</si>
  <si>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</si>
  <si>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</si>
  <si>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</si>
  <si>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</si>
  <si>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</si>
  <si>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</si>
  <si>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</si>
  <si>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</si>
  <si>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</si>
  <si>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</si>
  <si>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</si>
  <si>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</si>
  <si>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</si>
  <si>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</si>
  <si>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</si>
  <si>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</si>
  <si>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</si>
  <si>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</si>
  <si>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</si>
  <si>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</si>
  <si>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</si>
  <si>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</si>
  <si>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</si>
  <si>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</si>
  <si>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</si>
  <si>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</si>
  <si>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</si>
  <si>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</si>
  <si>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</si>
  <si>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</si>
  <si>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</si>
  <si>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</si>
  <si>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</si>
  <si>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</si>
  <si>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</si>
  <si>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</si>
  <si>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</si>
  <si>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</si>
  <si>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</si>
  <si>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</si>
  <si>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</si>
  <si>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</si>
  <si>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</si>
  <si>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</si>
  <si>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</si>
  <si>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</si>
  <si>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</si>
  <si>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</si>
  <si>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</si>
  <si>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</si>
  <si>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</si>
  <si>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</si>
  <si>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</si>
  <si>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</si>
  <si>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</si>
  <si>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</si>
  <si>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</si>
  <si>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</si>
  <si>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</si>
  <si>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</si>
  <si>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</si>
  <si>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</si>
  <si>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</si>
  <si>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</si>
  <si>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</si>
  <si>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</si>
  <si>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</si>
  <si>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</si>
  <si>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</si>
  <si>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</si>
  <si>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</si>
  <si>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</si>
  <si>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</si>
  <si>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</si>
  <si>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</si>
  <si>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</si>
  <si>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</si>
  <si>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</si>
  <si>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</si>
  <si>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</si>
  <si>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</si>
  <si>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</si>
  <si>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</si>
  <si>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</si>
  <si>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</si>
  <si>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</si>
  <si>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</si>
  <si>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</si>
  <si>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</si>
  <si>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</si>
  <si>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</si>
  <si>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</si>
  <si>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</si>
  <si>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</si>
  <si>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</si>
  <si>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</si>
  <si>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</si>
  <si>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</si>
  <si>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</si>
  <si>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</si>
  <si>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</si>
  <si>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</si>
  <si>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</si>
  <si>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</si>
  <si>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</si>
  <si>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</si>
  <si>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</si>
  <si>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</si>
  <si>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</si>
  <si>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</si>
  <si>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</si>
  <si>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</si>
  <si>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</si>
  <si>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</si>
  <si>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</si>
  <si>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</si>
  <si>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</si>
  <si>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</si>
  <si>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</si>
  <si>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</si>
  <si>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</si>
  <si>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</si>
  <si>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</si>
  <si>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</si>
  <si>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</si>
  <si>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</si>
  <si>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</si>
  <si>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</si>
  <si>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</si>
  <si>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</si>
  <si>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</si>
  <si>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</si>
  <si>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</si>
  <si>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</si>
  <si>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</si>
  <si>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</si>
  <si>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</si>
  <si>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</si>
  <si>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</si>
  <si>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</si>
  <si>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</si>
  <si>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</si>
  <si>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</si>
  <si>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</si>
  <si>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</si>
  <si>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</si>
  <si>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</si>
  <si>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</si>
  <si>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</si>
  <si>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</si>
  <si>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</si>
  <si>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</si>
  <si>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</si>
  <si>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</si>
  <si>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</si>
  <si>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</si>
  <si>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</si>
  <si>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</si>
  <si>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</si>
  <si>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</si>
  <si>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</si>
  <si>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</si>
  <si>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</si>
  <si>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</si>
  <si>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</si>
  <si>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</si>
  <si>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</si>
  <si>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</si>
  <si>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</si>
  <si>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</si>
  <si>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</si>
  <si>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</si>
  <si>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</si>
  <si>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</si>
  <si>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</si>
  <si>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</si>
  <si>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</si>
  <si>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</si>
  <si>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</si>
  <si>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</si>
  <si>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</si>
  <si>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</si>
  <si>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</si>
  <si>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</si>
  <si>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</si>
  <si>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</si>
  <si>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</si>
  <si>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</si>
  <si>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</si>
  <si>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</si>
  <si>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</si>
  <si>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</si>
  <si>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</si>
  <si>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</si>
  <si>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</si>
  <si>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</si>
  <si>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</si>
  <si>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</si>
  <si>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</si>
  <si>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</si>
  <si>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</si>
  <si>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</si>
  <si>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</si>
  <si>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</si>
  <si>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</si>
  <si>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</si>
  <si>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</si>
  <si>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</si>
  <si>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</si>
  <si>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</si>
  <si>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</si>
  <si>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</si>
  <si>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</si>
  <si>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</si>
  <si>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</si>
  <si>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</si>
  <si>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</si>
  <si>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</si>
  <si>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</si>
  <si>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</si>
  <si>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</si>
  <si>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</si>
  <si>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</si>
  <si>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</si>
  <si>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</si>
  <si>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</si>
  <si>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</si>
  <si>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</si>
  <si>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</si>
  <si>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</si>
  <si>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</si>
  <si>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</si>
  <si>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</si>
  <si>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</si>
  <si>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</si>
  <si>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</si>
  <si>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</si>
  <si>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</si>
  <si>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</si>
  <si>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</si>
  <si>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</si>
  <si>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</si>
  <si>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</si>
  <si>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</si>
  <si>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</si>
  <si>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</si>
  <si>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</si>
  <si>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</si>
  <si>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</si>
  <si>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</si>
  <si>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</si>
  <si>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</si>
  <si>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</si>
  <si>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</si>
  <si>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</si>
  <si>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</si>
  <si>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</si>
  <si>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</si>
  <si>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</si>
  <si>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</si>
  <si>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</si>
  <si>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</si>
  <si>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</si>
  <si>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</si>
  <si>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</si>
  <si>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</si>
  <si>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</si>
  <si>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</si>
  <si>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</si>
  <si>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</si>
  <si>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</si>
  <si>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</si>
  <si>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</si>
  <si>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</si>
  <si>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</si>
  <si>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</si>
  <si>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</si>
  <si>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</si>
  <si>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</si>
  <si>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</si>
  <si>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</si>
  <si>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</si>
  <si>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</si>
  <si>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</si>
  <si>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</si>
  <si>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</si>
  <si>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</si>
  <si>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</si>
  <si>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</si>
  <si>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</si>
  <si>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</si>
  <si>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</si>
  <si>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</si>
  <si>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</si>
  <si>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</si>
  <si>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</si>
  <si>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</si>
  <si>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</si>
  <si>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</si>
  <si>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</si>
  <si>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</si>
  <si>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</si>
  <si>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</si>
  <si>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</si>
  <si>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</si>
  <si>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</si>
  <si>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</si>
  <si>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</si>
  <si>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</si>
  <si>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</si>
  <si>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</si>
  <si>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</si>
  <si>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</si>
  <si>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</si>
  <si>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</si>
  <si>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</si>
  <si>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</si>
  <si>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</si>
  <si>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</si>
  <si>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</si>
  <si>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</si>
  <si>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</si>
  <si>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</si>
  <si>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</si>
  <si>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</si>
  <si>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</si>
  <si>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</si>
  <si>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</si>
  <si>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</si>
  <si>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</si>
  <si>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</si>
  <si>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</si>
  <si>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</si>
  <si>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</si>
  <si>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</si>
  <si>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</si>
  <si>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</si>
  <si>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</si>
  <si>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</si>
  <si>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</si>
  <si>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</si>
  <si>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</si>
  <si>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</si>
  <si>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</si>
  <si>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</si>
  <si>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</si>
  <si>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</si>
  <si>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</si>
  <si>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</si>
  <si>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</si>
  <si>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</si>
  <si>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</si>
  <si>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</si>
  <si>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</si>
  <si>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</si>
  <si>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</si>
  <si>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</si>
  <si>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</si>
  <si>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</si>
  <si>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</si>
  <si>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</si>
  <si>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</si>
  <si>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</si>
  <si>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</si>
  <si>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</si>
  <si>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</si>
  <si>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</si>
  <si>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</si>
  <si>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</si>
  <si>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</si>
  <si>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</si>
  <si>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</si>
  <si>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</si>
  <si>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</si>
  <si>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</si>
  <si>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</si>
  <si>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</si>
  <si>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</si>
  <si>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</si>
  <si>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</si>
  <si>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</si>
  <si>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</si>
  <si>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</si>
  <si>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</si>
  <si>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</si>
  <si>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</si>
  <si>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</si>
  <si>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</si>
  <si>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</si>
  <si>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</si>
  <si>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</si>
  <si>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</si>
  <si>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</si>
  <si>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</si>
  <si>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</si>
  <si>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</si>
  <si>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</si>
  <si>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</si>
  <si>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</si>
  <si>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</si>
  <si>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</si>
  <si>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</si>
  <si>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</si>
  <si>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</si>
  <si>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</si>
  <si>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</si>
  <si>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</si>
  <si>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</si>
  <si>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</si>
  <si>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</si>
  <si>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</si>
  <si>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</si>
  <si>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</si>
  <si>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</si>
  <si>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</si>
  <si>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</si>
  <si>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</si>
  <si>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</si>
  <si>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</si>
  <si>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</si>
  <si>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</si>
  <si>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</si>
  <si>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</si>
  <si>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</si>
  <si>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</si>
  <si>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</si>
  <si>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</si>
  <si>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</si>
  <si>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</si>
  <si>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</si>
  <si>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</si>
  <si>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</si>
  <si>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</si>
  <si>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</si>
  <si>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</si>
  <si>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</si>
  <si>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</si>
  <si>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</si>
  <si>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</si>
  <si>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</si>
  <si>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</si>
  <si>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</si>
  <si>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</si>
  <si>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</si>
  <si>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</si>
  <si>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</si>
  <si>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</si>
  <si>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</si>
  <si>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</si>
  <si>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</si>
  <si>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</si>
  <si>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</si>
  <si>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</si>
  <si>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</si>
  <si>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</si>
  <si>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</si>
  <si>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</si>
  <si>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</si>
  <si>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</si>
  <si>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</si>
  <si>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</si>
  <si>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</si>
  <si>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</si>
  <si>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</si>
  <si>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</si>
  <si>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</si>
  <si>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</si>
  <si>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</si>
  <si>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</si>
  <si>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</si>
  <si>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</si>
  <si>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</si>
  <si>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</si>
  <si>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Leymone Hardcastle &amp; Co., Ltd.</t>
  </si>
  <si>
    <t>Sara E. Hanks</t>
  </si>
  <si>
    <t>200 West Main Street</t>
  </si>
  <si>
    <t>Salem</t>
  </si>
  <si>
    <t>IL</t>
  </si>
  <si>
    <t>618-548-1002</t>
  </si>
  <si>
    <t>618-548-1018</t>
  </si>
  <si>
    <t>066-005231</t>
  </si>
  <si>
    <t>sara@hardcastlecpa.com</t>
  </si>
  <si>
    <t>Wayne</t>
  </si>
  <si>
    <t>806 North First Street</t>
  </si>
  <si>
    <t xml:space="preserve">Fairfield </t>
  </si>
  <si>
    <t>Dr. Scott England</t>
  </si>
  <si>
    <t>618-842-6501</t>
  </si>
  <si>
    <t>618-842-2892</t>
  </si>
  <si>
    <t>2010B - Taxable General Obligation Bonds</t>
  </si>
  <si>
    <t>2016 - Taxable General Obligation Refunding Bonds</t>
  </si>
  <si>
    <t>2018 Bluebird Buses (2)</t>
  </si>
  <si>
    <t>2018 Micro Bird Bus</t>
  </si>
  <si>
    <t>Capital Bus Lease</t>
  </si>
  <si>
    <t>10-1690:  Other Food ($4,877)</t>
  </si>
  <si>
    <t>10-1819:  Tech Fees ($3,609)</t>
  </si>
  <si>
    <t>10-1999:  Other Income ($23,721)</t>
  </si>
  <si>
    <t>10-3299:  Vocational Ed Elementary ($592)</t>
  </si>
  <si>
    <t>10-3999:  State Library Grant ($750)</t>
  </si>
  <si>
    <t>20-1190:  TIF ($20,000)</t>
  </si>
  <si>
    <t>10-1190:  TIF ($110,619)</t>
  </si>
  <si>
    <t>40-1999:  Other Income ($289)</t>
  </si>
  <si>
    <t>80-1999:  Other Income ($165)</t>
  </si>
  <si>
    <t>30-5400 (600):  B&amp;I Admin Fees ($800)</t>
  </si>
  <si>
    <t>Schedule of Restricted Local Tax Levies and Selected Revenue Sources:  Other Receipts - Special Education Orphanage Individual ($13,705)</t>
  </si>
  <si>
    <t>Wabash Ohio Valley Special Education District</t>
  </si>
  <si>
    <t>Jasper SD 17/New Hope SD 6/FCHS 225/Geff SD 14</t>
  </si>
  <si>
    <t>ERROR on Long-Term Debt (Principal) Retired - bus lease payments paid out of the Transportation Fund ($40,154)</t>
  </si>
  <si>
    <t>The District is responsible for the preparation of the annual financial statements and disclosures.</t>
  </si>
  <si>
    <t>The District relies on the audit firm to prepare these financial statements and disclosures.</t>
  </si>
  <si>
    <t>The audit firm prepares the financial statements and disclosures and then goes over them with the District's management and the Board of Education.  The District does not maintain an accountant on staff to prepare the financial statements and disclosures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</si>
  <si>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</si>
  <si>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</si>
  <si>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cost/benefit, we do not recommend any changes at this time.  We will continue to work with the District to ensure that both management and the Board of Education have a thorough understanding of these financial statements and disclosures.</t>
  </si>
  <si>
    <t>Due to cost/benefit of addressing this issue, no action is planned at this time.</t>
  </si>
  <si>
    <t>Internal controls are designed to allow management or employees, in the normal course of performing their assigned duties to prevent, detect, or correct material misstatements and safeguard assets.  A good concept of an internal control system is adequate segregation of duties.</t>
  </si>
  <si>
    <t>One individual is responsible for performing most of the accounting and financial duties, including key functions of recording, reconciling, and reporting financial transactions.  This condition reduces certain aspects of a good internal control system that relies on the adequate segregation of duties.</t>
  </si>
  <si>
    <t>All District accounting and financial records are maintained by one individual.</t>
  </si>
  <si>
    <t>Accounting functions would idealy be segregated among the different individuals within the organization to allow for a more controlled system of checks and balances, rather than the responsibility of a single individual, as is currently the District's procedure.</t>
  </si>
  <si>
    <t>The District is financially unable to hire additional staff because of limited funding opportunities.</t>
  </si>
  <si>
    <t>Within a small governmental entity, segregation of duties is often difficult to accomplish.  Management should focus on specific areas that could improve the segregation of duties, including, but not limited to, hiring additional personnel.</t>
  </si>
  <si>
    <t>The District currently relies on budgetary controls and oversight by the Board of Education to help mitigate the affects of the limited number of accounting personnel.  The District will review the internal control system on an annual basis and when it is cost efficient and funding is available, the District will make every attempt to hire additional personnel.</t>
  </si>
  <si>
    <t>The District passes an annual budget for expenditures and is required to operate within the budget.</t>
  </si>
  <si>
    <t>The Tort Fund had additional expenditures which were not reflected in the budget.</t>
  </si>
  <si>
    <t>The District did not operate within the budget passed by the Board of Education.  The potential effect of this finding could be unauthorized or erroneous expenditures being paid.</t>
  </si>
  <si>
    <t>The District approved the budget, however, there were additional expenditures of $9,820 in the Tort Fund.</t>
  </si>
  <si>
    <t>We recommend the District to continue its budget to actual expenditure monitoring and amend the budget as needed.</t>
  </si>
  <si>
    <t>The District will continue to monitor and will amend future budgets if and when needed.</t>
  </si>
  <si>
    <t>During the course of the audit, it was noted that the District overexpended the budget in the Tort Fund by $9,820.</t>
  </si>
  <si>
    <t>Ed - Food Services - Purchased Services</t>
  </si>
  <si>
    <t>Sodexo</t>
  </si>
  <si>
    <t xml:space="preserve">  Fairfield PSD 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</si>
</sst>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3980584</xdr:colOff>
          <xdr:row>1</xdr:row>
          <xdr:rowOff>2598</xdr:rowOff>
        </xdr:from>
        <xdr:to>
          <xdr:col>3</xdr:col>
          <xdr:colOff>319520</xdr:colOff>
          <xdr:row>5</xdr:row>
          <xdr:rowOff>155864</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601807</xdr:colOff>
          <xdr:row>1</xdr:row>
          <xdr:rowOff>2598</xdr:rowOff>
        </xdr:from>
        <xdr:to>
          <xdr:col>5</xdr:col>
          <xdr:colOff>312593</xdr:colOff>
          <xdr:row>5</xdr:row>
          <xdr:rowOff>155864</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594880</xdr:colOff>
          <xdr:row>1</xdr:row>
          <xdr:rowOff>2598</xdr:rowOff>
        </xdr:from>
        <xdr:to>
          <xdr:col>7</xdr:col>
          <xdr:colOff>305666</xdr:colOff>
          <xdr:row>5</xdr:row>
          <xdr:rowOff>155864</xdr:rowOff>
        </xdr:to>
        <xdr:sp macro="" textlink="">
          <xdr:nvSpPr>
            <xdr:cNvPr id="45059" name="Object 3" hidden="1">
              <a:extLst>
                <a:ext uri="{63B3BB69-23CF-44E3-9099-C40C66FF867C}">
                  <a14:compatExt spid="_x0000_s45059"/>
                </a:ext>
                <a:ext uri="{FF2B5EF4-FFF2-40B4-BE49-F238E27FC236}">
                  <a16:creationId xmlns:a16="http://schemas.microsoft.com/office/drawing/2014/main" id="{00000000-0008-0000-1400-000003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1"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4"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7"/>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v>20096112004</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2061</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2109</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2062</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62881</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2063</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t="s">
        <v>2058</v>
      </c>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c r="B23" s="2090"/>
      <c r="C23" s="2090"/>
      <c r="D23" s="2090"/>
      <c r="E23" s="2090"/>
      <c r="F23" s="2090"/>
      <c r="G23" s="2090"/>
      <c r="H23" s="2091"/>
      <c r="T23" s="2072" t="s">
        <v>2059</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62837</v>
      </c>
      <c r="B25" s="2037"/>
      <c r="C25" s="2037"/>
      <c r="D25" s="2037"/>
      <c r="E25" s="2037"/>
      <c r="F25" s="2037"/>
      <c r="G25" s="2037"/>
      <c r="H25" s="2038"/>
      <c r="I25" s="110"/>
      <c r="J25" s="2061"/>
      <c r="K25" s="2061"/>
      <c r="L25" s="2061"/>
      <c r="M25" s="2061"/>
      <c r="N25" s="2061"/>
      <c r="O25" s="2061"/>
      <c r="P25" s="2061"/>
      <c r="Q25" s="2061"/>
      <c r="R25" s="2061"/>
      <c r="S25" s="2062"/>
      <c r="T25" s="2123" t="s">
        <v>2060</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2064</v>
      </c>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2065</v>
      </c>
      <c r="B42" s="2056"/>
      <c r="C42" s="2057"/>
      <c r="D42" s="2055" t="s">
        <v>2066</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7" right="0.2" top="0.75" bottom="0.68" header="0.19" footer="0.28999999999999998"/>
  <pageSetup scale="72" firstPageNumber="69" orientation="landscape" useFirstPageNumber="1" r:id="rId3"/>
  <headerFooter alignWithMargins="0">
    <oddFooter>&amp;C&amp;14- &amp;P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4" sqref="E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1145</v>
      </c>
      <c r="B4" s="1721">
        <f>'Revenues 9-14'!C5</f>
        <v>542950</v>
      </c>
      <c r="C4" s="1722"/>
      <c r="D4" s="1723">
        <f>B4-C4</f>
        <v>542950</v>
      </c>
      <c r="E4" s="1722">
        <v>549304</v>
      </c>
      <c r="F4" s="1723">
        <f>E4-C4</f>
        <v>549304</v>
      </c>
    </row>
    <row r="5" spans="1:8" ht="13.7" customHeight="1" x14ac:dyDescent="0.2">
      <c r="A5" s="579" t="s">
        <v>865</v>
      </c>
      <c r="B5" s="1724">
        <f>'Revenues 9-14'!D5</f>
        <v>147541</v>
      </c>
      <c r="C5" s="1664"/>
      <c r="D5" s="1725">
        <f t="shared" ref="D5:D18" si="0">B5-C5</f>
        <v>147541</v>
      </c>
      <c r="E5" s="1664">
        <v>149267</v>
      </c>
      <c r="F5" s="1725">
        <f>E5-C5</f>
        <v>149267</v>
      </c>
    </row>
    <row r="6" spans="1:8" ht="13.7" customHeight="1" x14ac:dyDescent="0.2">
      <c r="A6" s="579" t="s">
        <v>408</v>
      </c>
      <c r="B6" s="1724">
        <f>'Revenues 9-14'!E5</f>
        <v>305223</v>
      </c>
      <c r="C6" s="1664"/>
      <c r="D6" s="1725">
        <f t="shared" si="0"/>
        <v>305223</v>
      </c>
      <c r="E6" s="1664">
        <v>306977</v>
      </c>
      <c r="F6" s="1725">
        <f t="shared" ref="F6:F18" si="1">E6-C6</f>
        <v>306977</v>
      </c>
    </row>
    <row r="7" spans="1:8" ht="13.7" customHeight="1" x14ac:dyDescent="0.2">
      <c r="A7" s="579" t="s">
        <v>154</v>
      </c>
      <c r="B7" s="1724">
        <f>'Revenues 9-14'!F5</f>
        <v>70820</v>
      </c>
      <c r="C7" s="1664"/>
      <c r="D7" s="1725">
        <f t="shared" si="0"/>
        <v>70820</v>
      </c>
      <c r="E7" s="1664">
        <v>71648</v>
      </c>
      <c r="F7" s="1725">
        <f t="shared" si="1"/>
        <v>71648</v>
      </c>
    </row>
    <row r="8" spans="1:8" ht="13.7" customHeight="1" x14ac:dyDescent="0.2">
      <c r="A8" s="579" t="s">
        <v>1169</v>
      </c>
      <c r="B8" s="1724">
        <f>'Revenues 9-14'!G5</f>
        <v>154119</v>
      </c>
      <c r="C8" s="1664"/>
      <c r="D8" s="1725">
        <f t="shared" si="0"/>
        <v>154119</v>
      </c>
      <c r="E8" s="1664">
        <v>162498</v>
      </c>
      <c r="F8" s="1725">
        <f t="shared" si="1"/>
        <v>162498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29508</v>
      </c>
      <c r="C10" s="1664"/>
      <c r="D10" s="1725">
        <f t="shared" si="0"/>
        <v>29508</v>
      </c>
      <c r="E10" s="1664">
        <v>29853</v>
      </c>
      <c r="F10" s="1725">
        <f t="shared" si="1"/>
        <v>29853</v>
      </c>
    </row>
    <row r="11" spans="1:8" x14ac:dyDescent="0.2">
      <c r="A11" s="579" t="s">
        <v>406</v>
      </c>
      <c r="B11" s="1724">
        <f>'Revenues 9-14'!J5</f>
        <v>224826</v>
      </c>
      <c r="C11" s="1664"/>
      <c r="D11" s="1725">
        <f t="shared" si="0"/>
        <v>224826</v>
      </c>
      <c r="E11" s="1664">
        <v>225000</v>
      </c>
      <c r="F11" s="1725">
        <f t="shared" si="1"/>
        <v>225000</v>
      </c>
    </row>
    <row r="12" spans="1:8" ht="13.7" customHeight="1" x14ac:dyDescent="0.2">
      <c r="A12" s="579" t="s">
        <v>156</v>
      </c>
      <c r="B12" s="1724">
        <f>'Revenues 9-14'!K5</f>
        <v>29508</v>
      </c>
      <c r="C12" s="1664"/>
      <c r="D12" s="1725">
        <f t="shared" si="0"/>
        <v>29508</v>
      </c>
      <c r="E12" s="1664">
        <v>29853</v>
      </c>
      <c r="F12" s="1725">
        <f t="shared" si="1"/>
        <v>29853</v>
      </c>
    </row>
    <row r="13" spans="1:8" ht="13.7" customHeight="1" x14ac:dyDescent="0.2">
      <c r="A13" s="579" t="s">
        <v>930</v>
      </c>
      <c r="B13" s="1724">
        <f>SUM('Revenues 9-14'!C6:D6)</f>
        <v>29508</v>
      </c>
      <c r="C13" s="1664"/>
      <c r="D13" s="1725">
        <f t="shared" si="0"/>
        <v>29508</v>
      </c>
      <c r="E13" s="1664">
        <v>29853</v>
      </c>
      <c r="F13" s="1725">
        <f t="shared" si="1"/>
        <v>29853</v>
      </c>
    </row>
    <row r="14" spans="1:8" ht="13.7" customHeight="1" x14ac:dyDescent="0.2">
      <c r="A14" s="579" t="s">
        <v>407</v>
      </c>
      <c r="B14" s="1724">
        <f>SUM('Revenues 9-14'!C7:D7,'Revenues 9-14'!F7:H7)</f>
        <v>11803</v>
      </c>
      <c r="C14" s="1664"/>
      <c r="D14" s="1725">
        <f t="shared" si="0"/>
        <v>11803</v>
      </c>
      <c r="E14" s="1664">
        <v>11941</v>
      </c>
      <c r="F14" s="1725">
        <f t="shared" si="1"/>
        <v>11941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154118</v>
      </c>
      <c r="C16" s="1664"/>
      <c r="D16" s="1725">
        <f t="shared" si="0"/>
        <v>154118</v>
      </c>
      <c r="E16" s="1664">
        <v>162498</v>
      </c>
      <c r="F16" s="1725">
        <f t="shared" si="1"/>
        <v>162498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130619</v>
      </c>
      <c r="C18" s="1664"/>
      <c r="D18" s="1725">
        <f t="shared" si="0"/>
        <v>130619</v>
      </c>
      <c r="E18" s="1664"/>
      <c r="F18" s="1725">
        <f t="shared" si="1"/>
        <v>0</v>
      </c>
    </row>
    <row r="19" spans="1:6" ht="13.7" customHeight="1" thickBot="1" x14ac:dyDescent="0.25">
      <c r="A19" s="1432" t="s">
        <v>1151</v>
      </c>
      <c r="B19" s="1726">
        <f>SUM(B4:B18)</f>
        <v>1830543</v>
      </c>
      <c r="C19" s="1726">
        <f>SUM(C4:C18)</f>
        <v>0</v>
      </c>
      <c r="D19" s="1726">
        <f>SUM(D4:D18)</f>
        <v>1830543</v>
      </c>
      <c r="E19" s="1726">
        <f>SUM(E4:E18)</f>
        <v>1728692</v>
      </c>
      <c r="F19" s="1726">
        <f>SUM(F4:F18)</f>
        <v>1728692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46" right="0.15" top="1.47" bottom="0.65" header="0.84" footer="0.28999999999999998"/>
  <pageSetup firstPageNumber="48" orientation="landscape" useFirstPageNumber="1" r:id="rId1"/>
  <headerFooter alignWithMargins="0">
    <oddHeader>&amp;C Fairfield Public School District 112</oddHeader>
    <oddFooter>&amp;C&amp;11-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6"/>
      <c r="D4" s="1656"/>
      <c r="E4" s="1656"/>
      <c r="F4" s="1732">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0" t="s">
        <v>627</v>
      </c>
      <c r="B15" s="2301"/>
      <c r="C15" s="1732">
        <f>SUM(C6:C14)</f>
        <v>0</v>
      </c>
      <c r="D15" s="1732">
        <f>SUM(D6:D14)</f>
        <v>0</v>
      </c>
      <c r="E15" s="1732">
        <f>SUM(E6:E14)</f>
        <v>0</v>
      </c>
      <c r="F15" s="1732">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3"/>
      <c r="D17" s="1664"/>
      <c r="E17" s="1733"/>
      <c r="F17" s="1732">
        <f>SUM(C17+D17)-E17</f>
        <v>0</v>
      </c>
    </row>
    <row r="18" spans="1:11" ht="12.75" customHeight="1" thickTop="1" thickBot="1" x14ac:dyDescent="0.25">
      <c r="A18" s="2295" t="s">
        <v>6</v>
      </c>
      <c r="B18" s="2296"/>
      <c r="C18" s="1733"/>
      <c r="D18" s="1664"/>
      <c r="E18" s="1733"/>
      <c r="F18" s="1732">
        <f>SUM(C18+D18)-E18</f>
        <v>0</v>
      </c>
    </row>
    <row r="19" spans="1:11" ht="12.75" customHeight="1" thickTop="1" thickBot="1" x14ac:dyDescent="0.25">
      <c r="A19" s="2295" t="s">
        <v>385</v>
      </c>
      <c r="B19" s="2296"/>
      <c r="C19" s="1733"/>
      <c r="D19" s="1664"/>
      <c r="E19" s="1733"/>
      <c r="F19" s="1732">
        <f>SUM(C19+D19)-E19</f>
        <v>0</v>
      </c>
    </row>
    <row r="20" spans="1:11" ht="12.75" customHeight="1" thickTop="1" thickBot="1" x14ac:dyDescent="0.25">
      <c r="A20" s="2295" t="s">
        <v>445</v>
      </c>
      <c r="B20" s="2296"/>
      <c r="C20" s="1733"/>
      <c r="D20" s="1664"/>
      <c r="E20" s="1733"/>
      <c r="F20" s="1732">
        <f>SUM(C20+D20)-E20</f>
        <v>0</v>
      </c>
    </row>
    <row r="21" spans="1:11" ht="14.25" thickTop="1" thickBot="1" x14ac:dyDescent="0.25">
      <c r="A21" s="2300" t="s">
        <v>628</v>
      </c>
      <c r="B21" s="2301"/>
      <c r="C21" s="1732">
        <f>SUM(C17:C20)</f>
        <v>0</v>
      </c>
      <c r="D21" s="1732">
        <f>SUM(D17:D20)</f>
        <v>0</v>
      </c>
      <c r="E21" s="1732">
        <f>SUM(E17:E20)</f>
        <v>0</v>
      </c>
      <c r="F21" s="1732">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6"/>
      <c r="D23" s="1656"/>
      <c r="E23" s="1656"/>
      <c r="F23" s="1732">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6"/>
      <c r="D25" s="1656"/>
      <c r="E25" s="1656"/>
      <c r="F25" s="1732">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4"/>
      <c r="D27" s="1664"/>
      <c r="E27" s="1664"/>
      <c r="F27" s="1732">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40520</v>
      </c>
      <c r="C31" s="1734">
        <v>2700000</v>
      </c>
      <c r="D31" s="1735">
        <v>6</v>
      </c>
      <c r="E31" s="1734">
        <v>2275000</v>
      </c>
      <c r="F31" s="1734"/>
      <c r="G31" s="1734"/>
      <c r="H31" s="1734">
        <v>155000</v>
      </c>
      <c r="I31" s="1736">
        <f>((E31+F31)-H31)+G31</f>
        <v>2120000</v>
      </c>
      <c r="J31" s="1734">
        <v>2088974</v>
      </c>
      <c r="K31" s="596"/>
    </row>
    <row r="32" spans="1:11" ht="12" customHeight="1" x14ac:dyDescent="0.2">
      <c r="A32" s="594" t="s">
        <v>2068</v>
      </c>
      <c r="B32" s="595">
        <v>42426</v>
      </c>
      <c r="C32" s="1734">
        <v>287900</v>
      </c>
      <c r="D32" s="1735">
        <v>3</v>
      </c>
      <c r="E32" s="1734">
        <v>67250</v>
      </c>
      <c r="F32" s="1734"/>
      <c r="G32" s="1734"/>
      <c r="H32" s="1734">
        <v>67250</v>
      </c>
      <c r="I32" s="1736">
        <f>((E32+F32)-H32)+G32</f>
        <v>0</v>
      </c>
      <c r="J32" s="1734"/>
      <c r="K32" s="596"/>
    </row>
    <row r="33" spans="1:11" ht="12" customHeight="1" x14ac:dyDescent="0.2">
      <c r="A33" s="594" t="s">
        <v>2069</v>
      </c>
      <c r="B33" s="595">
        <v>42870</v>
      </c>
      <c r="C33" s="1734">
        <v>171914</v>
      </c>
      <c r="D33" s="1735">
        <v>7</v>
      </c>
      <c r="E33" s="1734">
        <v>115496</v>
      </c>
      <c r="F33" s="1734"/>
      <c r="G33" s="1734"/>
      <c r="H33" s="1734">
        <v>27803</v>
      </c>
      <c r="I33" s="1736">
        <f t="shared" ref="I33:I48" si="1">((E33+F33)-H33)+G33</f>
        <v>87693</v>
      </c>
      <c r="J33" s="1734">
        <v>87693</v>
      </c>
      <c r="K33" s="596"/>
    </row>
    <row r="34" spans="1:11" ht="12" customHeight="1" x14ac:dyDescent="0.2">
      <c r="A34" s="594" t="s">
        <v>2070</v>
      </c>
      <c r="B34" s="595">
        <v>42870</v>
      </c>
      <c r="C34" s="1734">
        <v>69856</v>
      </c>
      <c r="D34" s="1735">
        <v>7</v>
      </c>
      <c r="E34" s="1734">
        <v>44854</v>
      </c>
      <c r="F34" s="1734"/>
      <c r="G34" s="1734"/>
      <c r="H34" s="1734">
        <v>12351</v>
      </c>
      <c r="I34" s="1736">
        <f t="shared" si="1"/>
        <v>32503</v>
      </c>
      <c r="J34" s="1734">
        <v>32503</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3229670</v>
      </c>
      <c r="D49" s="1742"/>
      <c r="E49" s="1736">
        <f t="shared" ref="E49:J49" si="2">SUM(E31:E48)</f>
        <v>2502600</v>
      </c>
      <c r="F49" s="1736">
        <f t="shared" si="2"/>
        <v>0</v>
      </c>
      <c r="G49" s="1736">
        <f t="shared" si="2"/>
        <v>0</v>
      </c>
      <c r="H49" s="1736">
        <f t="shared" si="2"/>
        <v>262404</v>
      </c>
      <c r="I49" s="1736">
        <f t="shared" si="2"/>
        <v>2240196</v>
      </c>
      <c r="J49" s="1736">
        <f t="shared" si="2"/>
        <v>2209170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t="s">
        <v>2071</v>
      </c>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36" right="0.15" top="0.62" bottom="0.39" header="0.32" footer="0.2"/>
  <pageSetup scale="73" firstPageNumber="49" fitToHeight="0" orientation="landscape" useFirstPageNumber="1" r:id="rId1"/>
  <headerFooter alignWithMargins="0">
    <oddHeader>&amp;C Fairfield Public School District 112</oddHeader>
    <oddFooter>&amp;C&amp;14-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8"/>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4"/>
      <c r="H3" s="1744"/>
      <c r="I3" s="1744"/>
      <c r="J3" s="1745"/>
      <c r="K3" s="1745"/>
    </row>
    <row r="4" spans="1:11" x14ac:dyDescent="0.2">
      <c r="A4" s="2343" t="s">
        <v>366</v>
      </c>
      <c r="B4" s="2344"/>
      <c r="C4" s="2344"/>
      <c r="D4" s="2344"/>
      <c r="E4" s="2290"/>
      <c r="F4" s="620"/>
      <c r="G4" s="1746"/>
      <c r="H4" s="1747"/>
      <c r="I4" s="1746"/>
      <c r="J4" s="1748"/>
      <c r="K4" s="1748"/>
    </row>
    <row r="5" spans="1:11" x14ac:dyDescent="0.2">
      <c r="A5" s="2321" t="s">
        <v>1060</v>
      </c>
      <c r="B5" s="2322"/>
      <c r="C5" s="2322"/>
      <c r="D5" s="2322"/>
      <c r="E5" s="2323"/>
      <c r="F5" s="622" t="s">
        <v>843</v>
      </c>
      <c r="G5" s="1749"/>
      <c r="H5" s="1744">
        <v>11863</v>
      </c>
      <c r="I5" s="1750"/>
      <c r="J5" s="1751"/>
      <c r="K5" s="1751"/>
    </row>
    <row r="6" spans="1:11" x14ac:dyDescent="0.2">
      <c r="A6" s="625" t="s">
        <v>715</v>
      </c>
      <c r="B6" s="626"/>
      <c r="C6" s="626"/>
      <c r="D6" s="626"/>
      <c r="E6" s="627"/>
      <c r="F6" s="628" t="s">
        <v>844</v>
      </c>
      <c r="G6" s="1744"/>
      <c r="H6" s="1744">
        <v>9</v>
      </c>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1" t="s">
        <v>1790</v>
      </c>
      <c r="B10" s="2322"/>
      <c r="C10" s="2322"/>
      <c r="D10" s="2322"/>
      <c r="E10" s="2324"/>
      <c r="F10" s="633" t="s">
        <v>857</v>
      </c>
      <c r="G10" s="1753"/>
      <c r="H10" s="1754">
        <v>13705</v>
      </c>
      <c r="I10" s="1744"/>
      <c r="J10" s="1745"/>
      <c r="K10" s="1745"/>
    </row>
    <row r="11" spans="1:11" x14ac:dyDescent="0.2">
      <c r="A11" s="2321" t="s">
        <v>159</v>
      </c>
      <c r="B11" s="2322"/>
      <c r="C11" s="2322"/>
      <c r="D11" s="2322"/>
      <c r="E11" s="2323"/>
      <c r="F11" s="622" t="s">
        <v>847</v>
      </c>
      <c r="G11" s="1749"/>
      <c r="H11" s="1744"/>
      <c r="I11" s="1744"/>
      <c r="J11" s="1745"/>
      <c r="K11" s="1751"/>
    </row>
    <row r="12" spans="1:11" ht="13.5" thickBot="1" x14ac:dyDescent="0.25">
      <c r="A12" s="2348" t="s">
        <v>899</v>
      </c>
      <c r="B12" s="2349"/>
      <c r="C12" s="2349"/>
      <c r="D12" s="2349"/>
      <c r="E12" s="2350"/>
      <c r="F12" s="1433"/>
      <c r="G12" s="1755">
        <f>SUM(G5:G11)</f>
        <v>0</v>
      </c>
      <c r="H12" s="1755">
        <f>SUM(H5:H11)</f>
        <v>25577</v>
      </c>
      <c r="I12" s="1755">
        <f>SUM(I5:I11)</f>
        <v>0</v>
      </c>
      <c r="J12" s="1755">
        <f>SUM(J5:J11)</f>
        <v>0</v>
      </c>
      <c r="K12" s="1755">
        <f>SUM(K5:K11)</f>
        <v>0</v>
      </c>
    </row>
    <row r="13" spans="1:11" ht="13.5" thickTop="1" x14ac:dyDescent="0.2">
      <c r="A13" s="2345" t="s">
        <v>367</v>
      </c>
      <c r="B13" s="2346"/>
      <c r="C13" s="2346"/>
      <c r="D13" s="2346"/>
      <c r="E13" s="2347"/>
      <c r="F13" s="634"/>
      <c r="G13" s="1756"/>
      <c r="H13" s="1757"/>
      <c r="I13" s="1758"/>
      <c r="J13" s="1758"/>
      <c r="K13" s="1758"/>
    </row>
    <row r="14" spans="1:11" x14ac:dyDescent="0.2">
      <c r="A14" s="2328" t="s">
        <v>453</v>
      </c>
      <c r="B14" s="2328"/>
      <c r="C14" s="2328"/>
      <c r="D14" s="2328"/>
      <c r="E14" s="2329"/>
      <c r="F14" s="635" t="s">
        <v>849</v>
      </c>
      <c r="G14" s="1753"/>
      <c r="H14" s="1744">
        <v>25577</v>
      </c>
      <c r="I14" s="1749"/>
      <c r="J14" s="1751"/>
      <c r="K14" s="1745"/>
    </row>
    <row r="15" spans="1:11" x14ac:dyDescent="0.2">
      <c r="A15" s="2322" t="s">
        <v>4</v>
      </c>
      <c r="B15" s="2322"/>
      <c r="C15" s="2322"/>
      <c r="D15" s="2322"/>
      <c r="E15" s="2323"/>
      <c r="F15" s="635" t="s">
        <v>850</v>
      </c>
      <c r="G15" s="1749"/>
      <c r="H15" s="1744"/>
      <c r="I15" s="1744"/>
      <c r="J15" s="1745"/>
      <c r="K15" s="1745"/>
    </row>
    <row r="16" spans="1:11" x14ac:dyDescent="0.2">
      <c r="A16" s="2322" t="s">
        <v>295</v>
      </c>
      <c r="B16" s="2322"/>
      <c r="C16" s="2322"/>
      <c r="D16" s="2322"/>
      <c r="E16" s="2323"/>
      <c r="F16" s="635" t="s">
        <v>917</v>
      </c>
      <c r="G16" s="1750"/>
      <c r="H16" s="1746"/>
      <c r="I16" s="1746"/>
      <c r="J16" s="1748"/>
      <c r="K16" s="1748"/>
    </row>
    <row r="17" spans="1:15" x14ac:dyDescent="0.2">
      <c r="A17" s="2355" t="s">
        <v>929</v>
      </c>
      <c r="B17" s="2355"/>
      <c r="C17" s="2355"/>
      <c r="D17" s="2355"/>
      <c r="E17" s="2356"/>
      <c r="F17" s="636"/>
      <c r="G17" s="1759"/>
      <c r="H17" s="1760"/>
      <c r="I17" s="1760"/>
      <c r="J17" s="1761"/>
      <c r="K17" s="1762"/>
    </row>
    <row r="18" spans="1:15" x14ac:dyDescent="0.2">
      <c r="A18" s="2332" t="s">
        <v>365</v>
      </c>
      <c r="B18" s="2333"/>
      <c r="C18" s="2333"/>
      <c r="D18" s="2333"/>
      <c r="E18" s="2334"/>
      <c r="F18" s="635" t="s">
        <v>926</v>
      </c>
      <c r="G18" s="1753"/>
      <c r="H18" s="1753"/>
      <c r="I18" s="1753"/>
      <c r="J18" s="1745"/>
      <c r="K18" s="1763"/>
    </row>
    <row r="19" spans="1:15" ht="21.75" customHeight="1" x14ac:dyDescent="0.2">
      <c r="A19" s="2330" t="s">
        <v>1786</v>
      </c>
      <c r="B19" s="2330"/>
      <c r="C19" s="2330"/>
      <c r="D19" s="2330"/>
      <c r="E19" s="2331"/>
      <c r="F19" s="635" t="s">
        <v>927</v>
      </c>
      <c r="G19" s="1753"/>
      <c r="H19" s="1753"/>
      <c r="I19" s="1753"/>
      <c r="J19" s="1745"/>
      <c r="K19" s="1763"/>
    </row>
    <row r="20" spans="1:15" x14ac:dyDescent="0.2">
      <c r="A20" s="2332" t="s">
        <v>1791</v>
      </c>
      <c r="B20" s="2333"/>
      <c r="C20" s="2333"/>
      <c r="D20" s="2333"/>
      <c r="E20" s="2334"/>
      <c r="F20" s="635" t="s">
        <v>928</v>
      </c>
      <c r="G20" s="1753"/>
      <c r="H20" s="1753"/>
      <c r="I20" s="1753"/>
      <c r="J20" s="1745"/>
      <c r="K20" s="1763"/>
    </row>
    <row r="21" spans="1:15" ht="13.5" thickBot="1" x14ac:dyDescent="0.25">
      <c r="A21" s="2351" t="s">
        <v>633</v>
      </c>
      <c r="B21" s="2351"/>
      <c r="C21" s="2351"/>
      <c r="D21" s="2351"/>
      <c r="E21" s="2351"/>
      <c r="F21" s="1434"/>
      <c r="G21" s="1760"/>
      <c r="H21" s="1764"/>
      <c r="I21" s="1764"/>
      <c r="J21" s="1765">
        <f>SUM(J18:J20)</f>
        <v>0</v>
      </c>
      <c r="K21" s="1761"/>
    </row>
    <row r="22" spans="1:15" ht="13.5" thickTop="1" x14ac:dyDescent="0.2">
      <c r="A22" s="2322" t="s">
        <v>1792</v>
      </c>
      <c r="B22" s="2322"/>
      <c r="C22" s="2322"/>
      <c r="D22" s="2322"/>
      <c r="E22" s="2323"/>
      <c r="F22" s="635" t="s">
        <v>857</v>
      </c>
      <c r="G22" s="1753"/>
      <c r="H22" s="1744"/>
      <c r="I22" s="1744"/>
      <c r="J22" s="1766"/>
      <c r="K22" s="1745"/>
    </row>
    <row r="23" spans="1:15" ht="13.5" thickBot="1" x14ac:dyDescent="0.25">
      <c r="A23" s="2352" t="s">
        <v>900</v>
      </c>
      <c r="B23" s="2351"/>
      <c r="C23" s="2351"/>
      <c r="D23" s="2351"/>
      <c r="E23" s="2351"/>
      <c r="F23" s="1436"/>
      <c r="G23" s="1755">
        <f>SUM(G14:G16,G21,G22)</f>
        <v>0</v>
      </c>
      <c r="H23" s="1755">
        <f>SUM(H14:H16,H21,H22)</f>
        <v>25577</v>
      </c>
      <c r="I23" s="1755">
        <f>SUM(I14:I16,I21,I22)</f>
        <v>0</v>
      </c>
      <c r="J23" s="1755">
        <f>SUM(J14:J16,J21,J22)</f>
        <v>0</v>
      </c>
      <c r="K23" s="1755">
        <f>SUM(K14:K16,K21,K22)</f>
        <v>0</v>
      </c>
      <c r="M23" s="1846"/>
      <c r="N23" s="1846"/>
      <c r="O23" s="1846"/>
    </row>
    <row r="24" spans="1:15" ht="14.25" thickTop="1" thickBot="1" x14ac:dyDescent="0.25">
      <c r="A24" s="2353" t="str">
        <f>"Ending Cash Basis Fund Balance as of June 30, "&amp;'AFR20'!E2</f>
        <v>Ending Cash Basis Fund Balance as of June 30, 2020</v>
      </c>
      <c r="B24" s="2354"/>
      <c r="C24" s="2354"/>
      <c r="D24" s="2354"/>
      <c r="E24" s="235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48" right="0.17" top="0.68" bottom="0.4" header="0.21" footer="0.2"/>
  <pageSetup scale="82" firstPageNumber="50" orientation="landscape" useFirstPageNumber="1" r:id="rId1"/>
  <headerFooter>
    <oddHeader xml:space="preserve">&amp;C&amp;"Arial,Bold" Fairfield Public School District 112
Schedule of Restricted Local Tax Levies and Selected Revenues Sources 
Schedule of Tort Immunity Expenditures </oddHeader>
    <oddFooter>&amp;C&amp;12-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157600</v>
      </c>
      <c r="D5" s="1770"/>
      <c r="E5" s="1770"/>
      <c r="F5" s="1765">
        <f>(C5+D5)-E5</f>
        <v>157600</v>
      </c>
      <c r="G5" s="676"/>
      <c r="H5" s="680"/>
      <c r="I5" s="680"/>
      <c r="J5" s="680"/>
      <c r="K5" s="637"/>
      <c r="L5" s="1442">
        <f>F5-K5</f>
        <v>157600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11871844</v>
      </c>
      <c r="D8" s="1771">
        <v>46400</v>
      </c>
      <c r="E8" s="1771"/>
      <c r="F8" s="1765">
        <f>(C8+D8)-E8</f>
        <v>11918244</v>
      </c>
      <c r="G8" s="681">
        <v>50</v>
      </c>
      <c r="H8" s="619">
        <v>3201844</v>
      </c>
      <c r="I8" s="619">
        <v>221767</v>
      </c>
      <c r="J8" s="619"/>
      <c r="K8" s="1442">
        <f>(H8+I8)-J8</f>
        <v>3423611</v>
      </c>
      <c r="L8" s="1442">
        <f>F8-K8</f>
        <v>8494633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115284</v>
      </c>
      <c r="D10" s="1772"/>
      <c r="E10" s="1772"/>
      <c r="F10" s="1773">
        <f>(C10+D10)-E10</f>
        <v>115284</v>
      </c>
      <c r="G10" s="681">
        <v>20</v>
      </c>
      <c r="H10" s="683">
        <v>103761</v>
      </c>
      <c r="I10" s="683">
        <v>1500</v>
      </c>
      <c r="J10" s="683"/>
      <c r="K10" s="1442">
        <f>(H10+I10)-J10</f>
        <v>105261</v>
      </c>
      <c r="L10" s="1442">
        <f>F10-K10</f>
        <v>10023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961605</v>
      </c>
      <c r="D12" s="1771">
        <v>51533</v>
      </c>
      <c r="E12" s="1771">
        <v>60543</v>
      </c>
      <c r="F12" s="1765">
        <f>(C12+D12)-E12</f>
        <v>952595</v>
      </c>
      <c r="G12" s="681">
        <v>10</v>
      </c>
      <c r="H12" s="619">
        <v>560487</v>
      </c>
      <c r="I12" s="619">
        <v>83361</v>
      </c>
      <c r="J12" s="619">
        <v>60543</v>
      </c>
      <c r="K12" s="1442">
        <f>(H12+I12)-J12</f>
        <v>583305</v>
      </c>
      <c r="L12" s="1442">
        <f>F12-K12</f>
        <v>369290</v>
      </c>
    </row>
    <row r="13" spans="1:14" ht="14.25" thickTop="1" thickBot="1" x14ac:dyDescent="0.25">
      <c r="A13" s="684" t="s">
        <v>1112</v>
      </c>
      <c r="B13" s="679">
        <v>252</v>
      </c>
      <c r="C13" s="1771">
        <v>787254</v>
      </c>
      <c r="D13" s="1771"/>
      <c r="E13" s="1771"/>
      <c r="F13" s="1765">
        <f>(C13+D13)-E13</f>
        <v>787254</v>
      </c>
      <c r="G13" s="681">
        <v>5</v>
      </c>
      <c r="H13" s="619">
        <v>594531</v>
      </c>
      <c r="I13" s="619">
        <v>42243</v>
      </c>
      <c r="J13" s="619"/>
      <c r="K13" s="1442">
        <f>(H13+I13)-J13</f>
        <v>636774</v>
      </c>
      <c r="L13" s="1442">
        <f>F13-K13</f>
        <v>150480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13893587</v>
      </c>
      <c r="D16" s="1765">
        <f>SUM(D3,D5:D6,D8:D10,D12:D15)</f>
        <v>97933</v>
      </c>
      <c r="E16" s="1765">
        <f>SUM(E3,E5:E6,E8:E10,E12:E15)</f>
        <v>60543</v>
      </c>
      <c r="F16" s="1765">
        <f>SUM(F3,F5:F6,F8:F10,F12:F15)</f>
        <v>13930977</v>
      </c>
      <c r="G16" s="681"/>
      <c r="H16" s="1435">
        <f>SUM(H3,H6,H8:H10,H12:H14,)</f>
        <v>4460623</v>
      </c>
      <c r="I16" s="1435">
        <f>SUM(I3,I6,I8:I10,I12:I14,)</f>
        <v>348871</v>
      </c>
      <c r="J16" s="1435">
        <f>SUM(J3,J6,J8:J10,J12:J14,)</f>
        <v>60543</v>
      </c>
      <c r="K16" s="1435">
        <f>(H16+I16)-J16</f>
        <v>4748951</v>
      </c>
      <c r="L16" s="1435">
        <f>F16-K16</f>
        <v>9182026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348871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37" right="0.17" top="1.1000000000000001" bottom="0.66" header="0.66" footer="0.33"/>
  <pageSetup scale="80" firstPageNumber="51" orientation="landscape" useFirstPageNumber="1" r:id="rId1"/>
  <headerFooter alignWithMargins="0">
    <oddHeader>&amp;C  Fairfield Public School District 112</oddHeader>
    <oddFooter>&amp;C&amp;14-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2" colorId="8" zoomScale="110" zoomScaleNormal="110" workbookViewId="0">
      <selection activeCell="F182" sqref="F18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5416956</v>
      </c>
      <c r="G8" s="701"/>
    </row>
    <row r="9" spans="1:9" x14ac:dyDescent="0.2">
      <c r="A9" s="705" t="s">
        <v>457</v>
      </c>
      <c r="B9" s="706" t="s">
        <v>1848</v>
      </c>
      <c r="C9" s="707"/>
      <c r="D9" s="705" t="s">
        <v>498</v>
      </c>
      <c r="E9" s="704"/>
      <c r="F9" s="1775">
        <f>'Expenditures 15-22'!K151</f>
        <v>252770</v>
      </c>
      <c r="G9" s="708"/>
    </row>
    <row r="10" spans="1:9" x14ac:dyDescent="0.2">
      <c r="A10" s="705" t="s">
        <v>496</v>
      </c>
      <c r="B10" s="706" t="s">
        <v>1849</v>
      </c>
      <c r="C10" s="707"/>
      <c r="D10" s="705" t="s">
        <v>498</v>
      </c>
      <c r="E10" s="704"/>
      <c r="F10" s="1775">
        <f>'Expenditures 15-22'!K174</f>
        <v>339169</v>
      </c>
      <c r="G10" s="708"/>
    </row>
    <row r="11" spans="1:9" x14ac:dyDescent="0.2">
      <c r="A11" s="705" t="s">
        <v>458</v>
      </c>
      <c r="B11" s="706" t="s">
        <v>1850</v>
      </c>
      <c r="C11" s="707"/>
      <c r="D11" s="705" t="s">
        <v>498</v>
      </c>
      <c r="E11" s="704"/>
      <c r="F11" s="1775">
        <f>'Expenditures 15-22'!K210</f>
        <v>263511</v>
      </c>
      <c r="G11" s="708"/>
    </row>
    <row r="12" spans="1:9" x14ac:dyDescent="0.2">
      <c r="A12" s="705" t="s">
        <v>459</v>
      </c>
      <c r="B12" s="706" t="s">
        <v>1851</v>
      </c>
      <c r="C12" s="707"/>
      <c r="D12" s="705" t="s">
        <v>498</v>
      </c>
      <c r="E12" s="704"/>
      <c r="F12" s="1775">
        <f>'Expenditures 15-22'!K295</f>
        <v>239682</v>
      </c>
      <c r="G12" s="708"/>
    </row>
    <row r="13" spans="1:9" x14ac:dyDescent="0.2">
      <c r="A13" s="705" t="s">
        <v>106</v>
      </c>
      <c r="B13" s="706" t="s">
        <v>1852</v>
      </c>
      <c r="C13" s="707"/>
      <c r="D13" s="705" t="s">
        <v>498</v>
      </c>
      <c r="E13" s="704"/>
      <c r="F13" s="1775">
        <f>'Expenditures 15-22'!K342</f>
        <v>234820</v>
      </c>
      <c r="G13" s="709"/>
    </row>
    <row r="14" spans="1:9" ht="12" customHeight="1" thickBot="1" x14ac:dyDescent="0.25">
      <c r="A14" s="1443"/>
      <c r="B14" s="1444"/>
      <c r="C14" s="1445"/>
      <c r="D14" s="1446" t="s">
        <v>498</v>
      </c>
      <c r="E14" s="1447" t="s">
        <v>952</v>
      </c>
      <c r="F14" s="1776">
        <f>SUM(F8:F13)</f>
        <v>6746908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1450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2520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29806</v>
      </c>
      <c r="G52" s="701"/>
    </row>
    <row r="53" spans="1:7" x14ac:dyDescent="0.2">
      <c r="A53" s="705" t="s">
        <v>456</v>
      </c>
      <c r="B53" s="705" t="s">
        <v>1458</v>
      </c>
      <c r="C53" s="724">
        <f>'Expenditures 15-22'!B102</f>
        <v>4000</v>
      </c>
      <c r="D53" s="723" t="str">
        <f>'Expenditures 15-22'!A102</f>
        <v>Total Payments to Other Govt Units</v>
      </c>
      <c r="E53" s="704"/>
      <c r="F53" s="1782">
        <f>'Expenditures 15-22'!K102</f>
        <v>216681</v>
      </c>
      <c r="G53" s="701"/>
    </row>
    <row r="54" spans="1:7" x14ac:dyDescent="0.2">
      <c r="A54" s="705" t="s">
        <v>456</v>
      </c>
      <c r="B54" s="705" t="s">
        <v>1459</v>
      </c>
      <c r="C54" s="724" t="s">
        <v>975</v>
      </c>
      <c r="D54" s="720" t="s">
        <v>1086</v>
      </c>
      <c r="E54" s="704"/>
      <c r="F54" s="1782">
        <f>'Expenditures 15-22'!G114</f>
        <v>43661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7872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222250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40154</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329</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564723</v>
      </c>
      <c r="G77" s="701"/>
    </row>
    <row r="78" spans="1:9" s="728" customFormat="1" ht="12" customHeight="1" thickTop="1" thickBot="1" x14ac:dyDescent="0.25">
      <c r="A78" s="1450"/>
      <c r="B78" s="1448"/>
      <c r="C78" s="1445"/>
      <c r="D78" s="1449" t="s">
        <v>2012</v>
      </c>
      <c r="E78" s="1447"/>
      <c r="F78" s="1788">
        <f>(F14-F77)</f>
        <v>6182185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552.5</v>
      </c>
      <c r="G79" s="733"/>
      <c r="H79" s="705"/>
      <c r="I79" s="705"/>
    </row>
    <row r="80" spans="1:9" s="728" customFormat="1" ht="12" customHeight="1" thickBot="1" x14ac:dyDescent="0.25">
      <c r="A80" s="1452"/>
      <c r="B80" s="1448"/>
      <c r="C80" s="1445"/>
      <c r="D80" s="1449" t="s">
        <v>2013</v>
      </c>
      <c r="E80" s="1447" t="s">
        <v>952</v>
      </c>
      <c r="F80" s="1790">
        <f>IF(F79&gt;0,F78/F79," Complete Line 79")</f>
        <v>11189.475113122173</v>
      </c>
      <c r="G80" s="705"/>
    </row>
    <row r="81" spans="1:7" s="728" customFormat="1" ht="8.25" customHeight="1" thickTop="1" x14ac:dyDescent="0.2">
      <c r="A81" s="734"/>
      <c r="B81" s="705"/>
      <c r="C81" s="707"/>
      <c r="D81" s="735"/>
      <c r="E81" s="704"/>
      <c r="F81" s="1791"/>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1880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15</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45997</v>
      </c>
      <c r="G95" s="745"/>
    </row>
    <row r="96" spans="1:7" x14ac:dyDescent="0.2">
      <c r="A96" s="741" t="s">
        <v>139</v>
      </c>
      <c r="B96" s="741" t="s">
        <v>174</v>
      </c>
      <c r="C96" s="743">
        <v>1700</v>
      </c>
      <c r="D96" s="751" t="str">
        <f>'Revenues 9-14'!A82</f>
        <v>Total District/School Activity Income</v>
      </c>
      <c r="E96" s="739"/>
      <c r="F96" s="1793">
        <f>SUM('Revenues 9-14'!C82,'Revenues 9-14'!D82)</f>
        <v>8519</v>
      </c>
      <c r="G96" s="745"/>
    </row>
    <row r="97" spans="1:7" x14ac:dyDescent="0.2">
      <c r="A97" s="741" t="s">
        <v>456</v>
      </c>
      <c r="B97" s="741" t="s">
        <v>175</v>
      </c>
      <c r="C97" s="743">
        <f>'Revenues 9-14'!B84</f>
        <v>1811</v>
      </c>
      <c r="D97" s="744" t="str">
        <f>'Revenues 9-14'!A84</f>
        <v>Rentals - Regular Textbooks</v>
      </c>
      <c r="E97" s="739"/>
      <c r="F97" s="1793">
        <f>'Revenues 9-14'!C84</f>
        <v>10160</v>
      </c>
      <c r="G97" s="745"/>
    </row>
    <row r="98" spans="1:7" x14ac:dyDescent="0.2">
      <c r="A98" s="741" t="s">
        <v>456</v>
      </c>
      <c r="B98" s="741" t="s">
        <v>176</v>
      </c>
      <c r="C98" s="743">
        <f>'Revenues 9-14'!B87</f>
        <v>1819</v>
      </c>
      <c r="D98" s="744" t="str">
        <f>'Revenues 9-14'!A87</f>
        <v>Rentals - Other (Describe &amp; Itemize)</v>
      </c>
      <c r="E98" s="739"/>
      <c r="F98" s="1793">
        <f>'Revenues 9-14'!C87</f>
        <v>3609</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3320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13705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592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2629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144323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15701</v>
      </c>
      <c r="G125" s="763"/>
    </row>
    <row r="126" spans="1:7" x14ac:dyDescent="0.2">
      <c r="A126" s="760" t="s">
        <v>659</v>
      </c>
      <c r="B126" s="760" t="s">
        <v>1930</v>
      </c>
      <c r="C126" s="765">
        <v>4200</v>
      </c>
      <c r="D126" s="762" t="str">
        <f>'Revenues 9-14'!A198</f>
        <v>Total Food Service</v>
      </c>
      <c r="E126" s="739"/>
      <c r="F126" s="1793">
        <f>SUM('Revenues 9-14'!C198,'Revenues 9-14'!G198)</f>
        <v>236914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275375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15865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80883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499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21887</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21887</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43868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4043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78351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260559</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1269444</v>
      </c>
    </row>
    <row r="176" spans="1:7" ht="12" customHeight="1" x14ac:dyDescent="0.2">
      <c r="A176" s="1443"/>
      <c r="B176" s="1453"/>
      <c r="C176" s="1454"/>
      <c r="D176" s="1455" t="s">
        <v>2014</v>
      </c>
      <c r="E176" s="1456"/>
      <c r="F176" s="1793">
        <f>'PCTC-OEPP 27-28'!F78-F175</f>
        <v>4912741</v>
      </c>
    </row>
    <row r="177" spans="1:9" ht="12" customHeight="1" x14ac:dyDescent="0.2">
      <c r="A177" s="1443"/>
      <c r="B177" s="1453"/>
      <c r="C177" s="1454"/>
      <c r="D177" s="1455" t="s">
        <v>1794</v>
      </c>
      <c r="E177" s="1456"/>
      <c r="F177" s="1793">
        <f>'Cap Outlay Deprec 26'!I18</f>
        <v>348871</v>
      </c>
    </row>
    <row r="178" spans="1:9" ht="12" customHeight="1" x14ac:dyDescent="0.2">
      <c r="A178" s="1443"/>
      <c r="B178" s="1453"/>
      <c r="C178" s="1454"/>
      <c r="D178" s="1455" t="s">
        <v>2015</v>
      </c>
      <c r="E178" s="1456"/>
      <c r="F178" s="1793">
        <f>F176+F177</f>
        <v>5261612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552.5</v>
      </c>
      <c r="G179" s="763"/>
      <c r="I179" s="701"/>
    </row>
    <row r="180" spans="1:9" ht="12" customHeight="1" thickBot="1" x14ac:dyDescent="0.25">
      <c r="A180" s="1443"/>
      <c r="B180" s="1457"/>
      <c r="C180" s="1454"/>
      <c r="D180" s="1455" t="s">
        <v>2017</v>
      </c>
      <c r="E180" s="1456" t="s">
        <v>1528</v>
      </c>
      <c r="F180" s="1798">
        <f>F178/F179</f>
        <v>9523.2796380090494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49" right="0.2" top="0.84" bottom="0.63" header="0.53" footer="0.31"/>
  <pageSetup scale="72" firstPageNumber="74" orientation="portrait" useFirstPageNumber="1" r:id="rId2"/>
  <headerFooter differentOddEven="1" alignWithMargins="0">
    <oddHeader>&amp;C  Fairfield Public School District 112</oddHeader>
    <oddFooter>&amp;C&amp;14- &amp;P -</oddFooter>
    <evenHeader>&amp;C Fairfield Public School District 112</evenHeader>
    <evenFooter>&amp;C&amp;14- &amp;P -</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5"/>
  <sheetViews>
    <sheetView showGridLines="0" topLeftCell="A4" zoomScaleNormal="100" workbookViewId="0">
      <selection activeCell="E18" sqref="E18"/>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7" t="s">
        <v>1796</v>
      </c>
      <c r="B6" s="1868"/>
      <c r="C6" s="1869"/>
      <c r="D6" s="1869"/>
      <c r="E6" s="1869"/>
      <c r="F6" s="1870"/>
    </row>
    <row r="7" spans="1:6" ht="47.25" customHeight="1" x14ac:dyDescent="0.25">
      <c r="A7" s="2382" t="s">
        <v>1985</v>
      </c>
      <c r="B7" s="2383"/>
      <c r="C7" s="2383"/>
      <c r="D7" s="2383"/>
      <c r="E7" s="2383"/>
      <c r="F7" s="2384"/>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3" t="s">
        <v>1982</v>
      </c>
      <c r="B12" s="1874"/>
      <c r="C12" s="1875"/>
      <c r="D12" s="1875"/>
      <c r="E12" s="1875"/>
      <c r="F12" s="1876"/>
    </row>
    <row r="13" spans="1:6" ht="17.25" customHeight="1" x14ac:dyDescent="0.25">
      <c r="A13" s="2382" t="s">
        <v>1983</v>
      </c>
      <c r="B13" s="2383"/>
      <c r="C13" s="2383"/>
      <c r="D13" s="2383"/>
      <c r="E13" s="2383"/>
      <c r="F13" s="2384"/>
    </row>
    <row r="14" spans="1:6" ht="15" customHeight="1" x14ac:dyDescent="0.25">
      <c r="A14" s="1873" t="s">
        <v>1800</v>
      </c>
      <c r="B14" s="1874"/>
      <c r="C14" s="1875"/>
      <c r="D14" s="1875"/>
      <c r="E14" s="1875"/>
      <c r="F14" s="1876"/>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2107</v>
      </c>
      <c r="B18" s="1907">
        <v>102560300</v>
      </c>
      <c r="C18" s="2035" t="s">
        <v>2108</v>
      </c>
      <c r="D18" s="1885">
        <v>293623</v>
      </c>
      <c r="E18" s="1905" t="str">
        <f t="shared" ref="E18:E33" si="0">IF(D18&lt;25000,D18,"25,000")</f>
        <v>25,000</v>
      </c>
      <c r="F18" s="1905">
        <f t="shared" ref="F18:F33" si="1">IF(D18&gt;=25000,(D18-E18),"0")</f>
        <v>268623</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8"/>
      <c r="D25" s="1885"/>
      <c r="E25" s="1905">
        <f t="shared" si="0"/>
        <v>0</v>
      </c>
      <c r="F25" s="1905" t="str">
        <f t="shared" si="1"/>
        <v>0</v>
      </c>
    </row>
    <row r="26" spans="1:7" x14ac:dyDescent="0.25">
      <c r="A26" s="1887"/>
      <c r="B26" s="1907"/>
      <c r="C26" s="1888"/>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 si="2">IF(D34&lt;25000,D34,"25,000")</f>
        <v>0</v>
      </c>
      <c r="F34" s="1905" t="str">
        <f t="shared" ref="F34" si="3">IF(D34&gt;=25000,(D34-E34),"0")</f>
        <v>0</v>
      </c>
    </row>
    <row r="35" spans="1:6" x14ac:dyDescent="0.25">
      <c r="A35" s="1889" t="s">
        <v>155</v>
      </c>
      <c r="B35" s="1909"/>
      <c r="C35" s="1890"/>
      <c r="D35" s="1891">
        <f>SUM(D18:D34)</f>
        <v>293623</v>
      </c>
      <c r="E35" s="1892">
        <f>SUM(E18:E34)</f>
        <v>0</v>
      </c>
      <c r="F35" s="1893">
        <f>SUM(F18:F34)</f>
        <v>268623</v>
      </c>
    </row>
  </sheetData>
  <sheetProtection selectLockedCells="1"/>
  <mergeCells count="6">
    <mergeCell ref="A15:F15"/>
    <mergeCell ref="A4:F5"/>
    <mergeCell ref="A7:F7"/>
    <mergeCell ref="A10:F10"/>
    <mergeCell ref="A11:F11"/>
    <mergeCell ref="A13:F13"/>
  </mergeCells>
  <pageMargins left="0.4" right="0.2" top="0.61" bottom="0.25" header="0.33" footer="0.3"/>
  <pageSetup scale="80" firstPageNumber="76" fitToHeight="0" orientation="landscape" useFirstPageNumber="1" r:id="rId1"/>
  <headerFooter>
    <oddHeader>&amp;C Fairfield Public School District 112</oddHeader>
    <oddFooter>&amp;C&amp;14- &amp;P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1007</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1">
        <v>25665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3764431</v>
      </c>
      <c r="F19" s="1802"/>
      <c r="G19" s="1804">
        <f>'Expenditures 15-22'!K33-SUM('Expenditures 15-22'!G33,'Expenditures 15-22'!I33)+'Expenditures 15-22'!D229</f>
        <v>3764431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214132</v>
      </c>
      <c r="F21" s="1805"/>
      <c r="G21" s="1808">
        <f>'Expenditures 15-22'!K42-SUM('Expenditures 15-22'!G42,'Expenditures 15-22'!I42)+'Expenditures 15-22'!K120-SUM('Expenditures 15-22'!G120,'Expenditures 15-22'!I120)+'Expenditures 15-22'!K180-SUM('Expenditures 15-22'!G180,'Expenditures 15-22'!I180)+'Expenditures 15-22'!D238</f>
        <v>214132</v>
      </c>
      <c r="H21" s="817"/>
      <c r="I21" s="157"/>
    </row>
    <row r="22" spans="1:9" s="542" customFormat="1" ht="12" customHeight="1" x14ac:dyDescent="0.2">
      <c r="A22" s="824" t="s">
        <v>560</v>
      </c>
      <c r="B22" s="825"/>
      <c r="C22" s="823">
        <v>2200</v>
      </c>
      <c r="D22" s="1805"/>
      <c r="E22" s="1807">
        <f>'Expenditures 15-22'!K47-SUM('Expenditures 15-22'!G47,'Expenditures 15-22'!I47)+'Expenditures 15-22'!D243</f>
        <v>52519</v>
      </c>
      <c r="F22" s="1805"/>
      <c r="G22" s="1808">
        <f>'Expenditures 15-22'!K47-SUM('Expenditures 15-22'!G47,'Expenditures 15-22'!I47)+'Expenditures 15-22'!D243</f>
        <v>52519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383276</v>
      </c>
      <c r="F23" s="1805"/>
      <c r="G23" s="1807">
        <f>'Expenditures 15-22'!K53-SUM('Expenditures 15-22'!G53,'Expenditures 15-22'!I53)+'Expenditures 15-22'!D257+'Expenditures 15-22'!K330-SUM('Expenditures 15-22'!G330,'Expenditures 15-22'!I330)</f>
        <v>383276</v>
      </c>
      <c r="H23" s="817"/>
      <c r="I23" s="157"/>
    </row>
    <row r="24" spans="1:9" s="542" customFormat="1" ht="12" customHeight="1" x14ac:dyDescent="0.2">
      <c r="A24" s="824" t="s">
        <v>562</v>
      </c>
      <c r="B24" s="825"/>
      <c r="C24" s="823">
        <v>2400</v>
      </c>
      <c r="D24" s="1805"/>
      <c r="E24" s="1807">
        <f>'Expenditures 15-22'!K57-SUM('Expenditures 15-22'!G57,'Expenditures 15-22'!I57)+'Expenditures 15-22'!D261</f>
        <v>397822</v>
      </c>
      <c r="F24" s="1805"/>
      <c r="G24" s="1808">
        <f>'Expenditures 15-22'!K57-SUM('Expenditures 15-22'!G57,'Expenditures 15-22'!I57)+'Expenditures 15-22'!D261</f>
        <v>397822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106365</v>
      </c>
      <c r="E27" s="1807">
        <f>E8</f>
        <v>0</v>
      </c>
      <c r="F27" s="1807">
        <f>'Expenditures 15-22'!K60-SUM('Expenditures 15-22'!G60,'Expenditures 15-22'!I60)+'Expenditures 15-22'!D264-E8</f>
        <v>106365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617791</v>
      </c>
      <c r="F28" s="1809">
        <f>'Expenditures 15-22'!K61-SUM('Expenditures 15-22'!G61,'Expenditures 15-22'!I61)+'Expenditures 15-22'!K124-SUM('Expenditures 15-22'!G124,'Expenditures 15-22'!I124)+'Expenditures 15-22'!D266-E9</f>
        <v>617791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273234</v>
      </c>
      <c r="F29" s="1805"/>
      <c r="G29" s="1808">
        <f>'Expenditures 15-22'!K62-SUM('Expenditures 15-22'!G62,'Expenditures 15-22'!I62)+'Expenditures 15-22'!K125-SUM('Expenditures 15-22'!G125,'Expenditures 15-22'!I125)+'Expenditures 15-22'!K182-SUM('Expenditures 15-22'!G182,'Expenditures 15-22'!I182)+'Expenditures 15-22'!D267</f>
        <v>273234</v>
      </c>
      <c r="H29" s="815"/>
    </row>
    <row r="30" spans="1:9" ht="12" customHeight="1" x14ac:dyDescent="0.2">
      <c r="A30" s="824" t="s">
        <v>100</v>
      </c>
      <c r="B30" s="827"/>
      <c r="C30" s="823">
        <v>2560</v>
      </c>
      <c r="D30" s="1805"/>
      <c r="E30" s="1807">
        <f>'Expenditures 15-22'!K63-SUM('Expenditures 15-22'!G63,'Expenditures 15-22'!I63)+'Expenditures 15-22'!D268-E10</f>
        <v>257055</v>
      </c>
      <c r="F30" s="1805"/>
      <c r="G30" s="1807">
        <f>'Expenditures 15-22'!K63-SUM('Expenditures 15-22'!G63,'Expenditures 15-22'!I63)+'Expenditures 15-22'!D268-E10</f>
        <v>257055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30135</v>
      </c>
      <c r="F39" s="1805"/>
      <c r="G39" s="1807">
        <f>'Expenditures 15-22'!K75-SUM('Expenditures 15-22'!G75,'Expenditures 15-22'!I75)+'Expenditures 15-22'!K130-SUM('Expenditures 15-22'!G130,'Expenditures 15-22'!I130)+'Expenditures 15-22'!K185-SUM('Expenditures 15-22'!G185,'Expenditures 15-22'!I185)+'Expenditures 15-22'!D280</f>
        <v>30135</v>
      </c>
    </row>
    <row r="40" spans="1:7" ht="12" customHeight="1" x14ac:dyDescent="0.2">
      <c r="A40" s="820" t="s">
        <v>1798</v>
      </c>
      <c r="B40" s="821"/>
      <c r="C40" s="823"/>
      <c r="D40" s="1805"/>
      <c r="E40" s="1809">
        <f>-'Contracts Paid in CY 29'!F35</f>
        <v>-268623</v>
      </c>
      <c r="F40" s="1805"/>
      <c r="G40" s="1809">
        <f>-'Contracts Paid in CY 29'!F35</f>
        <v>-268623</v>
      </c>
    </row>
    <row r="41" spans="1:7" ht="12" customHeight="1" x14ac:dyDescent="0.2">
      <c r="A41" s="828" t="s">
        <v>155</v>
      </c>
      <c r="B41" s="829"/>
      <c r="C41" s="830"/>
      <c r="D41" s="1809">
        <f>SUM(D19:D39)</f>
        <v>106365</v>
      </c>
      <c r="E41" s="1809">
        <f>SUM(E19:E40)</f>
        <v>5721772</v>
      </c>
      <c r="F41" s="1809">
        <f>SUM(F19:F39)</f>
        <v>724156</v>
      </c>
      <c r="G41" s="1809">
        <f>SUM(G19:G40)</f>
        <v>5103981</v>
      </c>
    </row>
    <row r="42" spans="1:7" x14ac:dyDescent="0.2">
      <c r="A42" s="817"/>
      <c r="B42" s="157"/>
      <c r="C42" s="831"/>
      <c r="D42" s="2391" t="s">
        <v>519</v>
      </c>
      <c r="E42" s="2392"/>
      <c r="F42" s="832" t="s">
        <v>520</v>
      </c>
      <c r="G42" s="833"/>
    </row>
    <row r="43" spans="1:7" ht="12" customHeight="1" x14ac:dyDescent="0.2">
      <c r="A43" s="817"/>
      <c r="B43" s="157"/>
      <c r="C43" s="831"/>
      <c r="D43" s="1458" t="s">
        <v>470</v>
      </c>
      <c r="E43" s="1810">
        <f>D41</f>
        <v>106365</v>
      </c>
      <c r="F43" s="1458" t="s">
        <v>470</v>
      </c>
      <c r="G43" s="1810">
        <f>F41</f>
        <v>724156</v>
      </c>
    </row>
    <row r="44" spans="1:7" ht="12" customHeight="1" x14ac:dyDescent="0.2">
      <c r="A44" s="817"/>
      <c r="B44" s="157"/>
      <c r="C44" s="831"/>
      <c r="D44" s="1458" t="s">
        <v>471</v>
      </c>
      <c r="E44" s="1810">
        <f>E41</f>
        <v>5721772</v>
      </c>
      <c r="F44" s="1458" t="s">
        <v>471</v>
      </c>
      <c r="G44" s="1810">
        <f>G41</f>
        <v>5103981</v>
      </c>
    </row>
    <row r="45" spans="1:7" ht="12" customHeight="1" x14ac:dyDescent="0.2">
      <c r="A45" s="817"/>
      <c r="B45" s="157"/>
      <c r="C45" s="157"/>
      <c r="D45" s="1459" t="s">
        <v>999</v>
      </c>
      <c r="E45" s="1811">
        <f>(E43/E44)</f>
        <v>1.8589520868709904E-2</v>
      </c>
      <c r="F45" s="1459" t="s">
        <v>999</v>
      </c>
      <c r="G45" s="1811">
        <f>(G43/G44)</f>
        <v>0.14188062220451056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47" header="0.41" footer="0.21"/>
  <pageSetup scale="85" firstPageNumber="77" orientation="landscape" useFirstPageNumber="1" r:id="rId1"/>
  <headerFooter alignWithMargins="0">
    <oddHeader>&amp;C Fairfield Public School District 112</oddHeader>
    <oddFooter>&amp;C&amp;14-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C14" sqref="C1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1363</v>
      </c>
      <c r="B1" s="2410"/>
      <c r="C1" s="2410"/>
      <c r="D1" s="2410"/>
      <c r="E1" s="2410"/>
      <c r="F1" s="241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1" t="s">
        <v>1529</v>
      </c>
      <c r="B5" s="2412"/>
      <c r="C5" s="2413"/>
      <c r="D5" s="2413"/>
      <c r="E5" s="2413"/>
      <c r="F5" s="2413"/>
      <c r="G5" s="1507"/>
      <c r="L5" s="1507"/>
      <c r="M5" s="1855"/>
      <c r="N5" s="1855"/>
      <c r="O5" s="1855"/>
    </row>
    <row r="6" spans="1:15" ht="12" customHeight="1" x14ac:dyDescent="0.25">
      <c r="A6" s="1480"/>
      <c r="B6" s="1481"/>
      <c r="C6" s="2414" t="str">
        <f>COVER!A17</f>
        <v xml:space="preserve">  Fairfield PSD 112</v>
      </c>
      <c r="D6" s="2414"/>
      <c r="E6" s="2414"/>
      <c r="F6" s="1482"/>
      <c r="G6" s="1507"/>
      <c r="L6" s="1507"/>
      <c r="M6" s="1855"/>
      <c r="N6" s="1855"/>
      <c r="O6" s="1855"/>
    </row>
    <row r="7" spans="1:15" ht="11.25" customHeight="1" thickBot="1" x14ac:dyDescent="0.3">
      <c r="A7" s="1480"/>
      <c r="B7" s="1481"/>
      <c r="C7" s="2415">
        <f>COVER!A13</f>
        <v>20096112004</v>
      </c>
      <c r="D7" s="2415"/>
      <c r="E7" s="241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2051</v>
      </c>
      <c r="D13" s="1495" t="s">
        <v>2051</v>
      </c>
      <c r="E13" s="1498" t="s">
        <v>2051</v>
      </c>
      <c r="F13" s="1497" t="s">
        <v>2084</v>
      </c>
      <c r="G13" s="1507"/>
      <c r="H13" s="1507">
        <f t="shared" si="0"/>
        <v>5</v>
      </c>
      <c r="I13" s="1507">
        <f t="shared" si="1"/>
        <v>5</v>
      </c>
      <c r="J13" s="1507">
        <f t="shared" si="2"/>
        <v>5</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t="s">
        <v>2051</v>
      </c>
      <c r="F26" s="1497" t="s">
        <v>2083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1375</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9" right="0.2" top="0.68" bottom="0.61" header="0.37" footer="0.31"/>
  <pageSetup scale="83" firstPageNumber="78" orientation="landscape" useFirstPageNumber="1" r:id="rId1"/>
  <headerFooter>
    <oddHeader>&amp;C Fairfield Public School District 112</oddHeader>
    <oddFooter>&amp;C&amp;14-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Normal="100" workbookViewId="0">
      <selection activeCell="I13" sqref="I13"/>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6" t="str">
        <f>COVER!A17</f>
        <v xml:space="preserve">  Fairfield PSD 112</v>
      </c>
      <c r="K6" s="2436"/>
      <c r="L6" s="2450"/>
      <c r="M6" s="838"/>
      <c r="N6" s="1996"/>
    </row>
    <row r="7" spans="1:14" x14ac:dyDescent="0.2">
      <c r="A7" s="2451" t="s">
        <v>864</v>
      </c>
      <c r="B7" s="2452"/>
      <c r="C7" s="2452"/>
      <c r="D7" s="2452"/>
      <c r="E7" s="2453"/>
      <c r="F7" s="839"/>
      <c r="G7" s="838"/>
      <c r="H7" s="838"/>
      <c r="I7" s="1922" t="s">
        <v>369</v>
      </c>
      <c r="J7" s="2438">
        <f>COVER!A13</f>
        <v>20096112004</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7"/>
      <c r="G9" s="1857"/>
      <c r="H9" s="1857"/>
      <c r="I9" s="1927" t="s">
        <v>2019</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106201</v>
      </c>
      <c r="F12" s="1940"/>
      <c r="G12" s="1966">
        <f>G68</f>
        <v>17595</v>
      </c>
      <c r="H12" s="1942">
        <f t="shared" ref="H12:H18" si="0">SUM(E12:G12)</f>
        <v>123796</v>
      </c>
      <c r="I12" s="1941">
        <v>117600</v>
      </c>
      <c r="J12" s="1940"/>
      <c r="K12" s="1941"/>
      <c r="L12" s="1942">
        <f t="shared" ref="L12:L18" si="1">SUM(I12:K12)</f>
        <v>117600</v>
      </c>
      <c r="M12" s="838"/>
      <c r="N12" s="1996"/>
    </row>
    <row r="13" spans="1:14" x14ac:dyDescent="0.2">
      <c r="A13" s="2001">
        <v>2</v>
      </c>
      <c r="B13" s="1938" t="s">
        <v>42</v>
      </c>
      <c r="C13" s="842"/>
      <c r="D13" s="1939">
        <v>2330</v>
      </c>
      <c r="E13" s="1942">
        <f>'Expenditures 15-22'!K51</f>
        <v>162</v>
      </c>
      <c r="F13" s="1940"/>
      <c r="G13" s="1966">
        <f>H68</f>
        <v>0</v>
      </c>
      <c r="H13" s="1942">
        <f t="shared" si="0"/>
        <v>162</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106363</v>
      </c>
      <c r="F19" s="1948">
        <f t="shared" si="2"/>
        <v>0</v>
      </c>
      <c r="G19" s="1948">
        <f t="shared" ref="G19" si="3">SUM(G12:G17)-G18</f>
        <v>17595</v>
      </c>
      <c r="H19" s="1948">
        <f t="shared" si="2"/>
        <v>123958</v>
      </c>
      <c r="I19" s="1948">
        <f t="shared" si="2"/>
        <v>117600</v>
      </c>
      <c r="J19" s="1948">
        <f t="shared" si="2"/>
        <v>0</v>
      </c>
      <c r="K19" s="1948">
        <f t="shared" si="2"/>
        <v>0</v>
      </c>
      <c r="L19" s="1948">
        <f t="shared" si="2"/>
        <v>117600</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-5.1291566498330082E-2</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 xml:space="preserve">  Fairfield PSD 112</v>
      </c>
      <c r="M52" s="2436"/>
      <c r="N52" s="2437"/>
    </row>
    <row r="53" spans="1:14" x14ac:dyDescent="0.2">
      <c r="A53" s="1980"/>
      <c r="B53" s="1981"/>
      <c r="C53" s="1981"/>
      <c r="D53" s="1981"/>
      <c r="E53" s="1981"/>
      <c r="F53" s="1981"/>
      <c r="G53" s="1981"/>
      <c r="H53" s="1981"/>
      <c r="I53" s="1981"/>
      <c r="J53" s="1981"/>
      <c r="K53" s="1922" t="s">
        <v>369</v>
      </c>
      <c r="L53" s="2438">
        <f>J7</f>
        <v>20096112004</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17653</v>
      </c>
      <c r="F58" s="1970"/>
      <c r="G58" s="2029"/>
      <c r="H58" s="2030"/>
      <c r="I58" s="2030"/>
      <c r="J58" s="2030"/>
      <c r="K58" s="2030"/>
      <c r="L58" s="2030"/>
      <c r="M58" s="2030">
        <v>17653</v>
      </c>
      <c r="N58" s="1973">
        <f>IF((SUM(G58:M58))=E58,SUM(G58:M58),"Column N does not agree with Column E")</f>
        <v>17653</v>
      </c>
    </row>
    <row r="59" spans="1:14" ht="24.75" customHeight="1" x14ac:dyDescent="0.2">
      <c r="A59" s="2418" t="s">
        <v>297</v>
      </c>
      <c r="B59" s="2419"/>
      <c r="C59" s="2419"/>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8" t="s">
        <v>236</v>
      </c>
      <c r="B60" s="2419"/>
      <c r="C60" s="2419"/>
      <c r="D60" s="1965">
        <v>2364</v>
      </c>
      <c r="E60" s="1975">
        <f>'Expenditures 15-22'!K322</f>
        <v>55563</v>
      </c>
      <c r="F60" s="1970"/>
      <c r="G60" s="2029"/>
      <c r="H60" s="2030"/>
      <c r="I60" s="2030"/>
      <c r="J60" s="2030"/>
      <c r="K60" s="2030"/>
      <c r="L60" s="2030"/>
      <c r="M60" s="2030">
        <v>55563</v>
      </c>
      <c r="N60" s="1973">
        <f t="shared" ref="N60:N67" si="4">IF((SUM(G60:M60))=E60,SUM(G60:M60),"Column N does not agree with Column E")</f>
        <v>55563</v>
      </c>
    </row>
    <row r="61" spans="1:14" ht="24.75" customHeight="1" x14ac:dyDescent="0.2">
      <c r="A61" s="2418" t="s">
        <v>697</v>
      </c>
      <c r="B61" s="2419"/>
      <c r="C61" s="2419"/>
      <c r="D61" s="1965">
        <v>2365</v>
      </c>
      <c r="E61" s="1975">
        <f>'Expenditures 15-22'!K323</f>
        <v>143297</v>
      </c>
      <c r="F61" s="1970"/>
      <c r="G61" s="2029">
        <v>17595</v>
      </c>
      <c r="H61" s="2030"/>
      <c r="I61" s="2030"/>
      <c r="J61" s="2030"/>
      <c r="K61" s="2030"/>
      <c r="L61" s="2030"/>
      <c r="M61" s="2030">
        <v>125702</v>
      </c>
      <c r="N61" s="1973">
        <f t="shared" si="4"/>
        <v>143297</v>
      </c>
    </row>
    <row r="62" spans="1:14" ht="24" customHeight="1" x14ac:dyDescent="0.2">
      <c r="A62" s="2418" t="s">
        <v>237</v>
      </c>
      <c r="B62" s="2419"/>
      <c r="C62" s="2419"/>
      <c r="D62" s="1965">
        <v>2366</v>
      </c>
      <c r="E62" s="1975">
        <f>'Expenditures 15-22'!K324</f>
        <v>0</v>
      </c>
      <c r="F62" s="1970"/>
      <c r="G62" s="2029"/>
      <c r="H62" s="2030"/>
      <c r="I62" s="2030"/>
      <c r="J62" s="2030"/>
      <c r="K62" s="2030"/>
      <c r="L62" s="2030"/>
      <c r="M62" s="2030"/>
      <c r="N62" s="1973">
        <f t="shared" si="4"/>
        <v>0</v>
      </c>
    </row>
    <row r="63" spans="1:14" ht="24" customHeight="1" x14ac:dyDescent="0.2">
      <c r="A63" s="2424" t="s">
        <v>1022</v>
      </c>
      <c r="B63" s="2425"/>
      <c r="C63" s="2425"/>
      <c r="D63" s="1965">
        <v>2367</v>
      </c>
      <c r="E63" s="1975">
        <f>'Expenditures 15-22'!K325</f>
        <v>14074</v>
      </c>
      <c r="F63" s="1970"/>
      <c r="G63" s="2029"/>
      <c r="H63" s="2030"/>
      <c r="I63" s="2030"/>
      <c r="J63" s="2030"/>
      <c r="K63" s="2030"/>
      <c r="L63" s="2030"/>
      <c r="M63" s="2030">
        <v>14074</v>
      </c>
      <c r="N63" s="1973">
        <f t="shared" si="4"/>
        <v>14074</v>
      </c>
    </row>
    <row r="64" spans="1:14" ht="24" customHeight="1" x14ac:dyDescent="0.2">
      <c r="A64" s="2418" t="s">
        <v>1023</v>
      </c>
      <c r="B64" s="2419"/>
      <c r="C64" s="2419"/>
      <c r="D64" s="1965">
        <v>2368</v>
      </c>
      <c r="E64" s="1975">
        <f>'Expenditures 15-22'!K326</f>
        <v>0</v>
      </c>
      <c r="F64" s="1970"/>
      <c r="G64" s="2029"/>
      <c r="H64" s="2030"/>
      <c r="I64" s="2030"/>
      <c r="J64" s="2030"/>
      <c r="K64" s="2030"/>
      <c r="L64" s="2030"/>
      <c r="M64" s="2030"/>
      <c r="N64" s="1973">
        <f t="shared" si="4"/>
        <v>0</v>
      </c>
    </row>
    <row r="65" spans="1:14" ht="24" customHeight="1" x14ac:dyDescent="0.2">
      <c r="A65" s="2418" t="s">
        <v>965</v>
      </c>
      <c r="B65" s="2419"/>
      <c r="C65" s="2419"/>
      <c r="D65" s="1965">
        <v>2369</v>
      </c>
      <c r="E65" s="1975">
        <f>'Expenditures 15-22'!K327</f>
        <v>4233</v>
      </c>
      <c r="F65" s="1970"/>
      <c r="G65" s="2029"/>
      <c r="H65" s="2030"/>
      <c r="I65" s="2030"/>
      <c r="J65" s="2030"/>
      <c r="K65" s="2030"/>
      <c r="L65" s="2030"/>
      <c r="M65" s="2030">
        <v>4233</v>
      </c>
      <c r="N65" s="1973">
        <f t="shared" si="4"/>
        <v>4233</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234820</v>
      </c>
      <c r="F68" s="1971"/>
      <c r="G68" s="1972">
        <f t="shared" ref="G68:N68" si="5">SUM(G57:G67)</f>
        <v>17595</v>
      </c>
      <c r="H68" s="1972">
        <f t="shared" si="5"/>
        <v>0</v>
      </c>
      <c r="I68" s="1972">
        <f t="shared" si="5"/>
        <v>0</v>
      </c>
      <c r="J68" s="1972">
        <f t="shared" si="5"/>
        <v>0</v>
      </c>
      <c r="K68" s="1972">
        <f t="shared" si="5"/>
        <v>0</v>
      </c>
      <c r="L68" s="1972">
        <f t="shared" si="5"/>
        <v>0</v>
      </c>
      <c r="M68" s="1972">
        <f t="shared" si="5"/>
        <v>217225</v>
      </c>
      <c r="N68" s="1986">
        <f t="shared" si="5"/>
        <v>234820</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6999999999999995" right="0.5" top="0.71" bottom="0.5" header="0.3" footer="0.3"/>
  <pageSetup scale="73" firstPageNumber="38" fitToHeight="0" orientation="landscape" useFirstPageNumber="1" r:id="rId1"/>
  <headerFooter>
    <oddFooter xml:space="preserve">&amp;C&amp;14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2078</v>
      </c>
    </row>
    <row r="6" spans="1:2" x14ac:dyDescent="0.2">
      <c r="A6" s="847">
        <v>2</v>
      </c>
      <c r="B6" s="307" t="s">
        <v>2072</v>
      </c>
    </row>
    <row r="7" spans="1:2" x14ac:dyDescent="0.2">
      <c r="A7" s="847">
        <v>3</v>
      </c>
      <c r="B7" s="307" t="s">
        <v>2073</v>
      </c>
    </row>
    <row r="8" spans="1:2" x14ac:dyDescent="0.2">
      <c r="A8" s="847">
        <v>4</v>
      </c>
      <c r="B8" s="307" t="s">
        <v>2074</v>
      </c>
    </row>
    <row r="9" spans="1:2" x14ac:dyDescent="0.2">
      <c r="A9" s="848">
        <v>5</v>
      </c>
      <c r="B9" s="307" t="s">
        <v>2075</v>
      </c>
    </row>
    <row r="10" spans="1:2" x14ac:dyDescent="0.2">
      <c r="A10" s="848">
        <v>6</v>
      </c>
      <c r="B10" s="307" t="s">
        <v>2076</v>
      </c>
    </row>
    <row r="11" spans="1:2" x14ac:dyDescent="0.2">
      <c r="A11" s="848">
        <v>7</v>
      </c>
      <c r="B11" s="307" t="s">
        <v>2077</v>
      </c>
    </row>
    <row r="12" spans="1:2" x14ac:dyDescent="0.2">
      <c r="A12" s="848">
        <v>8</v>
      </c>
      <c r="B12" s="307" t="s">
        <v>2079</v>
      </c>
    </row>
    <row r="13" spans="1:2" x14ac:dyDescent="0.2">
      <c r="A13" s="848">
        <v>9</v>
      </c>
      <c r="B13" s="307" t="s">
        <v>2080</v>
      </c>
    </row>
    <row r="14" spans="1:2" x14ac:dyDescent="0.2">
      <c r="A14" s="848">
        <v>10</v>
      </c>
      <c r="B14" s="307" t="s">
        <v>2081</v>
      </c>
    </row>
    <row r="15" spans="1:2" x14ac:dyDescent="0.2">
      <c r="A15" s="848">
        <v>11</v>
      </c>
      <c r="B15" s="307" t="s">
        <v>2082</v>
      </c>
    </row>
    <row r="16" spans="1:2" x14ac:dyDescent="0.2">
      <c r="A16" s="848">
        <v>12</v>
      </c>
      <c r="B16" s="307" t="s">
        <v>2085</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row>
    <row r="65" spans="2:2" x14ac:dyDescent="0.2">
      <c r="B65" s="849"/>
    </row>
  </sheetData>
  <phoneticPr fontId="15" type="noConversion"/>
  <pageMargins left="0.69" right="0.2" top="1.31" bottom="0.9" header="0.91" footer="0.43"/>
  <pageSetup scale="80" firstPageNumber="52" orientation="portrait" useFirstPageNumber="1" r:id="rId1"/>
  <headerFooter alignWithMargins="0">
    <oddHeader>&amp;C  Fairfield Public School District 112</oddHeader>
    <oddFooter>&amp;C&amp;14-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8" sqref="H8"/>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2</xdr:col>
                <xdr:colOff>0</xdr:colOff>
                <xdr:row>1</xdr:row>
                <xdr:rowOff>0</xdr:rowOff>
              </from>
              <to>
                <xdr:col>3</xdr:col>
                <xdr:colOff>323850</xdr:colOff>
                <xdr:row>5</xdr:row>
                <xdr:rowOff>142875</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4</xdr:col>
                <xdr:colOff>0</xdr:colOff>
                <xdr:row>1</xdr:row>
                <xdr:rowOff>0</xdr:rowOff>
              </from>
              <to>
                <xdr:col>5</xdr:col>
                <xdr:colOff>323850</xdr:colOff>
                <xdr:row>5</xdr:row>
                <xdr:rowOff>142875</xdr:rowOff>
              </to>
            </anchor>
          </objectPr>
        </oleObject>
      </mc:Choice>
      <mc:Fallback>
        <oleObject progId="Acrobat Document" dvAspect="DVASPECT_ICON" shapeId="45058" r:id="rId6"/>
      </mc:Fallback>
    </mc:AlternateContent>
    <mc:AlternateContent xmlns:mc="http://schemas.openxmlformats.org/markup-compatibility/2006">
      <mc:Choice Requires="x14">
        <oleObject progId="Acrobat Document" dvAspect="DVASPECT_ICON" shapeId="45059" r:id="rId8">
          <objectPr defaultSize="0" r:id="rId9">
            <anchor moveWithCells="1">
              <from>
                <xdr:col>6</xdr:col>
                <xdr:colOff>0</xdr:colOff>
                <xdr:row>1</xdr:row>
                <xdr:rowOff>0</xdr:rowOff>
              </from>
              <to>
                <xdr:col>7</xdr:col>
                <xdr:colOff>323850</xdr:colOff>
                <xdr:row>5</xdr:row>
                <xdr:rowOff>142875</xdr:rowOff>
              </to>
            </anchor>
          </objectPr>
        </oleObject>
      </mc:Choice>
      <mc:Fallback>
        <oleObject progId="Acrobat Document" dvAspect="DVASPECT_ICON" shapeId="4505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1972</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1670</v>
      </c>
      <c r="B6" s="2484"/>
      <c r="C6" s="2484"/>
      <c r="D6" s="2484"/>
      <c r="E6" s="2484"/>
      <c r="F6" s="2485"/>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5636615</v>
      </c>
      <c r="C8" s="1813">
        <f>'Acct Summary 7-8'!D8</f>
        <v>263532</v>
      </c>
      <c r="D8" s="1813">
        <f>'Acct Summary 7-8'!F8</f>
        <v>283650</v>
      </c>
      <c r="E8" s="1813">
        <f>'Acct Summary 7-8'!I8</f>
        <v>30538</v>
      </c>
      <c r="F8" s="1813">
        <f>SUM(B8:E8)</f>
        <v>6214335</v>
      </c>
    </row>
    <row r="9" spans="1:8" s="858" customFormat="1" ht="14.25" customHeight="1" thickBot="1" x14ac:dyDescent="0.25">
      <c r="A9" s="857" t="s">
        <v>1353</v>
      </c>
      <c r="B9" s="1814">
        <f>'Acct Summary 7-8'!C17</f>
        <v>5416956</v>
      </c>
      <c r="C9" s="1814">
        <f>'Acct Summary 7-8'!D17</f>
        <v>252770</v>
      </c>
      <c r="D9" s="1814">
        <f>'Acct Summary 7-8'!F17</f>
        <v>263511</v>
      </c>
      <c r="E9" s="1813"/>
      <c r="F9" s="1813">
        <f>SUM(B9:E9)</f>
        <v>5933237</v>
      </c>
    </row>
    <row r="10" spans="1:8" s="858" customFormat="1" ht="14.25" thickTop="1" thickBot="1" x14ac:dyDescent="0.25">
      <c r="A10" s="859" t="s">
        <v>1354</v>
      </c>
      <c r="B10" s="1815">
        <f>(B8-B9)</f>
        <v>219659</v>
      </c>
      <c r="C10" s="1815">
        <f>(C8-C9)</f>
        <v>10762</v>
      </c>
      <c r="D10" s="1815">
        <f>(D8-D9)</f>
        <v>20139</v>
      </c>
      <c r="E10" s="1814">
        <f>(E8-E9)</f>
        <v>30538</v>
      </c>
      <c r="F10" s="1816">
        <f>SUM(F8-F9)</f>
        <v>281098</v>
      </c>
    </row>
    <row r="11" spans="1:8" s="858" customFormat="1" ht="14.25" thickTop="1" thickBot="1" x14ac:dyDescent="0.25">
      <c r="A11" s="860" t="s">
        <v>1903</v>
      </c>
      <c r="B11" s="1817">
        <f>'Acct Summary 7-8'!C81</f>
        <v>3799485</v>
      </c>
      <c r="C11" s="1817">
        <f>'Acct Summary 7-8'!D81</f>
        <v>580337</v>
      </c>
      <c r="D11" s="1817">
        <f>'Acct Summary 7-8'!F81</f>
        <v>178746</v>
      </c>
      <c r="E11" s="1817">
        <f>'Acct Summary 7-8'!I81</f>
        <v>273732</v>
      </c>
      <c r="F11" s="1818">
        <f>SUM(B11:E11)</f>
        <v>4832300</v>
      </c>
    </row>
    <row r="12" spans="1:8" ht="16.5" customHeight="1" thickTop="1" x14ac:dyDescent="0.2">
      <c r="A12" s="861"/>
      <c r="B12" s="862"/>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1666</v>
      </c>
      <c r="B16" s="2470"/>
      <c r="C16" s="2470"/>
      <c r="D16" s="2470"/>
      <c r="E16" s="2470"/>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J23" sqref="J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660</v>
      </c>
      <c r="B3" s="2493"/>
      <c r="C3" s="2493"/>
      <c r="D3" s="2494"/>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3" t="s">
        <v>1487</v>
      </c>
      <c r="D7" s="2504"/>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7" t="s">
        <v>311</v>
      </c>
      <c r="D21" s="2508"/>
    </row>
    <row r="22" spans="1:10" ht="12.75" x14ac:dyDescent="0.2">
      <c r="A22" s="918"/>
      <c r="B22" s="919">
        <v>2</v>
      </c>
      <c r="C22" s="2505" t="s">
        <v>1507</v>
      </c>
      <c r="D22" s="250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9" t="s">
        <v>533</v>
      </c>
      <c r="D43" s="2510"/>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1" t="s">
        <v>779</v>
      </c>
      <c r="D56" s="2502"/>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01" t="s">
        <v>1674</v>
      </c>
      <c r="D70" s="2502"/>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29'!$D$35&gt;0,"OK","PLEASE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20096112004</v>
      </c>
      <c r="E2" s="1542">
        <v>2020</v>
      </c>
      <c r="F2" s="1542">
        <v>1</v>
      </c>
      <c r="G2" s="1898">
        <v>101000300</v>
      </c>
    </row>
    <row r="3" spans="1:7" ht="15" x14ac:dyDescent="0.25">
      <c r="A3" t="s">
        <v>950</v>
      </c>
      <c r="B3" s="135" t="str">
        <f>COVER!A15</f>
        <v>Wayne</v>
      </c>
      <c r="E3" s="1830" t="s">
        <v>1971</v>
      </c>
      <c r="F3" s="1830" t="s">
        <v>1970</v>
      </c>
      <c r="G3" s="1898">
        <v>101000400</v>
      </c>
    </row>
    <row r="4" spans="1:7" ht="15" x14ac:dyDescent="0.25">
      <c r="A4" t="s">
        <v>1000</v>
      </c>
      <c r="B4" s="135" t="str">
        <f>COVER!A17</f>
        <v xml:space="preserve">  Fairfield PSD 112</v>
      </c>
      <c r="E4" s="1828">
        <v>44119</v>
      </c>
      <c r="F4" s="1829">
        <v>44151</v>
      </c>
      <c r="G4" s="1898">
        <v>101000600</v>
      </c>
    </row>
    <row r="5" spans="1:7" ht="15" x14ac:dyDescent="0.25">
      <c r="A5" t="s">
        <v>699</v>
      </c>
      <c r="B5" s="135" t="str">
        <f>COVER!A38</f>
        <v>Dr. Scott England</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f>IF(COVER!J31="x","Yes",IF(COVER!L31="x","No",0))</f>
        <v>0</v>
      </c>
      <c r="G14" s="1898">
        <v>402100300</v>
      </c>
    </row>
    <row r="15" spans="1:7" ht="15" x14ac:dyDescent="0.25">
      <c r="A15" t="s">
        <v>573</v>
      </c>
      <c r="B15" s="135" t="str">
        <f>COVER!T23</f>
        <v>066-005231</v>
      </c>
      <c r="G15" s="1898">
        <v>402100400</v>
      </c>
    </row>
    <row r="16" spans="1:7" ht="15" x14ac:dyDescent="0.25">
      <c r="A16" t="s">
        <v>419</v>
      </c>
      <c r="B16" s="135" t="str">
        <f>COVER!T13</f>
        <v>Leymone Hardcastle &amp; Co., Ltd.</v>
      </c>
      <c r="G16" s="1898">
        <v>402100600</v>
      </c>
    </row>
    <row r="17" spans="1:7" ht="15" x14ac:dyDescent="0.25">
      <c r="A17" t="s">
        <v>878</v>
      </c>
      <c r="B17" s="135" t="str">
        <f>COVER!T15</f>
        <v>Sara E. Hanks</v>
      </c>
      <c r="G17" s="1898">
        <v>402100800</v>
      </c>
    </row>
    <row r="18" spans="1:7" ht="15" x14ac:dyDescent="0.25">
      <c r="A18" t="s">
        <v>1140</v>
      </c>
      <c r="B18" s="135" t="str">
        <f>COVER!T17</f>
        <v>200 West Main Street</v>
      </c>
      <c r="G18" s="1898">
        <v>102200300</v>
      </c>
    </row>
    <row r="19" spans="1:7" ht="15" x14ac:dyDescent="0.25">
      <c r="A19" t="s">
        <v>880</v>
      </c>
      <c r="B19" s="135" t="str">
        <f>COVER!T25</f>
        <v>sara@hardcastlecpa.com</v>
      </c>
      <c r="G19" s="1898">
        <v>102200400</v>
      </c>
    </row>
    <row r="20" spans="1:7" ht="15" x14ac:dyDescent="0.25">
      <c r="A20" t="s">
        <v>881</v>
      </c>
      <c r="B20" s="135" t="str">
        <f>COVER!T19</f>
        <v>Salem</v>
      </c>
      <c r="G20" s="1898">
        <v>102200600</v>
      </c>
    </row>
    <row r="21" spans="1:7" ht="15" x14ac:dyDescent="0.25">
      <c r="A21" t="s">
        <v>476</v>
      </c>
      <c r="B21" s="135" t="str">
        <f>COVER!X19</f>
        <v>IL</v>
      </c>
      <c r="G21" s="1898">
        <v>102200800</v>
      </c>
    </row>
    <row r="22" spans="1:7" ht="15" x14ac:dyDescent="0.25">
      <c r="A22" t="s">
        <v>882</v>
      </c>
      <c r="B22" s="135">
        <f>COVER!Z19</f>
        <v>62881</v>
      </c>
      <c r="G22" s="1898">
        <v>102300300</v>
      </c>
    </row>
    <row r="23" spans="1:7" ht="15" x14ac:dyDescent="0.25">
      <c r="A23" t="s">
        <v>1142</v>
      </c>
      <c r="B23" s="135" t="str">
        <f>COVER!T21</f>
        <v>618-548-1002</v>
      </c>
      <c r="G23" s="1898">
        <v>102300400</v>
      </c>
    </row>
    <row r="24" spans="1:7" ht="15" x14ac:dyDescent="0.25">
      <c r="A24" t="s">
        <v>1141</v>
      </c>
      <c r="B24" s="135">
        <f>COVER!Y21</f>
        <v>0</v>
      </c>
      <c r="G24" s="1898">
        <v>102300600</v>
      </c>
    </row>
    <row r="25" spans="1:7" ht="15" x14ac:dyDescent="0.25">
      <c r="A25" t="s">
        <v>756</v>
      </c>
      <c r="B25" s="135">
        <f>COVER!B34</f>
        <v>0</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3799485</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3761269</v>
      </c>
      <c r="D92" s="2" t="str">
        <f t="shared" si="0"/>
        <v>Error?</v>
      </c>
      <c r="G92" s="1898">
        <v>102640600</v>
      </c>
    </row>
    <row r="93" spans="1:7" ht="15" x14ac:dyDescent="0.25">
      <c r="A93" s="5">
        <v>32</v>
      </c>
      <c r="B93" s="1832">
        <f>'Assets-Liab 5-6'!C41</f>
        <v>3799485</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580337</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567352</v>
      </c>
      <c r="D123" s="2" t="str">
        <f t="shared" si="0"/>
        <v>Error?</v>
      </c>
      <c r="G123" s="1898">
        <v>203000400</v>
      </c>
    </row>
    <row r="124" spans="1:7" ht="15" x14ac:dyDescent="0.25">
      <c r="A124" s="5">
        <v>63</v>
      </c>
      <c r="B124" s="1832">
        <f>'Assets-Liab 5-6'!D41</f>
        <v>580337</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31026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31026</v>
      </c>
      <c r="D140" s="2" t="str">
        <f t="shared" si="1"/>
        <v>Error?</v>
      </c>
    </row>
    <row r="141" spans="1:7" x14ac:dyDescent="0.2">
      <c r="A141" s="5">
        <v>80</v>
      </c>
      <c r="B141" s="1832">
        <f>'Assets-Liab 5-6'!E41</f>
        <v>31026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178746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178746</v>
      </c>
      <c r="D170" s="2" t="str">
        <f t="shared" si="1"/>
        <v>Error?</v>
      </c>
    </row>
    <row r="171" spans="1:4" x14ac:dyDescent="0.2">
      <c r="A171" s="5">
        <v>110</v>
      </c>
      <c r="B171" s="1832">
        <f>'Assets-Liab 5-6'!F41</f>
        <v>178746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166859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67652</v>
      </c>
      <c r="D189" s="2" t="str">
        <f t="shared" si="1"/>
        <v>Error?</v>
      </c>
    </row>
    <row r="190" spans="1:4" x14ac:dyDescent="0.2">
      <c r="A190" s="5">
        <v>129</v>
      </c>
      <c r="B190" s="1832">
        <f>'Assets-Liab 5-6'!G41</f>
        <v>166859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157600</v>
      </c>
      <c r="D273" s="2" t="str">
        <f t="shared" si="3"/>
        <v>Error?</v>
      </c>
    </row>
    <row r="274" spans="1:4" x14ac:dyDescent="0.2">
      <c r="A274" s="5">
        <v>213</v>
      </c>
      <c r="B274" s="1832">
        <f>'Assets-Liab 5-6'!M17</f>
        <v>11918244</v>
      </c>
      <c r="D274" s="2" t="str">
        <f t="shared" si="3"/>
        <v>Error?</v>
      </c>
    </row>
    <row r="275" spans="1:4" x14ac:dyDescent="0.2">
      <c r="A275" s="5">
        <v>214</v>
      </c>
      <c r="B275" s="1832">
        <f>'Assets-Liab 5-6'!M18</f>
        <v>115284</v>
      </c>
      <c r="D275" s="2" t="str">
        <f t="shared" si="3"/>
        <v>Error?</v>
      </c>
    </row>
    <row r="276" spans="1:4" x14ac:dyDescent="0.2">
      <c r="A276" s="5">
        <v>215</v>
      </c>
      <c r="B276" s="1832">
        <f>'Assets-Liab 5-6'!M19</f>
        <v>1739849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13930977</v>
      </c>
      <c r="C279" s="2" t="s">
        <v>569</v>
      </c>
      <c r="D279" s="2" t="str">
        <f t="shared" si="3"/>
        <v>Error?</v>
      </c>
    </row>
    <row r="280" spans="1:4" x14ac:dyDescent="0.2">
      <c r="A280" s="5">
        <v>219</v>
      </c>
      <c r="B280" s="1832">
        <f>'Assets-Liab 5-6'!M40</f>
        <v>13930977</v>
      </c>
      <c r="D280" s="2" t="str">
        <f t="shared" si="3"/>
        <v>Error?</v>
      </c>
    </row>
    <row r="281" spans="1:4" x14ac:dyDescent="0.2">
      <c r="A281" s="5">
        <v>220</v>
      </c>
      <c r="B281" s="1832">
        <f>'Assets-Liab 5-6'!M41</f>
        <v>13930977</v>
      </c>
      <c r="C281" s="2" t="s">
        <v>569</v>
      </c>
      <c r="D281" s="2" t="str">
        <f t="shared" si="3"/>
        <v>Error?</v>
      </c>
    </row>
    <row r="282" spans="1:4" x14ac:dyDescent="0.2">
      <c r="A282" s="5">
        <v>221</v>
      </c>
      <c r="B282" s="1832">
        <f>'Assets-Liab 5-6'!N21</f>
        <v>31026</v>
      </c>
      <c r="D282" s="2" t="str">
        <f t="shared" si="3"/>
        <v>Error?</v>
      </c>
    </row>
    <row r="283" spans="1:4" x14ac:dyDescent="0.2">
      <c r="A283" s="5">
        <v>222</v>
      </c>
      <c r="B283" s="1832">
        <f>'Assets-Liab 5-6'!N22</f>
        <v>2209170</v>
      </c>
      <c r="D283" s="2" t="str">
        <f t="shared" si="3"/>
        <v>Error?</v>
      </c>
    </row>
    <row r="284" spans="1:4" x14ac:dyDescent="0.2">
      <c r="A284" s="5">
        <v>223</v>
      </c>
      <c r="B284" s="1832">
        <f>'Assets-Liab 5-6'!N23</f>
        <v>2240196</v>
      </c>
      <c r="C284" s="2" t="s">
        <v>569</v>
      </c>
      <c r="D284" s="2" t="str">
        <f t="shared" si="3"/>
        <v>Error?</v>
      </c>
    </row>
    <row r="285" spans="1:4" x14ac:dyDescent="0.2">
      <c r="A285" s="5">
        <v>224</v>
      </c>
      <c r="B285" s="1832">
        <f>'Assets-Liab 5-6'!N36</f>
        <v>2240196</v>
      </c>
      <c r="D285" s="2" t="str">
        <f t="shared" si="3"/>
        <v>Error?</v>
      </c>
    </row>
    <row r="286" spans="1:4" x14ac:dyDescent="0.2">
      <c r="A286" s="10">
        <v>225</v>
      </c>
      <c r="B286" s="1832"/>
      <c r="D286" s="2" t="str">
        <f t="shared" si="3"/>
        <v>OK</v>
      </c>
    </row>
    <row r="287" spans="1:4" x14ac:dyDescent="0.2">
      <c r="A287" s="5">
        <v>226</v>
      </c>
      <c r="B287" s="1832">
        <f>'Assets-Liab 5-6'!N37</f>
        <v>2240196</v>
      </c>
      <c r="C287" s="2" t="s">
        <v>569</v>
      </c>
      <c r="D287" s="2" t="str">
        <f t="shared" si="3"/>
        <v>Error?</v>
      </c>
    </row>
    <row r="288" spans="1:4" x14ac:dyDescent="0.2">
      <c r="A288" s="5">
        <v>227</v>
      </c>
      <c r="B288" s="1832">
        <f>'Assets-Liab 5-6'!N41</f>
        <v>2240196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2051371</v>
      </c>
      <c r="D705" s="2" t="str">
        <f t="shared" si="10"/>
        <v>Error?</v>
      </c>
    </row>
    <row r="706" spans="1:4" x14ac:dyDescent="0.2">
      <c r="A706" s="5">
        <v>645</v>
      </c>
      <c r="B706" s="1832">
        <f>'Expenditures 15-22'!C16</f>
        <v>6360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39549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2811276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22723</v>
      </c>
      <c r="D722" s="2" t="str">
        <f t="shared" si="10"/>
        <v>Error?</v>
      </c>
    </row>
    <row r="723" spans="1:4" x14ac:dyDescent="0.2">
      <c r="A723" s="5">
        <v>662</v>
      </c>
      <c r="B723" s="1832">
        <f>'Expenditures 15-22'!C38</f>
        <v>24524</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105004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152251</v>
      </c>
      <c r="C727" s="2" t="s">
        <v>569</v>
      </c>
      <c r="D727" s="2" t="str">
        <f t="shared" si="10"/>
        <v>Error?</v>
      </c>
    </row>
    <row r="728" spans="1:4" x14ac:dyDescent="0.2">
      <c r="A728" s="5">
        <v>667</v>
      </c>
      <c r="B728" s="1832">
        <f>'Expenditures 15-22'!C44</f>
        <v>7491</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7491</v>
      </c>
      <c r="C731" s="2" t="s">
        <v>569</v>
      </c>
      <c r="D731" s="2" t="str">
        <f t="shared" si="10"/>
        <v>Error?</v>
      </c>
    </row>
    <row r="732" spans="1:4" x14ac:dyDescent="0.2">
      <c r="A732" s="5">
        <v>671</v>
      </c>
      <c r="B732" s="1832">
        <f>'Expenditures 15-22'!C49</f>
        <v>13773</v>
      </c>
      <c r="D732" s="2" t="str">
        <f t="shared" si="10"/>
        <v>Error?</v>
      </c>
    </row>
    <row r="733" spans="1:4" x14ac:dyDescent="0.2">
      <c r="A733" s="5">
        <v>672</v>
      </c>
      <c r="B733" s="1832">
        <f>'Expenditures 15-22'!C50</f>
        <v>77405</v>
      </c>
      <c r="D733" s="2" t="str">
        <f t="shared" si="10"/>
        <v>Error?</v>
      </c>
    </row>
    <row r="734" spans="1:4" x14ac:dyDescent="0.2">
      <c r="A734" s="5">
        <v>673</v>
      </c>
      <c r="B734" s="1832">
        <f>'Expenditures 15-22'!C53</f>
        <v>91178</v>
      </c>
      <c r="C734" s="2" t="s">
        <v>569</v>
      </c>
      <c r="D734" s="2" t="str">
        <f t="shared" si="10"/>
        <v>Error?</v>
      </c>
    </row>
    <row r="735" spans="1:4" x14ac:dyDescent="0.2">
      <c r="A735" s="5">
        <v>674</v>
      </c>
      <c r="B735" s="1832">
        <f>'Expenditures 15-22'!C55</f>
        <v>312311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312311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84297</v>
      </c>
      <c r="D739" s="2" t="str">
        <f t="shared" si="10"/>
        <v>Error?</v>
      </c>
    </row>
    <row r="740" spans="1:4" x14ac:dyDescent="0.2">
      <c r="A740" s="5">
        <v>679</v>
      </c>
      <c r="B740" s="1832">
        <f>'Expenditures 15-22'!C61</f>
        <v>260244</v>
      </c>
      <c r="D740" s="2" t="str">
        <f t="shared" si="10"/>
        <v>Error?</v>
      </c>
    </row>
    <row r="741" spans="1:4" x14ac:dyDescent="0.2">
      <c r="A741" s="5">
        <v>680</v>
      </c>
      <c r="B741" s="1832">
        <f>'Expenditures 15-22'!C62</f>
        <v>18075</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362616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925847</v>
      </c>
      <c r="C755" s="2" t="s">
        <v>569</v>
      </c>
      <c r="D755" s="2" t="str">
        <f t="shared" si="10"/>
        <v>Error?</v>
      </c>
    </row>
    <row r="756" spans="1:4" x14ac:dyDescent="0.2">
      <c r="A756" s="5">
        <v>695</v>
      </c>
      <c r="B756" s="1832">
        <f>'Expenditures 15-22'!C75</f>
        <v>22723</v>
      </c>
      <c r="D756" s="2" t="str">
        <f t="shared" si="10"/>
        <v>Error?</v>
      </c>
    </row>
    <row r="757" spans="1:4" x14ac:dyDescent="0.2">
      <c r="A757" s="5">
        <v>696</v>
      </c>
      <c r="B757" s="1832">
        <f>'Expenditures 15-22'!C114</f>
        <v>3759846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411949</v>
      </c>
      <c r="D763" s="2" t="str">
        <f t="shared" si="10"/>
        <v>Error?</v>
      </c>
    </row>
    <row r="764" spans="1:4" x14ac:dyDescent="0.2">
      <c r="A764" s="5">
        <v>703</v>
      </c>
      <c r="B764" s="1832">
        <f>'Expenditures 15-22'!D16</f>
        <v>837</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4215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590607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6436</v>
      </c>
      <c r="D780" s="2" t="str">
        <f t="shared" si="11"/>
        <v>Error?</v>
      </c>
    </row>
    <row r="781" spans="1:4" x14ac:dyDescent="0.2">
      <c r="A781" s="5">
        <v>720</v>
      </c>
      <c r="B781" s="1832">
        <f>'Expenditures 15-22'!D38</f>
        <v>6976</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27568</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40980</v>
      </c>
      <c r="C785" s="2" t="s">
        <v>569</v>
      </c>
      <c r="D785" s="2" t="str">
        <f t="shared" si="11"/>
        <v>Error?</v>
      </c>
    </row>
    <row r="786" spans="1:4" x14ac:dyDescent="0.2">
      <c r="A786" s="5">
        <v>725</v>
      </c>
      <c r="B786" s="1832">
        <f>'Expenditures 15-22'!D44</f>
        <v>97</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97</v>
      </c>
      <c r="C789" s="2" t="s">
        <v>569</v>
      </c>
      <c r="D789" s="2" t="str">
        <f t="shared" si="11"/>
        <v>Error?</v>
      </c>
    </row>
    <row r="790" spans="1:4" x14ac:dyDescent="0.2">
      <c r="A790" s="5">
        <v>729</v>
      </c>
      <c r="B790" s="1832">
        <f>'Expenditures 15-22'!D49</f>
        <v>1741</v>
      </c>
      <c r="D790" s="2" t="str">
        <f t="shared" si="11"/>
        <v>Error?</v>
      </c>
    </row>
    <row r="791" spans="1:4" x14ac:dyDescent="0.2">
      <c r="A791" s="5">
        <v>730</v>
      </c>
      <c r="B791" s="1832">
        <f>'Expenditures 15-22'!D50</f>
        <v>22264</v>
      </c>
      <c r="D791" s="2" t="str">
        <f t="shared" si="11"/>
        <v>Error?</v>
      </c>
    </row>
    <row r="792" spans="1:4" x14ac:dyDescent="0.2">
      <c r="A792" s="5">
        <v>731</v>
      </c>
      <c r="B792" s="1832">
        <f>'Expenditures 15-22'!D53</f>
        <v>24005</v>
      </c>
      <c r="C792" s="2" t="s">
        <v>569</v>
      </c>
      <c r="D792" s="2" t="str">
        <f t="shared" si="11"/>
        <v>Error?</v>
      </c>
    </row>
    <row r="793" spans="1:4" x14ac:dyDescent="0.2">
      <c r="A793" s="5">
        <v>732</v>
      </c>
      <c r="B793" s="1832">
        <f>'Expenditures 15-22'!D55</f>
        <v>48432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48432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111</v>
      </c>
      <c r="D797" s="2" t="str">
        <f t="shared" si="11"/>
        <v>Error?</v>
      </c>
    </row>
    <row r="798" spans="1:4" x14ac:dyDescent="0.2">
      <c r="A798" s="5">
        <v>737</v>
      </c>
      <c r="B798" s="1832">
        <f>'Expenditures 15-22'!D61</f>
        <v>41856</v>
      </c>
      <c r="D798" s="2" t="str">
        <f t="shared" si="11"/>
        <v>Error?</v>
      </c>
    </row>
    <row r="799" spans="1:4" x14ac:dyDescent="0.2">
      <c r="A799" s="5">
        <v>738</v>
      </c>
      <c r="B799" s="1832">
        <f>'Expenditures 15-22'!D62</f>
        <v>10421</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52388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165902</v>
      </c>
      <c r="C813" s="2" t="s">
        <v>569</v>
      </c>
      <c r="D813" s="2" t="str">
        <f t="shared" si="11"/>
        <v>Error?</v>
      </c>
    </row>
    <row r="814" spans="1:4" x14ac:dyDescent="0.2">
      <c r="A814" s="5">
        <v>753</v>
      </c>
      <c r="B814" s="1832">
        <f>'Expenditures 15-22'!D75</f>
        <v>6436</v>
      </c>
      <c r="D814" s="2" t="str">
        <f t="shared" si="11"/>
        <v>Error?</v>
      </c>
    </row>
    <row r="815" spans="1:4" x14ac:dyDescent="0.2">
      <c r="A815" s="5">
        <v>754</v>
      </c>
      <c r="B815" s="1832">
        <f>'Expenditures 15-22'!D114</f>
        <v>762945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45074</v>
      </c>
      <c r="D821" s="2" t="str">
        <f t="shared" si="11"/>
        <v>Error?</v>
      </c>
    </row>
    <row r="822" spans="1:4" x14ac:dyDescent="0.2">
      <c r="A822" s="5">
        <v>761</v>
      </c>
      <c r="B822" s="1832">
        <f>'Expenditures 15-22'!E16</f>
        <v>1010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11802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62376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1111</v>
      </c>
      <c r="D839" s="2" t="str">
        <f t="shared" si="12"/>
        <v>Error?</v>
      </c>
    </row>
    <row r="840" spans="1:4" x14ac:dyDescent="0.2">
      <c r="A840" s="5">
        <v>779</v>
      </c>
      <c r="B840" s="1832">
        <f>'Expenditures 15-22'!E39</f>
        <v>9873</v>
      </c>
      <c r="D840" s="2" t="str">
        <f t="shared" si="12"/>
        <v>Error?</v>
      </c>
    </row>
    <row r="841" spans="1:4" x14ac:dyDescent="0.2">
      <c r="A841" s="5">
        <v>780</v>
      </c>
      <c r="B841" s="1832">
        <f>'Expenditures 15-22'!E40</f>
        <v>1063</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12047</v>
      </c>
      <c r="C843" s="2" t="s">
        <v>569</v>
      </c>
      <c r="D843" s="2" t="str">
        <f t="shared" si="12"/>
        <v>Error?</v>
      </c>
    </row>
    <row r="844" spans="1:4" x14ac:dyDescent="0.2">
      <c r="A844" s="5">
        <v>783</v>
      </c>
      <c r="B844" s="1832">
        <f>'Expenditures 15-22'!E44</f>
        <v>11531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23292</v>
      </c>
      <c r="D846" s="2" t="str">
        <f t="shared" si="12"/>
        <v>Error?</v>
      </c>
    </row>
    <row r="847" spans="1:4" x14ac:dyDescent="0.2">
      <c r="A847" s="5">
        <v>786</v>
      </c>
      <c r="B847" s="1832">
        <f>'Expenditures 15-22'!E47</f>
        <v>34823</v>
      </c>
      <c r="C847" s="2" t="s">
        <v>569</v>
      </c>
      <c r="D847" s="2" t="str">
        <f t="shared" si="12"/>
        <v>Error?</v>
      </c>
    </row>
    <row r="848" spans="1:4" x14ac:dyDescent="0.2">
      <c r="A848" s="5">
        <v>787</v>
      </c>
      <c r="B848" s="1832">
        <f>'Expenditures 15-22'!E49</f>
        <v>19717</v>
      </c>
      <c r="D848" s="2" t="str">
        <f t="shared" si="12"/>
        <v>Error?</v>
      </c>
    </row>
    <row r="849" spans="1:4" x14ac:dyDescent="0.2">
      <c r="A849" s="5">
        <v>788</v>
      </c>
      <c r="B849" s="1832">
        <f>'Expenditures 15-22'!E50</f>
        <v>6517</v>
      </c>
      <c r="D849" s="2" t="str">
        <f t="shared" si="12"/>
        <v>Error?</v>
      </c>
    </row>
    <row r="850" spans="1:4" x14ac:dyDescent="0.2">
      <c r="A850" s="5">
        <v>789</v>
      </c>
      <c r="B850" s="1832">
        <f>'Expenditures 15-22'!E53</f>
        <v>26396</v>
      </c>
      <c r="C850" s="2" t="s">
        <v>569</v>
      </c>
      <c r="D850" s="2" t="str">
        <f t="shared" si="12"/>
        <v>Error?</v>
      </c>
    </row>
    <row r="851" spans="1:4" x14ac:dyDescent="0.2">
      <c r="A851" s="5">
        <v>790</v>
      </c>
      <c r="B851" s="1832">
        <f>'Expenditures 15-22'!E55</f>
        <v>11230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11230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5173</v>
      </c>
      <c r="D855" s="2" t="str">
        <f t="shared" si="12"/>
        <v>Error?</v>
      </c>
    </row>
    <row r="856" spans="1:4" x14ac:dyDescent="0.2">
      <c r="A856" s="5">
        <v>795</v>
      </c>
      <c r="B856" s="1832">
        <f>'Expenditures 15-22'!E61</f>
        <v>24263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257055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286491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370987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562461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56376</v>
      </c>
      <c r="D879" s="2" t="str">
        <f t="shared" si="12"/>
        <v>Error?</v>
      </c>
    </row>
    <row r="880" spans="1:4" x14ac:dyDescent="0.2">
      <c r="A880" s="5">
        <v>819</v>
      </c>
      <c r="B880" s="1832">
        <f>'Expenditures 15-22'!F16</f>
        <v>529</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5183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146601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60</v>
      </c>
      <c r="D896" s="2" t="str">
        <f t="shared" si="13"/>
        <v>Error?</v>
      </c>
    </row>
    <row r="897" spans="1:4" x14ac:dyDescent="0.2">
      <c r="A897" s="5">
        <v>836</v>
      </c>
      <c r="B897" s="1832">
        <f>'Expenditures 15-22'!F38</f>
        <v>1737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396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2193</v>
      </c>
      <c r="C901" s="2" t="s">
        <v>569</v>
      </c>
      <c r="D901" s="2" t="str">
        <f t="shared" si="13"/>
        <v>Error?</v>
      </c>
    </row>
    <row r="902" spans="1:4" x14ac:dyDescent="0.2">
      <c r="A902" s="5">
        <v>841</v>
      </c>
      <c r="B902" s="1832">
        <f>'Expenditures 15-22'!F44</f>
        <v>5840</v>
      </c>
      <c r="D902" s="2" t="str">
        <f t="shared" si="13"/>
        <v>Error?</v>
      </c>
    </row>
    <row r="903" spans="1:4" x14ac:dyDescent="0.2">
      <c r="A903" s="5">
        <v>842</v>
      </c>
      <c r="B903" s="1832">
        <f>'Expenditures 15-22'!F45</f>
        <v>3459</v>
      </c>
      <c r="D903" s="2" t="str">
        <f t="shared" si="13"/>
        <v>Error?</v>
      </c>
    </row>
    <row r="904" spans="1:4" x14ac:dyDescent="0.2">
      <c r="A904" s="5">
        <v>843</v>
      </c>
      <c r="B904" s="1832">
        <f>'Expenditures 15-22'!F46</f>
        <v>700</v>
      </c>
      <c r="D904" s="2" t="str">
        <f t="shared" si="13"/>
        <v>Error?</v>
      </c>
    </row>
    <row r="905" spans="1:4" x14ac:dyDescent="0.2">
      <c r="A905" s="5">
        <v>844</v>
      </c>
      <c r="B905" s="1832">
        <f>'Expenditures 15-22'!F47</f>
        <v>9999</v>
      </c>
      <c r="C905" s="2" t="s">
        <v>569</v>
      </c>
      <c r="D905" s="2" t="str">
        <f t="shared" si="13"/>
        <v>Error?</v>
      </c>
    </row>
    <row r="906" spans="1:4" x14ac:dyDescent="0.2">
      <c r="A906" s="5">
        <v>845</v>
      </c>
      <c r="B906" s="1832">
        <f>'Expenditures 15-22'!F49</f>
        <v>3134</v>
      </c>
      <c r="D906" s="2" t="str">
        <f t="shared" si="13"/>
        <v>Error?</v>
      </c>
    </row>
    <row r="907" spans="1:4" x14ac:dyDescent="0.2">
      <c r="A907" s="5">
        <v>846</v>
      </c>
      <c r="B907" s="1832">
        <f>'Expenditures 15-22'!F50</f>
        <v>15</v>
      </c>
      <c r="D907" s="2" t="str">
        <f t="shared" si="13"/>
        <v>Error?</v>
      </c>
    </row>
    <row r="908" spans="1:4" x14ac:dyDescent="0.2">
      <c r="A908" s="5">
        <v>847</v>
      </c>
      <c r="B908" s="1832">
        <f>'Expenditures 15-22'!F53</f>
        <v>3149</v>
      </c>
      <c r="C908" s="2" t="s">
        <v>569</v>
      </c>
      <c r="D908" s="2" t="str">
        <f t="shared" si="13"/>
        <v>Error?</v>
      </c>
    </row>
    <row r="909" spans="1:4" x14ac:dyDescent="0.2">
      <c r="A909" s="5">
        <v>848</v>
      </c>
      <c r="B909" s="1832">
        <f>'Expenditures 15-22'!F55</f>
        <v>3687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3687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1161</v>
      </c>
      <c r="D913" s="2" t="str">
        <f t="shared" si="13"/>
        <v>Error?</v>
      </c>
    </row>
    <row r="914" spans="1:4" x14ac:dyDescent="0.2">
      <c r="A914" s="5">
        <v>853</v>
      </c>
      <c r="B914" s="1832">
        <f>'Expenditures 15-22'!F61</f>
        <v>996</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1007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3164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22192</v>
      </c>
      <c r="C929" s="2" t="s">
        <v>569</v>
      </c>
      <c r="D929" s="2" t="str">
        <f t="shared" si="13"/>
        <v>Error?</v>
      </c>
    </row>
    <row r="930" spans="1:4" x14ac:dyDescent="0.2">
      <c r="A930" s="5">
        <v>869</v>
      </c>
      <c r="B930" s="1832">
        <f>'Expenditures 15-22'!F75</f>
        <v>297</v>
      </c>
      <c r="D930" s="2" t="str">
        <f t="shared" si="13"/>
        <v>Error?</v>
      </c>
    </row>
    <row r="931" spans="1:4" x14ac:dyDescent="0.2">
      <c r="A931" s="5">
        <v>870</v>
      </c>
      <c r="B931" s="1832">
        <f>'Expenditures 15-22'!F114</f>
        <v>169090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31253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34745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3072</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3072</v>
      </c>
      <c r="C959" s="2" t="s">
        <v>569</v>
      </c>
      <c r="D959" s="2" t="str">
        <f t="shared" ref="D959:D1022" si="14">IF(ISBLANK(B959),"OK",IF(A959-B959=0,"OK","Error?"))</f>
        <v>Error?</v>
      </c>
    </row>
    <row r="960" spans="1:4" x14ac:dyDescent="0.2">
      <c r="A960" s="5">
        <v>899</v>
      </c>
      <c r="B960" s="1832">
        <f>'Expenditures 15-22'!G44</f>
        <v>762</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762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5082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5082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8916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43661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2418</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31020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350</v>
      </c>
      <c r="D1046" s="2" t="str">
        <f t="shared" si="15"/>
        <v>Error?</v>
      </c>
    </row>
    <row r="1047" spans="1:5" x14ac:dyDescent="0.2">
      <c r="A1047" s="5">
        <v>986</v>
      </c>
      <c r="B1047" s="1832">
        <f>'Expenditures 15-22'!H102</f>
        <v>87583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118953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2598441</v>
      </c>
      <c r="C1093" s="2" t="s">
        <v>569</v>
      </c>
      <c r="D1093" s="2" t="str">
        <f t="shared" si="16"/>
        <v>Error?</v>
      </c>
    </row>
    <row r="1094" spans="1:4" x14ac:dyDescent="0.2">
      <c r="A1094" s="5">
        <v>1033</v>
      </c>
      <c r="B1094" s="1832">
        <f>'Expenditures 15-22'!K16</f>
        <v>8736</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60749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3676625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29219</v>
      </c>
      <c r="C1110" s="2" t="s">
        <v>569</v>
      </c>
      <c r="D1110" s="2" t="str">
        <f t="shared" si="16"/>
        <v>Error?</v>
      </c>
    </row>
    <row r="1111" spans="1:4" x14ac:dyDescent="0.2">
      <c r="A1111" s="5">
        <v>1050</v>
      </c>
      <c r="B1111" s="1832">
        <f>'Expenditures 15-22'!K38</f>
        <v>37420</v>
      </c>
      <c r="C1111" s="2" t="s">
        <v>569</v>
      </c>
      <c r="D1111" s="2" t="str">
        <f t="shared" si="16"/>
        <v>Error?</v>
      </c>
    </row>
    <row r="1112" spans="1:4" x14ac:dyDescent="0.2">
      <c r="A1112" s="5">
        <v>1051</v>
      </c>
      <c r="B1112" s="1832">
        <f>'Expenditures 15-22'!K39</f>
        <v>9873</v>
      </c>
      <c r="C1112" s="2" t="s">
        <v>569</v>
      </c>
      <c r="D1112" s="2" t="str">
        <f t="shared" si="16"/>
        <v>Error?</v>
      </c>
    </row>
    <row r="1113" spans="1:4" x14ac:dyDescent="0.2">
      <c r="A1113" s="5">
        <v>1052</v>
      </c>
      <c r="B1113" s="1832">
        <f>'Expenditures 15-22'!K40</f>
        <v>134031</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210543</v>
      </c>
      <c r="C1115" s="2" t="s">
        <v>569</v>
      </c>
      <c r="D1115" s="2" t="str">
        <f t="shared" si="16"/>
        <v>Error?</v>
      </c>
    </row>
    <row r="1116" spans="1:4" x14ac:dyDescent="0.2">
      <c r="A1116" s="5">
        <v>1055</v>
      </c>
      <c r="B1116" s="1832">
        <f>'Expenditures 15-22'!K44</f>
        <v>25721</v>
      </c>
      <c r="C1116" s="2" t="s">
        <v>569</v>
      </c>
      <c r="D1116" s="2" t="str">
        <f t="shared" si="16"/>
        <v>Error?</v>
      </c>
    </row>
    <row r="1117" spans="1:4" x14ac:dyDescent="0.2">
      <c r="A1117" s="5">
        <v>1056</v>
      </c>
      <c r="B1117" s="1832">
        <f>'Expenditures 15-22'!K45</f>
        <v>3459</v>
      </c>
      <c r="C1117" s="2" t="s">
        <v>569</v>
      </c>
      <c r="D1117" s="2" t="str">
        <f t="shared" si="16"/>
        <v>Error?</v>
      </c>
    </row>
    <row r="1118" spans="1:4" x14ac:dyDescent="0.2">
      <c r="A1118" s="5">
        <v>1057</v>
      </c>
      <c r="B1118" s="1832">
        <f>'Expenditures 15-22'!K46</f>
        <v>23992</v>
      </c>
      <c r="C1118" s="2" t="s">
        <v>569</v>
      </c>
      <c r="D1118" s="2" t="str">
        <f t="shared" si="16"/>
        <v>Error?</v>
      </c>
    </row>
    <row r="1119" spans="1:4" x14ac:dyDescent="0.2">
      <c r="A1119" s="5">
        <v>1058</v>
      </c>
      <c r="B1119" s="1832">
        <f>'Expenditures 15-22'!K47</f>
        <v>53172</v>
      </c>
      <c r="C1119" s="2" t="s">
        <v>569</v>
      </c>
      <c r="D1119" s="2" t="str">
        <f t="shared" si="16"/>
        <v>Error?</v>
      </c>
    </row>
    <row r="1120" spans="1:4" x14ac:dyDescent="0.2">
      <c r="A1120" s="5">
        <v>1059</v>
      </c>
      <c r="B1120" s="1832">
        <f>'Expenditures 15-22'!K49</f>
        <v>38365</v>
      </c>
      <c r="C1120" s="2" t="s">
        <v>569</v>
      </c>
      <c r="D1120" s="2" t="str">
        <f t="shared" si="16"/>
        <v>Error?</v>
      </c>
    </row>
    <row r="1121" spans="1:4" x14ac:dyDescent="0.2">
      <c r="A1121" s="5">
        <v>1060</v>
      </c>
      <c r="B1121" s="1832">
        <f>'Expenditures 15-22'!K50</f>
        <v>106201</v>
      </c>
      <c r="C1121" s="2" t="s">
        <v>569</v>
      </c>
      <c r="D1121" s="2" t="str">
        <f t="shared" si="16"/>
        <v>Error?</v>
      </c>
    </row>
    <row r="1122" spans="1:4" x14ac:dyDescent="0.2">
      <c r="A1122" s="5">
        <v>1061</v>
      </c>
      <c r="B1122" s="1832">
        <f>'Expenditures 15-22'!K53</f>
        <v>144728</v>
      </c>
      <c r="C1122" s="2" t="s">
        <v>569</v>
      </c>
      <c r="D1122" s="2" t="str">
        <f t="shared" si="16"/>
        <v>Error?</v>
      </c>
    </row>
    <row r="1123" spans="1:4" x14ac:dyDescent="0.2">
      <c r="A1123" s="5">
        <v>1062</v>
      </c>
      <c r="B1123" s="1832">
        <f>'Expenditures 15-22'!K55</f>
        <v>375660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375660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90742</v>
      </c>
      <c r="C1127" s="2" t="s">
        <v>569</v>
      </c>
      <c r="D1127" s="2" t="str">
        <f t="shared" si="16"/>
        <v>Error?</v>
      </c>
    </row>
    <row r="1128" spans="1:4" x14ac:dyDescent="0.2">
      <c r="A1128" s="5">
        <v>1067</v>
      </c>
      <c r="B1128" s="1832">
        <f>'Expenditures 15-22'!K61</f>
        <v>327359</v>
      </c>
      <c r="C1128" s="2" t="s">
        <v>569</v>
      </c>
      <c r="D1128" s="2" t="str">
        <f t="shared" si="16"/>
        <v>Error?</v>
      </c>
    </row>
    <row r="1129" spans="1:4" x14ac:dyDescent="0.2">
      <c r="A1129" s="5">
        <v>1068</v>
      </c>
      <c r="B1129" s="1832">
        <f>'Expenditures 15-22'!K62</f>
        <v>28496</v>
      </c>
      <c r="C1129" s="2" t="s">
        <v>569</v>
      </c>
      <c r="D1129" s="2" t="str">
        <f t="shared" si="16"/>
        <v>Error?</v>
      </c>
    </row>
    <row r="1130" spans="1:4" x14ac:dyDescent="0.2">
      <c r="A1130" s="5">
        <v>1069</v>
      </c>
      <c r="B1130" s="1832">
        <f>'Expenditures 15-22'!K63</f>
        <v>263144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709741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1493844</v>
      </c>
      <c r="C1143" s="2" t="s">
        <v>569</v>
      </c>
      <c r="D1143" s="2" t="str">
        <f t="shared" si="16"/>
        <v>Error?</v>
      </c>
    </row>
    <row r="1144" spans="1:4" x14ac:dyDescent="0.2">
      <c r="A1144" s="5">
        <v>1083</v>
      </c>
      <c r="B1144" s="1832">
        <f>'Expenditures 15-22'!K75</f>
        <v>29806</v>
      </c>
      <c r="C1144" s="2" t="s">
        <v>569</v>
      </c>
      <c r="D1144" s="2" t="str">
        <f t="shared" si="16"/>
        <v>Error?</v>
      </c>
    </row>
    <row r="1145" spans="1:4" x14ac:dyDescent="0.2">
      <c r="A1145" s="5">
        <v>1084</v>
      </c>
      <c r="B1145" s="1832">
        <f>'Expenditures 15-22'!K102</f>
        <v>216681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5416956</v>
      </c>
      <c r="C1152" s="2" t="s">
        <v>569</v>
      </c>
      <c r="D1152" s="2" t="str">
        <f t="shared" si="17"/>
        <v>Error?</v>
      </c>
    </row>
    <row r="1153" spans="1:4" x14ac:dyDescent="0.2">
      <c r="A1153" s="5">
        <v>1092</v>
      </c>
      <c r="B1153" s="1832">
        <f>'Expenditures 15-22'!K115</f>
        <v>219659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203778</v>
      </c>
      <c r="D1237" s="2" t="str">
        <f t="shared" si="18"/>
        <v>Error?</v>
      </c>
    </row>
    <row r="1238" spans="1:4" x14ac:dyDescent="0.2">
      <c r="A1238" s="10">
        <v>1177</v>
      </c>
      <c r="B1238" s="1832"/>
      <c r="D1238" s="2" t="str">
        <f t="shared" si="18"/>
        <v>OK</v>
      </c>
    </row>
    <row r="1239" spans="1:4" x14ac:dyDescent="0.2">
      <c r="A1239" s="5">
        <v>1178</v>
      </c>
      <c r="B1239" s="1832">
        <f>'Expenditures 15-22'!E127</f>
        <v>203778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203778</v>
      </c>
      <c r="C1241" s="2" t="s">
        <v>569</v>
      </c>
      <c r="D1241" s="2" t="str">
        <f t="shared" si="18"/>
        <v>Error?</v>
      </c>
    </row>
    <row r="1242" spans="1:4" x14ac:dyDescent="0.2">
      <c r="A1242" s="5">
        <v>1181</v>
      </c>
      <c r="B1242" s="1832">
        <f>'Expenditures 15-22'!E151</f>
        <v>203778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41120</v>
      </c>
      <c r="D1245" s="2" t="str">
        <f t="shared" si="18"/>
        <v>Error?</v>
      </c>
    </row>
    <row r="1246" spans="1:4" x14ac:dyDescent="0.2">
      <c r="A1246" s="10">
        <v>1185</v>
      </c>
      <c r="B1246" s="1832"/>
      <c r="D1246" s="2" t="str">
        <f t="shared" si="18"/>
        <v>OK</v>
      </c>
    </row>
    <row r="1247" spans="1:4" x14ac:dyDescent="0.2">
      <c r="A1247" s="5">
        <v>1186</v>
      </c>
      <c r="B1247" s="1832">
        <f>'Expenditures 15-22'!F127</f>
        <v>41120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41120</v>
      </c>
      <c r="C1249" s="2" t="s">
        <v>569</v>
      </c>
      <c r="D1249" s="2" t="str">
        <f t="shared" si="18"/>
        <v>Error?</v>
      </c>
    </row>
    <row r="1250" spans="1:4" x14ac:dyDescent="0.2">
      <c r="A1250" s="5">
        <v>1189</v>
      </c>
      <c r="B1250" s="1832">
        <f>'Expenditures 15-22'!F151</f>
        <v>41120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7872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7872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7872</v>
      </c>
      <c r="C1258" s="2" t="s">
        <v>569</v>
      </c>
      <c r="D1258" s="2" t="str">
        <f t="shared" si="18"/>
        <v>Error?</v>
      </c>
    </row>
    <row r="1259" spans="1:4" x14ac:dyDescent="0.2">
      <c r="A1259" s="5">
        <v>1198</v>
      </c>
      <c r="B1259" s="1832">
        <f>'Expenditures 15-22'!G151</f>
        <v>7872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252770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252770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252770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252770</v>
      </c>
      <c r="C1288" s="2" t="s">
        <v>569</v>
      </c>
      <c r="D1288" s="2" t="str">
        <f t="shared" si="19"/>
        <v>Error?</v>
      </c>
    </row>
    <row r="1289" spans="1:4" x14ac:dyDescent="0.2">
      <c r="A1289" s="5">
        <v>1228</v>
      </c>
      <c r="B1289" s="1832">
        <f>'Expenditures 15-22'!K152</f>
        <v>10762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116119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222250</v>
      </c>
      <c r="D1315" s="2" t="str">
        <f t="shared" si="19"/>
        <v>Error?</v>
      </c>
    </row>
    <row r="1316" spans="1:4" x14ac:dyDescent="0.2">
      <c r="A1316" s="5">
        <v>1255</v>
      </c>
      <c r="B1316" s="1832">
        <f>'Expenditures 15-22'!H171</f>
        <v>800</v>
      </c>
      <c r="D1316" s="2" t="str">
        <f t="shared" si="19"/>
        <v>Error?</v>
      </c>
    </row>
    <row r="1317" spans="1:4" x14ac:dyDescent="0.2">
      <c r="A1317" s="5">
        <v>1256</v>
      </c>
      <c r="B1317" s="1832">
        <f>'Expenditures 15-22'!H172</f>
        <v>339169</v>
      </c>
      <c r="C1317" s="2" t="s">
        <v>569</v>
      </c>
      <c r="D1317" s="2" t="str">
        <f t="shared" si="19"/>
        <v>Error?</v>
      </c>
    </row>
    <row r="1318" spans="1:4" x14ac:dyDescent="0.2">
      <c r="A1318" s="5">
        <v>1257</v>
      </c>
      <c r="B1318" s="1832">
        <f>'Expenditures 15-22'!H174</f>
        <v>339169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116119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222250</v>
      </c>
      <c r="C1329" s="2" t="s">
        <v>569</v>
      </c>
      <c r="D1329" s="2" t="str">
        <f t="shared" si="19"/>
        <v>Error?</v>
      </c>
    </row>
    <row r="1330" spans="1:4" x14ac:dyDescent="0.2">
      <c r="A1330" s="5">
        <v>1269</v>
      </c>
      <c r="B1330" s="1832">
        <f>'Expenditures 15-22'!K171</f>
        <v>800</v>
      </c>
      <c r="C1330" s="2" t="s">
        <v>569</v>
      </c>
      <c r="D1330" s="2" t="str">
        <f t="shared" si="19"/>
        <v>Error?</v>
      </c>
    </row>
    <row r="1331" spans="1:4" x14ac:dyDescent="0.2">
      <c r="A1331" s="5">
        <v>1270</v>
      </c>
      <c r="B1331" s="1832">
        <f>'Expenditures 15-22'!K172</f>
        <v>339169</v>
      </c>
      <c r="C1331" s="2" t="s">
        <v>569</v>
      </c>
      <c r="D1331" s="2" t="str">
        <f t="shared" si="19"/>
        <v>Error?</v>
      </c>
    </row>
    <row r="1332" spans="1:4" x14ac:dyDescent="0.2">
      <c r="A1332" s="5">
        <v>1271</v>
      </c>
      <c r="B1332" s="1832">
        <f>'Expenditures 15-22'!K174</f>
        <v>339169</v>
      </c>
      <c r="C1332" s="2" t="s">
        <v>569</v>
      </c>
      <c r="D1332" s="2" t="str">
        <f t="shared" si="19"/>
        <v>Error?</v>
      </c>
    </row>
    <row r="1333" spans="1:4" x14ac:dyDescent="0.2">
      <c r="A1333" s="5">
        <v>1272</v>
      </c>
      <c r="B1333" s="1832">
        <f>'Expenditures 15-22'!K175</f>
        <v>-10217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111377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111377</v>
      </c>
      <c r="C1339" s="2" t="s">
        <v>569</v>
      </c>
      <c r="D1339" s="2" t="str">
        <f t="shared" si="19"/>
        <v>Error?</v>
      </c>
    </row>
    <row r="1340" spans="1:4" x14ac:dyDescent="0.2">
      <c r="A1340" s="5">
        <v>1279</v>
      </c>
      <c r="B1340" s="1832">
        <f>'Expenditures 15-22'!C210</f>
        <v>111377</v>
      </c>
      <c r="C1340" s="2" t="s">
        <v>569</v>
      </c>
      <c r="D1340" s="2" t="str">
        <f t="shared" si="19"/>
        <v>Error?</v>
      </c>
    </row>
    <row r="1341" spans="1:4" x14ac:dyDescent="0.2">
      <c r="A1341" s="5">
        <v>1280</v>
      </c>
      <c r="B1341" s="1832">
        <f>'Expenditures 15-22'!D182</f>
        <v>49873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49873</v>
      </c>
      <c r="C1345" s="2" t="s">
        <v>569</v>
      </c>
      <c r="D1345" s="2" t="str">
        <f t="shared" si="20"/>
        <v>Error?</v>
      </c>
    </row>
    <row r="1346" spans="1:4" x14ac:dyDescent="0.2">
      <c r="A1346" s="5">
        <v>1285</v>
      </c>
      <c r="B1346" s="1832">
        <f>'Expenditures 15-22'!D210</f>
        <v>49873</v>
      </c>
      <c r="C1346" s="2" t="s">
        <v>569</v>
      </c>
      <c r="D1346" s="2" t="str">
        <f t="shared" si="20"/>
        <v>Error?</v>
      </c>
    </row>
    <row r="1347" spans="1:4" x14ac:dyDescent="0.2">
      <c r="A1347" s="5">
        <v>1286</v>
      </c>
      <c r="B1347" s="1832">
        <f>'Expenditures 15-22'!E182</f>
        <v>23464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23464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23464</v>
      </c>
      <c r="C1353" s="2" t="s">
        <v>569</v>
      </c>
      <c r="D1353" s="2" t="str">
        <f t="shared" si="20"/>
        <v>Error?</v>
      </c>
    </row>
    <row r="1354" spans="1:4" x14ac:dyDescent="0.2">
      <c r="A1354" s="5">
        <v>1293</v>
      </c>
      <c r="B1354" s="1832">
        <f>'Expenditures 15-22'!F182</f>
        <v>37039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37039</v>
      </c>
      <c r="C1358" s="2" t="s">
        <v>569</v>
      </c>
      <c r="D1358" s="2" t="str">
        <f t="shared" si="20"/>
        <v>Error?</v>
      </c>
    </row>
    <row r="1359" spans="1:4" x14ac:dyDescent="0.2">
      <c r="A1359" s="5">
        <v>1298</v>
      </c>
      <c r="B1359" s="1832">
        <f>'Expenditures 15-22'!F210</f>
        <v>37039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41758</v>
      </c>
      <c r="C1375" s="2" t="s">
        <v>569</v>
      </c>
      <c r="D1375" s="2" t="str">
        <f t="shared" si="20"/>
        <v>Error?</v>
      </c>
    </row>
    <row r="1376" spans="1:4" x14ac:dyDescent="0.2">
      <c r="A1376" s="5">
        <v>1315</v>
      </c>
      <c r="B1376" s="1832">
        <f>'Expenditures 15-22'!H210</f>
        <v>41758</v>
      </c>
      <c r="C1376" s="2" t="s">
        <v>569</v>
      </c>
      <c r="D1376" s="2" t="str">
        <f t="shared" si="20"/>
        <v>Error?</v>
      </c>
    </row>
    <row r="1377" spans="1:4" x14ac:dyDescent="0.2">
      <c r="A1377" s="5">
        <v>1316</v>
      </c>
      <c r="B1377" s="1832">
        <f>'Expenditures 15-22'!K182</f>
        <v>221753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221753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41758</v>
      </c>
      <c r="C1387" s="2" t="s">
        <v>569</v>
      </c>
      <c r="D1387" s="2" t="str">
        <f t="shared" si="20"/>
        <v>Error?</v>
      </c>
    </row>
    <row r="1388" spans="1:4" x14ac:dyDescent="0.2">
      <c r="A1388" s="5">
        <v>1327</v>
      </c>
      <c r="B1388" s="1832">
        <f>'Expenditures 15-22'!K210</f>
        <v>263511</v>
      </c>
      <c r="C1388" s="2" t="s">
        <v>569</v>
      </c>
      <c r="D1388" s="2" t="str">
        <f t="shared" si="20"/>
        <v>Error?</v>
      </c>
    </row>
    <row r="1389" spans="1:4" x14ac:dyDescent="0.2">
      <c r="A1389" s="5">
        <v>1328</v>
      </c>
      <c r="B1389" s="1832">
        <f>'Expenditures 15-22'!K211</f>
        <v>20139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92</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1147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122551</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167</v>
      </c>
      <c r="D1412" s="2" t="str">
        <f t="shared" si="21"/>
        <v>Error?</v>
      </c>
    </row>
    <row r="1413" spans="1:4" x14ac:dyDescent="0.2">
      <c r="A1413" s="5">
        <v>1352</v>
      </c>
      <c r="B1413" s="1832">
        <f>'Expenditures 15-22'!D234</f>
        <v>5043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1451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6661</v>
      </c>
      <c r="C1417" s="2" t="s">
        <v>569</v>
      </c>
      <c r="D1417" s="2" t="str">
        <f t="shared" si="21"/>
        <v>Error?</v>
      </c>
    </row>
    <row r="1418" spans="1:4" x14ac:dyDescent="0.2">
      <c r="A1418" s="5">
        <v>1357</v>
      </c>
      <c r="B1418" s="1832">
        <f>'Expenditures 15-22'!D240</f>
        <v>109</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109</v>
      </c>
      <c r="C1421" s="2" t="s">
        <v>569</v>
      </c>
      <c r="D1421" s="2" t="str">
        <f t="shared" si="21"/>
        <v>Error?</v>
      </c>
    </row>
    <row r="1422" spans="1:4" x14ac:dyDescent="0.2">
      <c r="A1422" s="5">
        <v>1361</v>
      </c>
      <c r="B1422" s="1832">
        <f>'Expenditures 15-22'!D245</f>
        <v>2518</v>
      </c>
      <c r="D1422" s="2" t="str">
        <f t="shared" si="21"/>
        <v>Error?</v>
      </c>
    </row>
    <row r="1423" spans="1:4" x14ac:dyDescent="0.2">
      <c r="A1423" s="5">
        <v>1362</v>
      </c>
      <c r="B1423" s="1832">
        <f>'Expenditures 15-22'!D246</f>
        <v>1210</v>
      </c>
      <c r="D1423" s="2" t="str">
        <f t="shared" si="21"/>
        <v>Error?</v>
      </c>
    </row>
    <row r="1424" spans="1:4" x14ac:dyDescent="0.2">
      <c r="A1424" s="5">
        <v>1363</v>
      </c>
      <c r="B1424" s="1832">
        <f>'Expenditures 15-22'!D257</f>
        <v>3728</v>
      </c>
      <c r="C1424" s="2" t="s">
        <v>569</v>
      </c>
      <c r="D1424" s="2" t="str">
        <f t="shared" si="21"/>
        <v>Error?</v>
      </c>
    </row>
    <row r="1425" spans="1:4" x14ac:dyDescent="0.2">
      <c r="A1425" s="5">
        <v>1364</v>
      </c>
      <c r="B1425" s="1832">
        <f>'Expenditures 15-22'!D259</f>
        <v>22162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22162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15623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45534</v>
      </c>
      <c r="D1431" s="2" t="str">
        <f t="shared" si="21"/>
        <v>Error?</v>
      </c>
    </row>
    <row r="1432" spans="1:4" x14ac:dyDescent="0.2">
      <c r="A1432" s="5">
        <v>1371</v>
      </c>
      <c r="B1432" s="1832">
        <f>'Expenditures 15-22'!D267</f>
        <v>22985</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84142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116802</v>
      </c>
      <c r="C1446" s="2" t="s">
        <v>569</v>
      </c>
      <c r="D1446" s="2" t="str">
        <f t="shared" si="21"/>
        <v>Error?</v>
      </c>
    </row>
    <row r="1447" spans="1:4" x14ac:dyDescent="0.2">
      <c r="A1447" s="5">
        <v>1386</v>
      </c>
      <c r="B1447" s="1832">
        <f>'Expenditures 15-22'!D280</f>
        <v>329</v>
      </c>
      <c r="D1447" s="2" t="str">
        <f t="shared" si="21"/>
        <v>Error?</v>
      </c>
    </row>
    <row r="1448" spans="1:4" x14ac:dyDescent="0.2">
      <c r="A1448" s="5">
        <v>1387</v>
      </c>
      <c r="B1448" s="1832">
        <f>'Expenditures 15-22'!D295</f>
        <v>239682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92</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1147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122551</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167</v>
      </c>
      <c r="C1476" s="2" t="s">
        <v>569</v>
      </c>
      <c r="D1476" s="2" t="str">
        <f t="shared" si="22"/>
        <v>Error?</v>
      </c>
    </row>
    <row r="1477" spans="1:4" x14ac:dyDescent="0.2">
      <c r="A1477" s="5">
        <v>1416</v>
      </c>
      <c r="B1477" s="1832">
        <f>'Expenditures 15-22'!K234</f>
        <v>5043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1451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6661</v>
      </c>
      <c r="C1481" s="2" t="s">
        <v>569</v>
      </c>
      <c r="D1481" s="2" t="str">
        <f t="shared" si="22"/>
        <v>Error?</v>
      </c>
    </row>
    <row r="1482" spans="1:4" x14ac:dyDescent="0.2">
      <c r="A1482" s="5">
        <v>1421</v>
      </c>
      <c r="B1482" s="1832">
        <f>'Expenditures 15-22'!K240</f>
        <v>109</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109</v>
      </c>
      <c r="C1485" s="2" t="s">
        <v>569</v>
      </c>
      <c r="D1485" s="2" t="str">
        <f t="shared" si="22"/>
        <v>Error?</v>
      </c>
    </row>
    <row r="1486" spans="1:4" x14ac:dyDescent="0.2">
      <c r="A1486" s="5">
        <v>1425</v>
      </c>
      <c r="B1486" s="1832">
        <f>'Expenditures 15-22'!K245</f>
        <v>2518</v>
      </c>
      <c r="C1486" s="2" t="s">
        <v>569</v>
      </c>
      <c r="D1486" s="2" t="str">
        <f t="shared" si="22"/>
        <v>Error?</v>
      </c>
    </row>
    <row r="1487" spans="1:4" x14ac:dyDescent="0.2">
      <c r="A1487" s="5">
        <v>1426</v>
      </c>
      <c r="B1487" s="1832">
        <f>'Expenditures 15-22'!K246</f>
        <v>1210</v>
      </c>
      <c r="C1487" s="2" t="s">
        <v>569</v>
      </c>
      <c r="D1487" s="2" t="str">
        <f t="shared" si="22"/>
        <v>Error?</v>
      </c>
    </row>
    <row r="1488" spans="1:4" x14ac:dyDescent="0.2">
      <c r="A1488" s="5">
        <v>1427</v>
      </c>
      <c r="B1488" s="1832">
        <f>'Expenditures 15-22'!K257</f>
        <v>3728</v>
      </c>
      <c r="C1488" s="2" t="s">
        <v>569</v>
      </c>
      <c r="D1488" s="2" t="str">
        <f t="shared" si="22"/>
        <v>Error?</v>
      </c>
    </row>
    <row r="1489" spans="1:4" x14ac:dyDescent="0.2">
      <c r="A1489" s="5">
        <v>1428</v>
      </c>
      <c r="B1489" s="1832">
        <f>'Expenditures 15-22'!K259</f>
        <v>22162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22162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15623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45534</v>
      </c>
      <c r="C1495" s="2" t="s">
        <v>569</v>
      </c>
      <c r="D1495" s="2" t="str">
        <f t="shared" si="22"/>
        <v>Error?</v>
      </c>
    </row>
    <row r="1496" spans="1:4" x14ac:dyDescent="0.2">
      <c r="A1496" s="5">
        <v>1435</v>
      </c>
      <c r="B1496" s="1832">
        <f>'Expenditures 15-22'!K267</f>
        <v>22985</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84142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116802</v>
      </c>
      <c r="C1510" s="2" t="s">
        <v>569</v>
      </c>
      <c r="D1510" s="2" t="str">
        <f t="shared" si="22"/>
        <v>Error?</v>
      </c>
    </row>
    <row r="1511" spans="1:4" x14ac:dyDescent="0.2">
      <c r="A1511" s="5">
        <v>1450</v>
      </c>
      <c r="B1511" s="1832">
        <f>'Expenditures 15-22'!K280</f>
        <v>329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239682</v>
      </c>
      <c r="C1517" s="2" t="s">
        <v>569</v>
      </c>
      <c r="D1517" s="2" t="str">
        <f t="shared" si="22"/>
        <v>Error?</v>
      </c>
    </row>
    <row r="1518" spans="1:4" x14ac:dyDescent="0.2">
      <c r="A1518" s="5">
        <v>1457</v>
      </c>
      <c r="B1518" s="1832">
        <f>'Expenditures 15-22'!K296</f>
        <v>73353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3579826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3799485</v>
      </c>
      <c r="C1630" s="2" t="s">
        <v>569</v>
      </c>
      <c r="D1630" s="2" t="str">
        <f t="shared" si="24"/>
        <v>Error?</v>
      </c>
    </row>
    <row r="1631" spans="1:4" x14ac:dyDescent="0.2">
      <c r="A1631" s="5">
        <v>1570</v>
      </c>
      <c r="B1631" s="1832">
        <f>'Acct Summary 7-8'!D79</f>
        <v>544575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580337</v>
      </c>
      <c r="C1644" s="2" t="s">
        <v>569</v>
      </c>
      <c r="D1644" s="2" t="str">
        <f t="shared" si="24"/>
        <v>Error?</v>
      </c>
    </row>
    <row r="1645" spans="1:4" x14ac:dyDescent="0.2">
      <c r="A1645" s="5">
        <v>1584</v>
      </c>
      <c r="B1645" s="1832">
        <f>'Acct Summary 7-8'!E79</f>
        <v>41243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31026</v>
      </c>
      <c r="C1658" s="2" t="s">
        <v>569</v>
      </c>
      <c r="D1658" s="2" t="str">
        <f t="shared" si="24"/>
        <v>Error?</v>
      </c>
    </row>
    <row r="1659" spans="1:4" x14ac:dyDescent="0.2">
      <c r="A1659" s="5">
        <v>1598</v>
      </c>
      <c r="B1659" s="1832">
        <f>'Acct Summary 7-8'!F79</f>
        <v>158607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178746</v>
      </c>
      <c r="C1672" s="2" t="s">
        <v>569</v>
      </c>
      <c r="D1672" s="2" t="str">
        <f t="shared" si="25"/>
        <v>Error?</v>
      </c>
    </row>
    <row r="1673" spans="1:4" x14ac:dyDescent="0.2">
      <c r="A1673" s="5">
        <v>1612</v>
      </c>
      <c r="B1673" s="1832">
        <f>'Acct Summary 7-8'!G79</f>
        <v>93506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166859</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542950</v>
      </c>
      <c r="C1744" s="2" t="s">
        <v>569</v>
      </c>
      <c r="D1744" s="2" t="str">
        <f t="shared" si="26"/>
        <v>Error?</v>
      </c>
    </row>
    <row r="1745" spans="1:5" x14ac:dyDescent="0.2">
      <c r="A1745" s="5">
        <v>1684</v>
      </c>
      <c r="B1745" s="1832">
        <f>'Tax Sched 23'!B5</f>
        <v>147541</v>
      </c>
      <c r="C1745" s="2" t="s">
        <v>569</v>
      </c>
      <c r="D1745" s="2" t="str">
        <f t="shared" si="26"/>
        <v>Error?</v>
      </c>
    </row>
    <row r="1746" spans="1:5" x14ac:dyDescent="0.2">
      <c r="A1746" s="5">
        <v>1685</v>
      </c>
      <c r="B1746" s="1832">
        <f>'Tax Sched 23'!B6</f>
        <v>305223</v>
      </c>
      <c r="C1746" s="2" t="s">
        <v>569</v>
      </c>
      <c r="D1746" s="2" t="str">
        <f t="shared" si="26"/>
        <v>Error?</v>
      </c>
    </row>
    <row r="1747" spans="1:5" x14ac:dyDescent="0.2">
      <c r="A1747" s="5">
        <v>1686</v>
      </c>
      <c r="B1747" s="1832">
        <f>'Tax Sched 23'!B7</f>
        <v>70820</v>
      </c>
      <c r="C1747" s="2" t="s">
        <v>569</v>
      </c>
      <c r="D1747" s="2" t="str">
        <f t="shared" si="26"/>
        <v>Error?</v>
      </c>
    </row>
    <row r="1748" spans="1:5" x14ac:dyDescent="0.2">
      <c r="A1748" s="5">
        <v>1687</v>
      </c>
      <c r="B1748" s="1832">
        <f>'Tax Sched 23'!B8</f>
        <v>154119</v>
      </c>
      <c r="C1748" s="2" t="s">
        <v>569</v>
      </c>
      <c r="D1748" s="2" t="str">
        <f t="shared" si="26"/>
        <v>Error?</v>
      </c>
    </row>
    <row r="1749" spans="1:5" x14ac:dyDescent="0.2">
      <c r="A1749" s="5">
        <v>1688</v>
      </c>
      <c r="B1749" s="1832">
        <f>'Tax Sched 23'!B10</f>
        <v>29508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224826</v>
      </c>
      <c r="C1752" s="2" t="s">
        <v>569</v>
      </c>
      <c r="D1752" s="2" t="str">
        <f t="shared" si="26"/>
        <v>Error?</v>
      </c>
    </row>
    <row r="1753" spans="1:5" x14ac:dyDescent="0.2">
      <c r="A1753" s="5">
        <v>1692</v>
      </c>
      <c r="B1753" s="1832">
        <f>'Tax Sched 23'!B12</f>
        <v>29508</v>
      </c>
      <c r="C1753" s="2" t="s">
        <v>569</v>
      </c>
      <c r="D1753" s="2" t="str">
        <f t="shared" si="26"/>
        <v>Error?</v>
      </c>
    </row>
    <row r="1754" spans="1:5" x14ac:dyDescent="0.2">
      <c r="A1754" s="5">
        <v>1693</v>
      </c>
      <c r="B1754" s="1832">
        <f>'Tax Sched 23'!B14</f>
        <v>11803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1830543</v>
      </c>
      <c r="C1759" s="2" t="s">
        <v>569</v>
      </c>
      <c r="D1759" s="2" t="str">
        <f t="shared" si="26"/>
        <v>Error?</v>
      </c>
    </row>
    <row r="1760" spans="1:5" x14ac:dyDescent="0.2">
      <c r="A1760" s="5">
        <v>1699</v>
      </c>
      <c r="B1760" s="1832">
        <f>'Tax Sched 23'!D4</f>
        <v>542950</v>
      </c>
      <c r="C1760" s="2" t="s">
        <v>569</v>
      </c>
      <c r="D1760" s="2" t="str">
        <f t="shared" si="26"/>
        <v>Error?</v>
      </c>
    </row>
    <row r="1761" spans="1:7" x14ac:dyDescent="0.2">
      <c r="A1761" s="5">
        <v>1700</v>
      </c>
      <c r="B1761" s="1832">
        <f>'Tax Sched 23'!D5</f>
        <v>147541</v>
      </c>
      <c r="C1761" s="2" t="s">
        <v>569</v>
      </c>
      <c r="D1761" s="2" t="str">
        <f t="shared" si="26"/>
        <v>Error?</v>
      </c>
    </row>
    <row r="1762" spans="1:7" s="8" customFormat="1" x14ac:dyDescent="0.2">
      <c r="A1762" s="5">
        <v>1701</v>
      </c>
      <c r="B1762" s="1832">
        <f>'Tax Sched 23'!D6</f>
        <v>305223</v>
      </c>
      <c r="C1762" s="2" t="s">
        <v>569</v>
      </c>
      <c r="D1762" s="2" t="str">
        <f t="shared" si="26"/>
        <v>Error?</v>
      </c>
      <c r="E1762" s="9"/>
      <c r="G1762"/>
    </row>
    <row r="1763" spans="1:7" x14ac:dyDescent="0.2">
      <c r="A1763" s="5">
        <v>1702</v>
      </c>
      <c r="B1763" s="1832">
        <f>'Tax Sched 23'!D7</f>
        <v>70820</v>
      </c>
      <c r="C1763" s="2" t="s">
        <v>569</v>
      </c>
      <c r="D1763" s="2" t="str">
        <f t="shared" si="26"/>
        <v>Error?</v>
      </c>
    </row>
    <row r="1764" spans="1:7" x14ac:dyDescent="0.2">
      <c r="A1764" s="5">
        <v>1703</v>
      </c>
      <c r="B1764" s="1832">
        <f>'Tax Sched 23'!D8</f>
        <v>154119</v>
      </c>
      <c r="C1764" s="2" t="s">
        <v>569</v>
      </c>
      <c r="D1764" s="2" t="str">
        <f t="shared" si="26"/>
        <v>Error?</v>
      </c>
    </row>
    <row r="1765" spans="1:7" x14ac:dyDescent="0.2">
      <c r="A1765" s="5">
        <v>1704</v>
      </c>
      <c r="B1765" s="1832">
        <f>'Tax Sched 23'!D10</f>
        <v>29508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224826</v>
      </c>
      <c r="C1768" s="2" t="s">
        <v>569</v>
      </c>
      <c r="D1768" s="2" t="str">
        <f t="shared" si="26"/>
        <v>Error?</v>
      </c>
    </row>
    <row r="1769" spans="1:7" x14ac:dyDescent="0.2">
      <c r="A1769" s="5">
        <v>1708</v>
      </c>
      <c r="B1769" s="1832">
        <f>'Tax Sched 23'!D12</f>
        <v>29508</v>
      </c>
      <c r="C1769" s="2" t="s">
        <v>569</v>
      </c>
      <c r="D1769" s="2" t="str">
        <f t="shared" si="26"/>
        <v>Error?</v>
      </c>
    </row>
    <row r="1770" spans="1:7" x14ac:dyDescent="0.2">
      <c r="A1770" s="5">
        <v>1709</v>
      </c>
      <c r="B1770" s="1832">
        <f>'Tax Sched 23'!D14</f>
        <v>11803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1830543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549304</v>
      </c>
      <c r="C1792" s="2" t="s">
        <v>569</v>
      </c>
      <c r="D1792" s="2" t="str">
        <f t="shared" si="27"/>
        <v>Error?</v>
      </c>
    </row>
    <row r="1793" spans="1:4" x14ac:dyDescent="0.2">
      <c r="A1793" s="5">
        <v>1732</v>
      </c>
      <c r="B1793" s="1832">
        <f>'Tax Sched 23'!F5</f>
        <v>149267</v>
      </c>
      <c r="C1793" s="2" t="s">
        <v>569</v>
      </c>
      <c r="D1793" s="2" t="str">
        <f t="shared" si="27"/>
        <v>Error?</v>
      </c>
    </row>
    <row r="1794" spans="1:4" x14ac:dyDescent="0.2">
      <c r="A1794" s="5">
        <v>1733</v>
      </c>
      <c r="B1794" s="1832">
        <f>'Tax Sched 23'!F6</f>
        <v>306977</v>
      </c>
      <c r="C1794" s="2" t="s">
        <v>569</v>
      </c>
      <c r="D1794" s="2" t="str">
        <f t="shared" si="27"/>
        <v>Error?</v>
      </c>
    </row>
    <row r="1795" spans="1:4" x14ac:dyDescent="0.2">
      <c r="A1795" s="5">
        <v>1734</v>
      </c>
      <c r="B1795" s="1832">
        <f>'Tax Sched 23'!F7</f>
        <v>71648</v>
      </c>
      <c r="C1795" s="2" t="s">
        <v>569</v>
      </c>
      <c r="D1795" s="2" t="str">
        <f t="shared" si="27"/>
        <v>Error?</v>
      </c>
    </row>
    <row r="1796" spans="1:4" x14ac:dyDescent="0.2">
      <c r="A1796" s="5">
        <v>1735</v>
      </c>
      <c r="B1796" s="1832">
        <f>'Tax Sched 23'!F8</f>
        <v>162498</v>
      </c>
      <c r="C1796" s="2" t="s">
        <v>569</v>
      </c>
      <c r="D1796" s="2" t="str">
        <f t="shared" si="27"/>
        <v>Error?</v>
      </c>
    </row>
    <row r="1797" spans="1:4" x14ac:dyDescent="0.2">
      <c r="A1797" s="5">
        <v>1736</v>
      </c>
      <c r="B1797" s="1832">
        <f>'Tax Sched 23'!F10</f>
        <v>29853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225000</v>
      </c>
      <c r="C1800" s="2" t="s">
        <v>569</v>
      </c>
      <c r="D1800" s="2" t="str">
        <f t="shared" si="27"/>
        <v>Error?</v>
      </c>
    </row>
    <row r="1801" spans="1:4" x14ac:dyDescent="0.2">
      <c r="A1801" s="5">
        <v>1740</v>
      </c>
      <c r="B1801" s="1832">
        <f>'Tax Sched 23'!F12</f>
        <v>29853</v>
      </c>
      <c r="C1801" s="2" t="s">
        <v>569</v>
      </c>
      <c r="D1801" s="2" t="str">
        <f t="shared" si="27"/>
        <v>Error?</v>
      </c>
    </row>
    <row r="1802" spans="1:4" x14ac:dyDescent="0.2">
      <c r="A1802" s="5">
        <v>1741</v>
      </c>
      <c r="B1802" s="1832">
        <f>'Tax Sched 23'!F14</f>
        <v>11941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1728692</v>
      </c>
      <c r="C1807" s="2" t="s">
        <v>569</v>
      </c>
      <c r="D1807" s="2" t="str">
        <f t="shared" si="27"/>
        <v>Error?</v>
      </c>
    </row>
    <row r="1808" spans="1:4" x14ac:dyDescent="0.2">
      <c r="A1808" s="5">
        <v>1747</v>
      </c>
      <c r="B1808" s="1832">
        <f>'Tax Sched 23'!E4</f>
        <v>549304</v>
      </c>
      <c r="D1808" s="2" t="str">
        <f t="shared" si="27"/>
        <v>Error?</v>
      </c>
    </row>
    <row r="1809" spans="1:4" x14ac:dyDescent="0.2">
      <c r="A1809" s="5">
        <v>1748</v>
      </c>
      <c r="B1809" s="1832">
        <f>'Tax Sched 23'!E5</f>
        <v>149267</v>
      </c>
      <c r="D1809" s="2" t="str">
        <f t="shared" si="27"/>
        <v>Error?</v>
      </c>
    </row>
    <row r="1810" spans="1:4" x14ac:dyDescent="0.2">
      <c r="A1810" s="5">
        <v>1749</v>
      </c>
      <c r="B1810" s="1832">
        <f>'Tax Sched 23'!E6</f>
        <v>306977</v>
      </c>
      <c r="D1810" s="2" t="str">
        <f t="shared" si="27"/>
        <v>Error?</v>
      </c>
    </row>
    <row r="1811" spans="1:4" x14ac:dyDescent="0.2">
      <c r="A1811" s="5">
        <v>1750</v>
      </c>
      <c r="B1811" s="1832">
        <f>'Tax Sched 23'!E7</f>
        <v>71648</v>
      </c>
      <c r="D1811" s="2" t="str">
        <f t="shared" si="27"/>
        <v>Error?</v>
      </c>
    </row>
    <row r="1812" spans="1:4" x14ac:dyDescent="0.2">
      <c r="A1812" s="5">
        <v>1751</v>
      </c>
      <c r="B1812" s="1832">
        <f>'Tax Sched 23'!E8</f>
        <v>162498</v>
      </c>
      <c r="D1812" s="2" t="str">
        <f t="shared" si="27"/>
        <v>Error?</v>
      </c>
    </row>
    <row r="1813" spans="1:4" x14ac:dyDescent="0.2">
      <c r="A1813" s="5">
        <v>1752</v>
      </c>
      <c r="B1813" s="1832">
        <f>'Tax Sched 23'!E10</f>
        <v>29853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225000</v>
      </c>
      <c r="D1816" s="2" t="str">
        <f t="shared" si="27"/>
        <v>Error?</v>
      </c>
    </row>
    <row r="1817" spans="1:4" x14ac:dyDescent="0.2">
      <c r="A1817" s="5">
        <v>1756</v>
      </c>
      <c r="B1817" s="1832">
        <f>'Tax Sched 23'!E12</f>
        <v>29853</v>
      </c>
      <c r="D1817" s="2" t="str">
        <f t="shared" si="27"/>
        <v>Error?</v>
      </c>
    </row>
    <row r="1818" spans="1:4" x14ac:dyDescent="0.2">
      <c r="A1818" s="5">
        <v>1757</v>
      </c>
      <c r="B1818" s="1832">
        <f>'Tax Sched 23'!E14</f>
        <v>11941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1728692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2502600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11863</v>
      </c>
      <c r="D1972" s="2" t="str">
        <f t="shared" si="29"/>
        <v>Error?</v>
      </c>
    </row>
    <row r="1973" spans="1:5" x14ac:dyDescent="0.2">
      <c r="A1973" s="5">
        <v>1912</v>
      </c>
      <c r="B1973" s="1832">
        <f>'Rest Tax Levies-Tort Im 25'!H6</f>
        <v>9</v>
      </c>
      <c r="D1973" s="2" t="str">
        <f t="shared" si="29"/>
        <v>Error?</v>
      </c>
    </row>
    <row r="1974" spans="1:5" x14ac:dyDescent="0.2">
      <c r="A1974" s="5">
        <v>1913</v>
      </c>
      <c r="B1974" s="1832">
        <f>'Rest Tax Levies-Tort Im 25'!H10</f>
        <v>13705</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25577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25577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157600</v>
      </c>
      <c r="D2008" s="2" t="str">
        <f t="shared" si="30"/>
        <v>Error?</v>
      </c>
    </row>
    <row r="2009" spans="1:4" x14ac:dyDescent="0.2">
      <c r="A2009" s="5">
        <v>1948</v>
      </c>
      <c r="B2009" s="1832">
        <f>'Cap Outlay Deprec 26'!C8</f>
        <v>11871844</v>
      </c>
      <c r="D2009" s="2" t="str">
        <f t="shared" si="30"/>
        <v>Error?</v>
      </c>
    </row>
    <row r="2010" spans="1:4" x14ac:dyDescent="0.2">
      <c r="A2010" s="5">
        <v>1949</v>
      </c>
      <c r="B2010" s="1832">
        <f>'Cap Outlay Deprec 26'!C10</f>
        <v>115284</v>
      </c>
      <c r="D2010" s="2" t="str">
        <f t="shared" si="30"/>
        <v>Error?</v>
      </c>
    </row>
    <row r="2011" spans="1:4" x14ac:dyDescent="0.2">
      <c r="A2011" s="5">
        <v>1950</v>
      </c>
      <c r="B2011" s="1832">
        <f>'Cap Outlay Deprec 26'!C12</f>
        <v>961605</v>
      </c>
      <c r="D2011" s="2" t="str">
        <f t="shared" si="30"/>
        <v>Error?</v>
      </c>
    </row>
    <row r="2012" spans="1:4" x14ac:dyDescent="0.2">
      <c r="A2012" s="5">
        <v>1951</v>
      </c>
      <c r="B2012" s="1832">
        <f>'Cap Outlay Deprec 26'!C13</f>
        <v>787254</v>
      </c>
      <c r="D2012" s="2" t="str">
        <f t="shared" si="30"/>
        <v>Error?</v>
      </c>
    </row>
    <row r="2013" spans="1:4" x14ac:dyDescent="0.2">
      <c r="A2013" s="5">
        <v>1952</v>
      </c>
      <c r="B2013" s="1832">
        <f>'Cap Outlay Deprec 26'!C16</f>
        <v>13893587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46400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51533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97933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60543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60543</v>
      </c>
      <c r="C2025" s="2" t="s">
        <v>569</v>
      </c>
      <c r="D2025" s="2" t="str">
        <f t="shared" si="30"/>
        <v>Error?</v>
      </c>
    </row>
    <row r="2026" spans="1:4" x14ac:dyDescent="0.2">
      <c r="A2026" s="5">
        <v>1965</v>
      </c>
      <c r="B2026" s="1832">
        <f>'Cap Outlay Deprec 26'!F5</f>
        <v>157600</v>
      </c>
      <c r="C2026" s="2" t="s">
        <v>569</v>
      </c>
      <c r="D2026" s="2" t="str">
        <f t="shared" si="30"/>
        <v>Error?</v>
      </c>
    </row>
    <row r="2027" spans="1:4" x14ac:dyDescent="0.2">
      <c r="A2027" s="5">
        <v>1966</v>
      </c>
      <c r="B2027" s="1832">
        <f>'Cap Outlay Deprec 26'!F8</f>
        <v>11918244</v>
      </c>
      <c r="C2027" s="2" t="s">
        <v>569</v>
      </c>
      <c r="D2027" s="2" t="str">
        <f t="shared" si="30"/>
        <v>Error?</v>
      </c>
    </row>
    <row r="2028" spans="1:4" x14ac:dyDescent="0.2">
      <c r="A2028" s="5">
        <v>1967</v>
      </c>
      <c r="B2028" s="1832">
        <f>'Cap Outlay Deprec 26'!F10</f>
        <v>115284</v>
      </c>
      <c r="C2028" s="2" t="s">
        <v>569</v>
      </c>
      <c r="D2028" s="2" t="str">
        <f t="shared" si="30"/>
        <v>Error?</v>
      </c>
    </row>
    <row r="2029" spans="1:4" x14ac:dyDescent="0.2">
      <c r="A2029" s="5">
        <v>1968</v>
      </c>
      <c r="B2029" s="1832">
        <f>'Cap Outlay Deprec 26'!F12</f>
        <v>952595</v>
      </c>
      <c r="C2029" s="2" t="s">
        <v>569</v>
      </c>
      <c r="D2029" s="2" t="str">
        <f t="shared" si="30"/>
        <v>Error?</v>
      </c>
    </row>
    <row r="2030" spans="1:4" x14ac:dyDescent="0.2">
      <c r="A2030" s="5">
        <v>1969</v>
      </c>
      <c r="B2030" s="1832">
        <f>'Cap Outlay Deprec 26'!F13</f>
        <v>787254</v>
      </c>
      <c r="C2030" s="2" t="s">
        <v>569</v>
      </c>
      <c r="D2030" s="2" t="str">
        <f t="shared" si="30"/>
        <v>Error?</v>
      </c>
    </row>
    <row r="2031" spans="1:4" x14ac:dyDescent="0.2">
      <c r="A2031" s="5">
        <v>1970</v>
      </c>
      <c r="B2031" s="1832">
        <f>'Cap Outlay Deprec 26'!F16</f>
        <v>13930977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3201844</v>
      </c>
      <c r="D2033" s="2" t="str">
        <f t="shared" si="30"/>
        <v>Error?</v>
      </c>
    </row>
    <row r="2034" spans="1:4" x14ac:dyDescent="0.2">
      <c r="A2034" s="5">
        <v>1973</v>
      </c>
      <c r="B2034" s="1832">
        <f>'Cap Outlay Deprec 26'!H10</f>
        <v>103761</v>
      </c>
      <c r="D2034" s="2" t="str">
        <f t="shared" si="30"/>
        <v>Error?</v>
      </c>
    </row>
    <row r="2035" spans="1:4" x14ac:dyDescent="0.2">
      <c r="A2035" s="5">
        <v>1974</v>
      </c>
      <c r="B2035" s="1832">
        <f>'Cap Outlay Deprec 26'!H12</f>
        <v>560487</v>
      </c>
      <c r="D2035" s="2" t="str">
        <f t="shared" si="30"/>
        <v>Error?</v>
      </c>
    </row>
    <row r="2036" spans="1:4" x14ac:dyDescent="0.2">
      <c r="A2036" s="5">
        <v>1975</v>
      </c>
      <c r="B2036" s="1832">
        <f>'Cap Outlay Deprec 26'!H13</f>
        <v>594531</v>
      </c>
      <c r="D2036" s="2" t="str">
        <f t="shared" si="30"/>
        <v>Error?</v>
      </c>
    </row>
    <row r="2037" spans="1:4" x14ac:dyDescent="0.2">
      <c r="A2037" s="5">
        <v>1976</v>
      </c>
      <c r="B2037" s="1832">
        <f>'Cap Outlay Deprec 26'!H16</f>
        <v>4460623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221767</v>
      </c>
      <c r="D2039" s="2" t="str">
        <f t="shared" si="30"/>
        <v>Error?</v>
      </c>
    </row>
    <row r="2040" spans="1:4" x14ac:dyDescent="0.2">
      <c r="A2040" s="5">
        <v>1979</v>
      </c>
      <c r="B2040" s="1832">
        <f>'Cap Outlay Deprec 26'!I10</f>
        <v>1500</v>
      </c>
      <c r="D2040" s="2" t="str">
        <f t="shared" si="30"/>
        <v>Error?</v>
      </c>
    </row>
    <row r="2041" spans="1:4" x14ac:dyDescent="0.2">
      <c r="A2041" s="5">
        <v>1980</v>
      </c>
      <c r="B2041" s="1832">
        <f>'Cap Outlay Deprec 26'!I12</f>
        <v>83361</v>
      </c>
      <c r="D2041" s="2" t="str">
        <f t="shared" si="30"/>
        <v>Error?</v>
      </c>
    </row>
    <row r="2042" spans="1:4" x14ac:dyDescent="0.2">
      <c r="A2042" s="5">
        <v>1981</v>
      </c>
      <c r="B2042" s="1832">
        <f>'Cap Outlay Deprec 26'!I13</f>
        <v>42243</v>
      </c>
      <c r="D2042" s="2" t="str">
        <f t="shared" si="30"/>
        <v>Error?</v>
      </c>
    </row>
    <row r="2043" spans="1:4" x14ac:dyDescent="0.2">
      <c r="A2043" s="5">
        <v>1982</v>
      </c>
      <c r="B2043" s="1832">
        <f>'Cap Outlay Deprec 26'!I16</f>
        <v>348871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60543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60543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3423611</v>
      </c>
      <c r="C2051" s="2" t="s">
        <v>569</v>
      </c>
      <c r="D2051" s="2" t="str">
        <f t="shared" si="31"/>
        <v>Error?</v>
      </c>
    </row>
    <row r="2052" spans="1:4" x14ac:dyDescent="0.2">
      <c r="A2052" s="5">
        <v>1991</v>
      </c>
      <c r="B2052" s="1832">
        <f>'Cap Outlay Deprec 26'!K10</f>
        <v>105261</v>
      </c>
      <c r="C2052" s="2" t="s">
        <v>569</v>
      </c>
      <c r="D2052" s="2" t="str">
        <f t="shared" si="31"/>
        <v>Error?</v>
      </c>
    </row>
    <row r="2053" spans="1:4" x14ac:dyDescent="0.2">
      <c r="A2053" s="5">
        <v>1992</v>
      </c>
      <c r="B2053" s="1832">
        <f>'Cap Outlay Deprec 26'!K12</f>
        <v>583305</v>
      </c>
      <c r="C2053" s="2" t="s">
        <v>569</v>
      </c>
      <c r="D2053" s="2" t="str">
        <f t="shared" si="31"/>
        <v>Error?</v>
      </c>
    </row>
    <row r="2054" spans="1:4" x14ac:dyDescent="0.2">
      <c r="A2054" s="5">
        <v>1993</v>
      </c>
      <c r="B2054" s="1832">
        <f>'Cap Outlay Deprec 26'!K13</f>
        <v>636774</v>
      </c>
      <c r="C2054" s="2" t="s">
        <v>569</v>
      </c>
      <c r="D2054" s="2" t="str">
        <f t="shared" si="31"/>
        <v>Error?</v>
      </c>
    </row>
    <row r="2055" spans="1:4" x14ac:dyDescent="0.2">
      <c r="A2055" s="5">
        <v>1994</v>
      </c>
      <c r="B2055" s="1832">
        <f>'Cap Outlay Deprec 26'!K16</f>
        <v>4748951</v>
      </c>
      <c r="C2055" s="2" t="s">
        <v>569</v>
      </c>
      <c r="D2055" s="2" t="str">
        <f t="shared" si="31"/>
        <v>Error?</v>
      </c>
    </row>
    <row r="2056" spans="1:4" x14ac:dyDescent="0.2">
      <c r="A2056" s="5">
        <v>1995</v>
      </c>
      <c r="B2056" s="1832">
        <f>'Cap Outlay Deprec 26'!L5</f>
        <v>157600</v>
      </c>
      <c r="C2056" s="2" t="s">
        <v>569</v>
      </c>
      <c r="D2056" s="2" t="str">
        <f t="shared" si="31"/>
        <v>Error?</v>
      </c>
    </row>
    <row r="2057" spans="1:4" x14ac:dyDescent="0.2">
      <c r="A2057" s="5">
        <v>1996</v>
      </c>
      <c r="B2057" s="1832">
        <f>'Cap Outlay Deprec 26'!L8</f>
        <v>8494633</v>
      </c>
      <c r="C2057" s="2" t="s">
        <v>569</v>
      </c>
      <c r="D2057" s="2" t="str">
        <f t="shared" si="31"/>
        <v>Error?</v>
      </c>
    </row>
    <row r="2058" spans="1:4" x14ac:dyDescent="0.2">
      <c r="A2058" s="5">
        <v>1997</v>
      </c>
      <c r="B2058" s="1832">
        <f>'Cap Outlay Deprec 26'!L10</f>
        <v>10023</v>
      </c>
      <c r="C2058" s="2" t="s">
        <v>569</v>
      </c>
      <c r="D2058" s="2" t="str">
        <f t="shared" si="31"/>
        <v>Error?</v>
      </c>
    </row>
    <row r="2059" spans="1:4" x14ac:dyDescent="0.2">
      <c r="A2059" s="5">
        <v>1998</v>
      </c>
      <c r="B2059" s="1832">
        <f>'Cap Outlay Deprec 26'!L12</f>
        <v>369290</v>
      </c>
      <c r="C2059" s="2" t="s">
        <v>569</v>
      </c>
      <c r="D2059" s="2" t="str">
        <f t="shared" si="31"/>
        <v>Error?</v>
      </c>
    </row>
    <row r="2060" spans="1:4" x14ac:dyDescent="0.2">
      <c r="A2060" s="5">
        <v>1999</v>
      </c>
      <c r="B2060" s="1832">
        <f>'Cap Outlay Deprec 26'!L13</f>
        <v>150480</v>
      </c>
      <c r="C2060" s="2" t="s">
        <v>569</v>
      </c>
      <c r="D2060" s="2" t="str">
        <f t="shared" si="31"/>
        <v>Error?</v>
      </c>
    </row>
    <row r="2061" spans="1:4" x14ac:dyDescent="0.2">
      <c r="A2061" s="5">
        <v>2000</v>
      </c>
      <c r="B2061" s="1832">
        <f>'Cap Outlay Deprec 26'!L16</f>
        <v>9182026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87583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216681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38216</v>
      </c>
      <c r="D2435" s="2" t="str">
        <f t="shared" si="37"/>
        <v>Error?</v>
      </c>
    </row>
    <row r="2436" spans="1:4" x14ac:dyDescent="0.2">
      <c r="A2436" s="10">
        <v>2375</v>
      </c>
      <c r="B2436" s="1832"/>
      <c r="D2436" s="2" t="str">
        <f t="shared" si="37"/>
        <v>OK</v>
      </c>
    </row>
    <row r="2437" spans="1:4" x14ac:dyDescent="0.2">
      <c r="A2437" s="5">
        <v>2376</v>
      </c>
      <c r="B2437" s="1832">
        <f>'Assets-Liab 5-6'!D38</f>
        <v>12985</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99207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1017022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3861956</v>
      </c>
      <c r="C2553" s="2" t="s">
        <v>569</v>
      </c>
      <c r="D2553" s="2" t="str">
        <f t="shared" si="38"/>
        <v>Error?</v>
      </c>
    </row>
    <row r="2554" spans="1:4" x14ac:dyDescent="0.2">
      <c r="A2554" s="5">
        <v>2493</v>
      </c>
      <c r="B2554" s="1832">
        <f>'Acct Summary 7-8'!C7</f>
        <v>757637</v>
      </c>
      <c r="C2554" s="2" t="s">
        <v>569</v>
      </c>
      <c r="D2554" s="2" t="str">
        <f t="shared" si="38"/>
        <v>Error?</v>
      </c>
    </row>
    <row r="2555" spans="1:4" x14ac:dyDescent="0.2">
      <c r="A2555" s="5">
        <v>2494</v>
      </c>
      <c r="B2555" s="1832">
        <f>'Acct Summary 7-8'!C8</f>
        <v>5636615</v>
      </c>
      <c r="C2555" s="2" t="s">
        <v>569</v>
      </c>
      <c r="D2555" s="2" t="str">
        <f t="shared" si="38"/>
        <v>Error?</v>
      </c>
    </row>
    <row r="2556" spans="1:4" x14ac:dyDescent="0.2">
      <c r="A2556" s="5">
        <v>2495</v>
      </c>
      <c r="B2556" s="1832">
        <f>'Acct Summary 7-8'!C12</f>
        <v>3676625</v>
      </c>
      <c r="C2556" s="2" t="s">
        <v>569</v>
      </c>
      <c r="D2556" s="2" t="str">
        <f t="shared" si="38"/>
        <v>Error?</v>
      </c>
    </row>
    <row r="2557" spans="1:4" x14ac:dyDescent="0.2">
      <c r="A2557" s="5">
        <v>2496</v>
      </c>
      <c r="B2557" s="1832">
        <f>'Acct Summary 7-8'!C13</f>
        <v>1493844</v>
      </c>
      <c r="C2557" s="2" t="s">
        <v>569</v>
      </c>
      <c r="D2557" s="2" t="str">
        <f t="shared" si="38"/>
        <v>Error?</v>
      </c>
    </row>
    <row r="2558" spans="1:4" x14ac:dyDescent="0.2">
      <c r="A2558" s="5">
        <v>2497</v>
      </c>
      <c r="B2558" s="1832">
        <f>'Acct Summary 7-8'!C14</f>
        <v>29806</v>
      </c>
      <c r="C2558" s="2" t="s">
        <v>569</v>
      </c>
      <c r="D2558" s="2" t="str">
        <f t="shared" si="38"/>
        <v>Error?</v>
      </c>
    </row>
    <row r="2559" spans="1:4" x14ac:dyDescent="0.2">
      <c r="A2559" s="5">
        <v>2498</v>
      </c>
      <c r="B2559" s="1832">
        <f>'Acct Summary 7-8'!C15</f>
        <v>216681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5416956</v>
      </c>
      <c r="C2561" s="2" t="s">
        <v>569</v>
      </c>
      <c r="D2561" s="2" t="str">
        <f t="shared" si="39"/>
        <v>Error?</v>
      </c>
    </row>
    <row r="2562" spans="1:4" x14ac:dyDescent="0.2">
      <c r="A2562" s="5">
        <v>2501</v>
      </c>
      <c r="B2562" s="1832">
        <f>'Acct Summary 7-8'!C20</f>
        <v>219659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173532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263532</v>
      </c>
      <c r="C2568" s="2" t="s">
        <v>569</v>
      </c>
      <c r="D2568" s="2" t="str">
        <f t="shared" si="39"/>
        <v>Error?</v>
      </c>
    </row>
    <row r="2569" spans="1:4" x14ac:dyDescent="0.2">
      <c r="A2569" s="5">
        <v>2508</v>
      </c>
      <c r="B2569" s="1832">
        <f>'Acct Summary 7-8'!D13</f>
        <v>252770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252770</v>
      </c>
      <c r="C2573" s="2" t="s">
        <v>569</v>
      </c>
      <c r="D2573" s="2" t="str">
        <f t="shared" si="39"/>
        <v>Error?</v>
      </c>
    </row>
    <row r="2574" spans="1:4" x14ac:dyDescent="0.2">
      <c r="A2574" s="5">
        <v>2513</v>
      </c>
      <c r="B2574" s="1832">
        <f>'Acct Summary 7-8'!D20</f>
        <v>10762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77777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205873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283650</v>
      </c>
      <c r="C2595" s="2" t="s">
        <v>569</v>
      </c>
      <c r="D2595" s="2" t="str">
        <f t="shared" si="39"/>
        <v>Error?</v>
      </c>
    </row>
    <row r="2596" spans="1:4" x14ac:dyDescent="0.2">
      <c r="A2596" s="5">
        <v>2535</v>
      </c>
      <c r="B2596" s="1832">
        <f>'Acct Summary 7-8'!F13</f>
        <v>221753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41758</v>
      </c>
      <c r="C2599" s="2" t="s">
        <v>569</v>
      </c>
      <c r="D2599" s="2" t="str">
        <f t="shared" si="39"/>
        <v>Error?</v>
      </c>
    </row>
    <row r="2600" spans="1:4" x14ac:dyDescent="0.2">
      <c r="A2600" s="5">
        <v>2539</v>
      </c>
      <c r="B2600" s="1832">
        <f>'Acct Summary 7-8'!F17</f>
        <v>263511</v>
      </c>
      <c r="C2600" s="2" t="s">
        <v>569</v>
      </c>
      <c r="D2600" s="2" t="str">
        <f t="shared" si="39"/>
        <v>Error?</v>
      </c>
    </row>
    <row r="2601" spans="1:4" x14ac:dyDescent="0.2">
      <c r="A2601" s="5">
        <v>2540</v>
      </c>
      <c r="B2601" s="1832">
        <f>'Acct Summary 7-8'!F20</f>
        <v>20139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313035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313035</v>
      </c>
      <c r="C2606" s="2" t="s">
        <v>569</v>
      </c>
      <c r="D2606" s="2" t="str">
        <f t="shared" si="39"/>
        <v>Error?</v>
      </c>
    </row>
    <row r="2607" spans="1:4" x14ac:dyDescent="0.2">
      <c r="A2607" s="5">
        <v>2546</v>
      </c>
      <c r="B2607" s="1832">
        <f>'Acct Summary 7-8'!G12</f>
        <v>122551</v>
      </c>
      <c r="C2607" s="2" t="s">
        <v>569</v>
      </c>
      <c r="D2607" s="2" t="str">
        <f t="shared" si="39"/>
        <v>Error?</v>
      </c>
    </row>
    <row r="2608" spans="1:4" x14ac:dyDescent="0.2">
      <c r="A2608" s="5">
        <v>2547</v>
      </c>
      <c r="B2608" s="1832">
        <f>'Acct Summary 7-8'!G13</f>
        <v>116802</v>
      </c>
      <c r="C2608" s="2" t="s">
        <v>569</v>
      </c>
      <c r="D2608" s="2" t="str">
        <f t="shared" si="39"/>
        <v>Error?</v>
      </c>
    </row>
    <row r="2609" spans="1:4" x14ac:dyDescent="0.2">
      <c r="A2609" s="5">
        <v>2548</v>
      </c>
      <c r="B2609" s="1832">
        <f>'Acct Summary 7-8'!G14</f>
        <v>329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239682</v>
      </c>
      <c r="C2612" s="2" t="s">
        <v>569</v>
      </c>
      <c r="D2612" s="2" t="str">
        <f t="shared" si="39"/>
        <v>Error?</v>
      </c>
    </row>
    <row r="2613" spans="1:4" x14ac:dyDescent="0.2">
      <c r="A2613" s="5">
        <v>2552</v>
      </c>
      <c r="B2613" s="1832">
        <f>'Acct Summary 7-8'!G20</f>
        <v>73353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307065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328952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339169</v>
      </c>
      <c r="C2634" s="2" t="s">
        <v>569</v>
      </c>
      <c r="D2634" s="2" t="str">
        <f t="shared" si="40"/>
        <v>Error?</v>
      </c>
    </row>
    <row r="2635" spans="1:4" x14ac:dyDescent="0.2">
      <c r="A2635" s="5">
        <v>2574</v>
      </c>
      <c r="B2635" s="1832">
        <f>'Acct Summary 7-8'!E17</f>
        <v>339169</v>
      </c>
      <c r="C2635" s="2" t="s">
        <v>569</v>
      </c>
      <c r="D2635" s="2" t="str">
        <f t="shared" si="40"/>
        <v>Error?</v>
      </c>
    </row>
    <row r="2636" spans="1:4" x14ac:dyDescent="0.2">
      <c r="A2636" s="5">
        <v>2575</v>
      </c>
      <c r="B2636" s="1832">
        <f>'Acct Summary 7-8'!E20</f>
        <v>-10217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162</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162</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129098</v>
      </c>
      <c r="C2789" s="2" t="s">
        <v>569</v>
      </c>
      <c r="D2789" s="2" t="str">
        <f t="shared" si="42"/>
        <v>Error?</v>
      </c>
    </row>
    <row r="2790" spans="1:4" x14ac:dyDescent="0.2">
      <c r="A2790" s="5">
        <v>2729</v>
      </c>
      <c r="B2790" s="1832">
        <f>'Expenditures 15-22'!E102</f>
        <v>129098</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273732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17939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273732</v>
      </c>
      <c r="D2912" s="2" t="str">
        <f t="shared" si="44"/>
        <v>Error?</v>
      </c>
    </row>
    <row r="2913" spans="1:4" x14ac:dyDescent="0.2">
      <c r="A2913" s="5">
        <v>2852</v>
      </c>
      <c r="B2913" s="1832">
        <f>'Assets-Liab 5-6'!I41</f>
        <v>273732</v>
      </c>
      <c r="C2913" s="2" t="s">
        <v>569</v>
      </c>
      <c r="D2913" s="2" t="str">
        <f t="shared" si="44"/>
        <v>Error?</v>
      </c>
    </row>
    <row r="2914" spans="1:4" x14ac:dyDescent="0.2">
      <c r="A2914" s="5">
        <v>2853</v>
      </c>
      <c r="B2914" s="1832">
        <f>'Assets-Liab 5-6'!L33</f>
        <v>17939</v>
      </c>
      <c r="D2914" s="2" t="str">
        <f t="shared" si="44"/>
        <v>Error?</v>
      </c>
    </row>
    <row r="2915" spans="1:4" x14ac:dyDescent="0.2">
      <c r="A2915" s="10">
        <v>2854</v>
      </c>
      <c r="B2915" s="1832"/>
      <c r="D2915" s="2" t="str">
        <f t="shared" si="44"/>
        <v>OK</v>
      </c>
    </row>
    <row r="2916" spans="1:4" x14ac:dyDescent="0.2">
      <c r="A2916" s="5">
        <v>2855</v>
      </c>
      <c r="B2916" s="1832">
        <f>'Assets-Liab 5-6'!L34</f>
        <v>17939</v>
      </c>
      <c r="C2916" s="2" t="s">
        <v>569</v>
      </c>
      <c r="D2916" s="2" t="str">
        <f t="shared" si="44"/>
        <v>Error?</v>
      </c>
    </row>
    <row r="2917" spans="1:4" x14ac:dyDescent="0.2">
      <c r="A2917" s="5">
        <v>2856</v>
      </c>
      <c r="B2917" s="1832">
        <f>'Assets-Liab 5-6'!L41</f>
        <v>17939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129098</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87583</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87583</v>
      </c>
      <c r="C2973" s="2" t="s">
        <v>569</v>
      </c>
      <c r="D2973" s="2" t="str">
        <f t="shared" si="45"/>
        <v>Error?</v>
      </c>
    </row>
    <row r="2974" spans="1:4" x14ac:dyDescent="0.2">
      <c r="A2974" s="5">
        <v>2913</v>
      </c>
      <c r="B2974" s="1832">
        <f>'Expenditures 15-22'!K79</f>
        <v>129098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152275</v>
      </c>
      <c r="D3055" s="2" t="str">
        <f t="shared" si="46"/>
        <v>Error?</v>
      </c>
    </row>
    <row r="3056" spans="1:4" x14ac:dyDescent="0.2">
      <c r="A3056" s="5">
        <v>2995</v>
      </c>
      <c r="B3056" s="1832">
        <f>'Expenditures 15-22'!D10</f>
        <v>43972</v>
      </c>
      <c r="D3056" s="2" t="str">
        <f t="shared" si="46"/>
        <v>Error?</v>
      </c>
    </row>
    <row r="3057" spans="1:4" x14ac:dyDescent="0.2">
      <c r="A3057" s="5">
        <v>2996</v>
      </c>
      <c r="B3057" s="1832">
        <f>'Expenditures 15-22'!E10</f>
        <v>3550</v>
      </c>
      <c r="D3057" s="2" t="str">
        <f t="shared" si="46"/>
        <v>Error?</v>
      </c>
    </row>
    <row r="3058" spans="1:4" x14ac:dyDescent="0.2">
      <c r="A3058" s="5">
        <v>2997</v>
      </c>
      <c r="B3058" s="1832">
        <f>'Expenditures 15-22'!F10</f>
        <v>83197</v>
      </c>
      <c r="D3058" s="2" t="str">
        <f t="shared" si="46"/>
        <v>Error?</v>
      </c>
    </row>
    <row r="3059" spans="1:4" x14ac:dyDescent="0.2">
      <c r="A3059" s="5">
        <v>2998</v>
      </c>
      <c r="B3059" s="1832">
        <f>'Expenditures 15-22'!G10</f>
        <v>3492</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286486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13573</v>
      </c>
      <c r="D3064" s="2" t="str">
        <f t="shared" si="46"/>
        <v>Error?</v>
      </c>
    </row>
    <row r="3065" spans="1:4" x14ac:dyDescent="0.2">
      <c r="A3065" s="5">
        <v>3004</v>
      </c>
      <c r="B3065" s="1832">
        <f>'Expenditures 15-22'!K219</f>
        <v>13573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30538</v>
      </c>
      <c r="C3225" s="2" t="s">
        <v>569</v>
      </c>
      <c r="D3225" s="2" t="str">
        <f t="shared" si="49"/>
        <v>Error?</v>
      </c>
    </row>
    <row r="3226" spans="1:4" x14ac:dyDescent="0.2">
      <c r="A3226" s="5">
        <v>3165</v>
      </c>
      <c r="B3226" s="1832">
        <f>'Acct Summary 7-8'!I8</f>
        <v>30538</v>
      </c>
      <c r="C3226" s="2" t="s">
        <v>569</v>
      </c>
      <c r="D3226" s="2" t="str">
        <f t="shared" si="49"/>
        <v>Error?</v>
      </c>
    </row>
    <row r="3227" spans="1:4" x14ac:dyDescent="0.2">
      <c r="A3227" s="5">
        <v>3166</v>
      </c>
      <c r="B3227" s="1832">
        <f>'Acct Summary 7-8'!I20</f>
        <v>30538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219659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25000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25000</v>
      </c>
      <c r="C3238" s="2" t="s">
        <v>569</v>
      </c>
      <c r="D3238" s="2" t="str">
        <f t="shared" si="49"/>
        <v>Error?</v>
      </c>
    </row>
    <row r="3239" spans="1:4" x14ac:dyDescent="0.2">
      <c r="A3239" s="5">
        <v>3178</v>
      </c>
      <c r="B3239" s="1832">
        <f>'Acct Summary 7-8'!D78</f>
        <v>35762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20139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73353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-10217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25000</v>
      </c>
      <c r="C3318" s="2" t="s">
        <v>569</v>
      </c>
      <c r="D3318" s="2" t="str">
        <f t="shared" si="50"/>
        <v>Error?</v>
      </c>
    </row>
    <row r="3319" spans="1:4" x14ac:dyDescent="0.2">
      <c r="A3319" s="5">
        <v>3258</v>
      </c>
      <c r="B3319" s="1832">
        <f>'Acct Summary 7-8'!I77</f>
        <v>-25000</v>
      </c>
      <c r="C3319" s="2" t="s">
        <v>569</v>
      </c>
      <c r="D3319" s="2" t="str">
        <f t="shared" si="50"/>
        <v>Error?</v>
      </c>
    </row>
    <row r="3320" spans="1:4" x14ac:dyDescent="0.2">
      <c r="A3320" s="5">
        <v>3259</v>
      </c>
      <c r="B3320" s="1832">
        <f>'Acct Summary 7-8'!I78</f>
        <v>5538</v>
      </c>
      <c r="C3320" s="2" t="s">
        <v>569</v>
      </c>
      <c r="D3320" s="2" t="str">
        <f t="shared" si="50"/>
        <v>Error?</v>
      </c>
    </row>
    <row r="3321" spans="1:4" x14ac:dyDescent="0.2">
      <c r="A3321" s="5">
        <v>3260</v>
      </c>
      <c r="B3321" s="1832">
        <f>'Acct Summary 7-8'!I79</f>
        <v>268194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273732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561721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129634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940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1316</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28602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722213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51370</v>
      </c>
      <c r="D3387" s="2" t="str">
        <f t="shared" si="51"/>
        <v>Error?</v>
      </c>
    </row>
    <row r="3388" spans="1:4" x14ac:dyDescent="0.2">
      <c r="A3388" s="5">
        <v>3327</v>
      </c>
      <c r="B3388" s="1832">
        <f>'Expenditures 15-22'!D217</f>
        <v>56369</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51370</v>
      </c>
      <c r="C3390" s="2" t="s">
        <v>569</v>
      </c>
      <c r="D3390" s="2" t="str">
        <f t="shared" si="51"/>
        <v>Error?</v>
      </c>
    </row>
    <row r="3391" spans="1:4" x14ac:dyDescent="0.2">
      <c r="A3391" s="5">
        <v>3330</v>
      </c>
      <c r="B3391" s="1832">
        <f>'Expenditures 15-22'!K217</f>
        <v>56369</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3792208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580337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31026</v>
      </c>
      <c r="D3417" s="2" t="str">
        <f t="shared" si="52"/>
        <v>Error?</v>
      </c>
    </row>
    <row r="3418" spans="1:4" x14ac:dyDescent="0.2">
      <c r="A3418" s="10">
        <v>3357</v>
      </c>
      <c r="B3418" s="1832"/>
      <c r="D3418" s="2" t="str">
        <f t="shared" si="52"/>
        <v>OK</v>
      </c>
    </row>
    <row r="3419" spans="1:4" x14ac:dyDescent="0.2">
      <c r="A3419" s="5">
        <v>3358</v>
      </c>
      <c r="B3419" s="1832">
        <f>'Assets-Liab 5-6'!F4</f>
        <v>178746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166859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273732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17939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154118</v>
      </c>
      <c r="C3446" s="2" t="s">
        <v>569</v>
      </c>
      <c r="D3446" s="2" t="str">
        <f t="shared" si="52"/>
        <v>Error?</v>
      </c>
    </row>
    <row r="3447" spans="1:4" x14ac:dyDescent="0.2">
      <c r="A3447" s="5">
        <v>3386</v>
      </c>
      <c r="B3447" s="1832">
        <f>'Tax Sched 23'!D16</f>
        <v>154118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162498</v>
      </c>
      <c r="C3449" s="2" t="s">
        <v>569</v>
      </c>
      <c r="D3449" s="2" t="str">
        <f t="shared" si="52"/>
        <v>Error?</v>
      </c>
    </row>
    <row r="3450" spans="1:4" x14ac:dyDescent="0.2">
      <c r="A3450" s="5">
        <v>3389</v>
      </c>
      <c r="B3450" s="1832">
        <f>'Tax Sched 23'!E16</f>
        <v>162498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248908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248908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248908</v>
      </c>
      <c r="D3567" s="2" t="str">
        <f t="shared" si="54"/>
        <v>Error?</v>
      </c>
    </row>
    <row r="3568" spans="1:4" x14ac:dyDescent="0.2">
      <c r="A3568" s="5">
        <v>3507</v>
      </c>
      <c r="B3568" s="1832">
        <f>'Assets-Liab 5-6'!K41</f>
        <v>248908</v>
      </c>
      <c r="C3568" s="2" t="s">
        <v>569</v>
      </c>
      <c r="D3568" s="2" t="str">
        <f t="shared" si="54"/>
        <v>Error?</v>
      </c>
    </row>
    <row r="3569" spans="1:4" x14ac:dyDescent="0.2">
      <c r="A3569" s="5">
        <v>3508</v>
      </c>
      <c r="B3569" s="1832">
        <f>'Acct Summary 7-8'!K4</f>
        <v>30479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30479</v>
      </c>
      <c r="C3571" s="2" t="s">
        <v>569</v>
      </c>
      <c r="D3571" s="2" t="str">
        <f t="shared" si="54"/>
        <v>Error?</v>
      </c>
    </row>
    <row r="3572" spans="1:4" x14ac:dyDescent="0.2">
      <c r="A3572" s="5">
        <v>3511</v>
      </c>
      <c r="B3572" s="1832">
        <f>'Acct Summary 7-8'!K13</f>
        <v>47340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47340</v>
      </c>
      <c r="C3575" s="2" t="s">
        <v>569</v>
      </c>
      <c r="D3575" s="2" t="str">
        <f t="shared" si="54"/>
        <v>Error?</v>
      </c>
    </row>
    <row r="3576" spans="1:4" x14ac:dyDescent="0.2">
      <c r="A3576" s="5">
        <v>3515</v>
      </c>
      <c r="B3576" s="1832">
        <f>'Acct Summary 7-8'!K20</f>
        <v>-16861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-16861</v>
      </c>
      <c r="C3588" s="2" t="s">
        <v>569</v>
      </c>
      <c r="D3588" s="2" t="str">
        <f t="shared" si="55"/>
        <v>Error?</v>
      </c>
    </row>
    <row r="3589" spans="1:4" x14ac:dyDescent="0.2">
      <c r="A3589" s="5">
        <v>3528</v>
      </c>
      <c r="B3589" s="1832">
        <f>'Acct Summary 7-8'!K79</f>
        <v>265769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248908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940</v>
      </c>
      <c r="D3632" s="2" t="str">
        <f t="shared" si="55"/>
        <v>Error?</v>
      </c>
    </row>
    <row r="3633" spans="1:4" x14ac:dyDescent="0.2">
      <c r="A3633" s="5">
        <v>3572</v>
      </c>
      <c r="B3633" s="1832">
        <f>'Expenditures 15-22'!E350</f>
        <v>940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940</v>
      </c>
      <c r="C3635" s="2" t="s">
        <v>569</v>
      </c>
      <c r="D3635" s="2" t="str">
        <f t="shared" si="55"/>
        <v>Error?</v>
      </c>
    </row>
    <row r="3636" spans="1:4" x14ac:dyDescent="0.2">
      <c r="A3636" s="5">
        <v>3575</v>
      </c>
      <c r="B3636" s="1832">
        <f>'Expenditures 15-22'!E367</f>
        <v>940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46400</v>
      </c>
      <c r="D3646" s="2" t="str">
        <f t="shared" si="55"/>
        <v>Error?</v>
      </c>
    </row>
    <row r="3647" spans="1:4" x14ac:dyDescent="0.2">
      <c r="A3647" s="5">
        <v>3586</v>
      </c>
      <c r="B3647" s="1832">
        <f>'Expenditures 15-22'!G350</f>
        <v>46400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46400</v>
      </c>
      <c r="C3649" s="2" t="s">
        <v>569</v>
      </c>
      <c r="D3649" s="2" t="str">
        <f t="shared" si="56"/>
        <v>Error?</v>
      </c>
    </row>
    <row r="3650" spans="1:4" x14ac:dyDescent="0.2">
      <c r="A3650" s="5">
        <v>3589</v>
      </c>
      <c r="B3650" s="1832">
        <f>'Expenditures 15-22'!G367</f>
        <v>46400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47340</v>
      </c>
      <c r="C3669" s="2" t="s">
        <v>569</v>
      </c>
      <c r="D3669" s="2" t="str">
        <f t="shared" si="56"/>
        <v>Error?</v>
      </c>
    </row>
    <row r="3670" spans="1:4" x14ac:dyDescent="0.2">
      <c r="A3670" s="5">
        <v>3609</v>
      </c>
      <c r="B3670" s="1832">
        <f>'Expenditures 15-22'!K350</f>
        <v>47340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47340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47340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-16861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29508</v>
      </c>
      <c r="C3725" s="2" t="s">
        <v>569</v>
      </c>
      <c r="D3725" s="2" t="str">
        <f t="shared" si="57"/>
        <v>Error?</v>
      </c>
    </row>
    <row r="3726" spans="1:4" x14ac:dyDescent="0.2">
      <c r="A3726" s="5">
        <v>3665</v>
      </c>
      <c r="B3726" s="1832">
        <f>'Tax Sched 23'!D13</f>
        <v>29508</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29853</v>
      </c>
      <c r="C3728" s="2" t="s">
        <v>569</v>
      </c>
      <c r="D3728" s="2" t="str">
        <f t="shared" si="57"/>
        <v>Error?</v>
      </c>
    </row>
    <row r="3729" spans="1:4" x14ac:dyDescent="0.2">
      <c r="A3729" s="5">
        <v>3668</v>
      </c>
      <c r="B3729" s="1832">
        <f>'Tax Sched 23'!E13</f>
        <v>29853</v>
      </c>
      <c r="D3729" s="2" t="str">
        <f t="shared" si="57"/>
        <v>Error?</v>
      </c>
    </row>
    <row r="3730" spans="1:4" x14ac:dyDescent="0.2">
      <c r="A3730" s="5">
        <v>3669</v>
      </c>
      <c r="B3730" s="1832">
        <f>'ICR Computation 30'!E10</f>
        <v>1007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130619</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130619</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375827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6012442</v>
      </c>
      <c r="C4122" s="2" t="s">
        <v>569</v>
      </c>
      <c r="D4122" s="2" t="str">
        <f t="shared" si="63"/>
        <v>Error?</v>
      </c>
    </row>
    <row r="4123" spans="1:4" x14ac:dyDescent="0.2">
      <c r="A4123" s="5">
        <v>4062</v>
      </c>
      <c r="B4123" s="1832">
        <f>'Acct Summary 7-8'!D10</f>
        <v>263532</v>
      </c>
      <c r="C4123" s="2" t="s">
        <v>569</v>
      </c>
      <c r="D4123" s="2" t="str">
        <f t="shared" si="63"/>
        <v>Error?</v>
      </c>
    </row>
    <row r="4124" spans="1:4" x14ac:dyDescent="0.2">
      <c r="A4124" s="5">
        <v>4063</v>
      </c>
      <c r="B4124" s="1832">
        <f>'Acct Summary 7-8'!E10</f>
        <v>328952</v>
      </c>
      <c r="C4124" s="2" t="s">
        <v>569</v>
      </c>
      <c r="D4124" s="2" t="str">
        <f t="shared" si="63"/>
        <v>Error?</v>
      </c>
    </row>
    <row r="4125" spans="1:4" x14ac:dyDescent="0.2">
      <c r="A4125" s="5">
        <v>4064</v>
      </c>
      <c r="B4125" s="1832">
        <f>'Acct Summary 7-8'!F10</f>
        <v>283650</v>
      </c>
      <c r="C4125" s="2" t="s">
        <v>569</v>
      </c>
      <c r="D4125" s="2" t="str">
        <f t="shared" si="63"/>
        <v>Error?</v>
      </c>
    </row>
    <row r="4126" spans="1:4" x14ac:dyDescent="0.2">
      <c r="A4126" s="5">
        <v>4065</v>
      </c>
      <c r="B4126" s="1832">
        <f>'Acct Summary 7-8'!G10</f>
        <v>313035</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30538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30479</v>
      </c>
      <c r="C4130" s="2" t="s">
        <v>569</v>
      </c>
      <c r="D4130" s="2" t="str">
        <f t="shared" si="63"/>
        <v>Error?</v>
      </c>
    </row>
    <row r="4131" spans="1:4" x14ac:dyDescent="0.2">
      <c r="A4131" s="5">
        <v>4070</v>
      </c>
      <c r="B4131" s="1832">
        <f>'Acct Summary 7-8'!C18</f>
        <v>375827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5792783</v>
      </c>
      <c r="C4136" s="2" t="s">
        <v>569</v>
      </c>
      <c r="D4136" s="2" t="str">
        <f t="shared" si="63"/>
        <v>Error?</v>
      </c>
    </row>
    <row r="4137" spans="1:4" x14ac:dyDescent="0.2">
      <c r="A4137" s="5">
        <v>4076</v>
      </c>
      <c r="B4137" s="1832">
        <f>'Acct Summary 7-8'!D19</f>
        <v>252770</v>
      </c>
      <c r="C4137" s="2" t="s">
        <v>569</v>
      </c>
      <c r="D4137" s="2" t="str">
        <f t="shared" si="63"/>
        <v>Error?</v>
      </c>
    </row>
    <row r="4138" spans="1:4" x14ac:dyDescent="0.2">
      <c r="A4138" s="5">
        <v>4077</v>
      </c>
      <c r="B4138" s="1832">
        <f>'Acct Summary 7-8'!E19</f>
        <v>339169</v>
      </c>
      <c r="C4138" s="2" t="s">
        <v>569</v>
      </c>
      <c r="D4138" s="2" t="str">
        <f t="shared" si="63"/>
        <v>Error?</v>
      </c>
    </row>
    <row r="4139" spans="1:4" x14ac:dyDescent="0.2">
      <c r="A4139" s="5">
        <v>4078</v>
      </c>
      <c r="B4139" s="1832">
        <f>'Acct Summary 7-8'!F19</f>
        <v>263511</v>
      </c>
      <c r="C4139" s="2" t="s">
        <v>569</v>
      </c>
      <c r="D4139" s="2" t="str">
        <f t="shared" si="63"/>
        <v>Error?</v>
      </c>
    </row>
    <row r="4140" spans="1:4" x14ac:dyDescent="0.2">
      <c r="A4140" s="5">
        <v>4079</v>
      </c>
      <c r="B4140" s="1832">
        <f>'Acct Summary 7-8'!G19</f>
        <v>239682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47340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2240196</v>
      </c>
      <c r="C4171" s="2" t="s">
        <v>569</v>
      </c>
      <c r="D4171" s="2" t="str">
        <f t="shared" si="64"/>
        <v>Error?</v>
      </c>
    </row>
    <row r="4172" spans="1:4" x14ac:dyDescent="0.2">
      <c r="A4172" s="5">
        <v>4111</v>
      </c>
      <c r="B4172" s="1832">
        <f>'Short-Term Long-Term Debt 24'!J49</f>
        <v>2209170</v>
      </c>
      <c r="C4172" s="2" t="s">
        <v>569</v>
      </c>
      <c r="D4172" s="2" t="str">
        <f t="shared" si="64"/>
        <v>Error?</v>
      </c>
    </row>
    <row r="4173" spans="1:4" x14ac:dyDescent="0.2">
      <c r="A4173" s="5">
        <v>4112</v>
      </c>
      <c r="B4173" s="1832">
        <f>'Short-Term Long-Term Debt 24'!H49</f>
        <v>262404</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40154</v>
      </c>
      <c r="D4210" s="2" t="str">
        <f t="shared" si="64"/>
        <v>Error?</v>
      </c>
    </row>
    <row r="4211" spans="1:4" x14ac:dyDescent="0.2">
      <c r="A4211" s="5">
        <v>4150</v>
      </c>
      <c r="B4211" s="1832">
        <f>'Expenditures 15-22'!K206</f>
        <v>40154</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592</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920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1290</v>
      </c>
      <c r="C4268" s="2" t="s">
        <v>569</v>
      </c>
      <c r="D4268" s="2" t="str">
        <f t="shared" si="65"/>
        <v>Error?</v>
      </c>
    </row>
    <row r="4269" spans="1:5" x14ac:dyDescent="0.2">
      <c r="A4269" s="12">
        <v>4208</v>
      </c>
      <c r="B4269" s="1832">
        <f>'FP Info 3'!J16</f>
        <v>4832300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4043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78351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15701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15701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15865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43868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21887</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21887</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59706945</v>
      </c>
      <c r="D4995" s="2" t="str">
        <f t="shared" si="77"/>
        <v>Error?</v>
      </c>
    </row>
    <row r="4996" spans="1:4" x14ac:dyDescent="0.2">
      <c r="A4996" s="12">
        <v>4935</v>
      </c>
      <c r="B4996" s="1832">
        <f>'FP Info 3'!H31</f>
        <v>4119779.2050000005</v>
      </c>
      <c r="D4996" s="2" t="str">
        <f t="shared" si="77"/>
        <v>Error?</v>
      </c>
    </row>
    <row r="4997" spans="1:4" x14ac:dyDescent="0.2">
      <c r="A4997" s="12">
        <v>4936</v>
      </c>
      <c r="B4997" s="1832">
        <f>'FP Info 3'!H37</f>
        <v>2240196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29508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542950</v>
      </c>
      <c r="D5061" s="2" t="str">
        <f t="shared" si="78"/>
        <v>Error?</v>
      </c>
    </row>
    <row r="5062" spans="1:4" x14ac:dyDescent="0.2">
      <c r="A5062" s="10">
        <v>5001</v>
      </c>
      <c r="B5062" s="1832"/>
      <c r="D5062" s="2" t="str">
        <f t="shared" si="78"/>
        <v>OK</v>
      </c>
    </row>
    <row r="5063" spans="1:4" x14ac:dyDescent="0.2">
      <c r="A5063" s="5">
        <v>5002</v>
      </c>
      <c r="B5063" s="1832">
        <f>'Revenues 9-14'!C7</f>
        <v>11803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110619</v>
      </c>
      <c r="D5065" s="2" t="str">
        <f t="shared" si="78"/>
        <v>Error?</v>
      </c>
    </row>
    <row r="5066" spans="1:4" x14ac:dyDescent="0.2">
      <c r="A5066" s="5">
        <v>5005</v>
      </c>
      <c r="B5066" s="1832">
        <f>'Revenues 9-14'!C12</f>
        <v>694880</v>
      </c>
      <c r="C5066" s="2" t="s">
        <v>569</v>
      </c>
      <c r="D5066" s="2" t="str">
        <f t="shared" si="78"/>
        <v>Error?</v>
      </c>
    </row>
    <row r="5067" spans="1:4" x14ac:dyDescent="0.2">
      <c r="A5067" s="5">
        <v>5006</v>
      </c>
      <c r="B5067" s="1832">
        <f>'Revenues 9-14'!C14</f>
        <v>2944</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74739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77683</v>
      </c>
      <c r="C5071" s="2" t="s">
        <v>569</v>
      </c>
      <c r="D5071" s="2" t="str">
        <f t="shared" si="78"/>
        <v>Error?</v>
      </c>
    </row>
    <row r="5072" spans="1:4" x14ac:dyDescent="0.2">
      <c r="A5072" s="5">
        <v>5011</v>
      </c>
      <c r="B5072" s="1832">
        <f>'Revenues 9-14'!C20</f>
        <v>8760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32282</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41042</v>
      </c>
      <c r="C5087" s="2" t="s">
        <v>569</v>
      </c>
      <c r="D5087" s="2" t="str">
        <f t="shared" si="78"/>
        <v>Error?</v>
      </c>
    </row>
    <row r="5088" spans="1:4" x14ac:dyDescent="0.2">
      <c r="A5088" s="5">
        <v>5027</v>
      </c>
      <c r="B5088" s="1832">
        <f>'Revenues 9-14'!C65</f>
        <v>92187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92187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850</v>
      </c>
      <c r="D5094" s="2" t="str">
        <f t="shared" si="78"/>
        <v>Error?</v>
      </c>
    </row>
    <row r="5095" spans="1:4" x14ac:dyDescent="0.2">
      <c r="A5095" s="5">
        <v>5034</v>
      </c>
      <c r="B5095" s="1832">
        <f>'Revenues 9-14'!C74</f>
        <v>4877</v>
      </c>
      <c r="D5095" s="2" t="str">
        <f t="shared" si="78"/>
        <v>Error?</v>
      </c>
    </row>
    <row r="5096" spans="1:4" x14ac:dyDescent="0.2">
      <c r="A5096" s="5">
        <v>5035</v>
      </c>
      <c r="B5096" s="1832">
        <f>'Revenues 9-14'!C75</f>
        <v>45997</v>
      </c>
      <c r="C5096" s="2" t="s">
        <v>569</v>
      </c>
      <c r="D5096" s="2" t="str">
        <f t="shared" si="78"/>
        <v>Error?</v>
      </c>
    </row>
    <row r="5097" spans="1:4" x14ac:dyDescent="0.2">
      <c r="A5097" s="5">
        <v>5036</v>
      </c>
      <c r="B5097" s="1832">
        <f>'Revenues 9-14'!C77</f>
        <v>7777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742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8519</v>
      </c>
      <c r="C5102" s="2" t="s">
        <v>569</v>
      </c>
      <c r="D5102" s="2" t="str">
        <f t="shared" si="78"/>
        <v>Error?</v>
      </c>
    </row>
    <row r="5103" spans="1:4" x14ac:dyDescent="0.2">
      <c r="A5103" s="5">
        <v>5042</v>
      </c>
      <c r="B5103" s="1832">
        <f>'Revenues 9-14'!C84</f>
        <v>10160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3609</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13769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17604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23721</v>
      </c>
      <c r="D5119" s="2" t="str">
        <f t="shared" ref="D5119:D5182" si="79">IF(ISBLANK(B5119),"OK",IF(A5119-B5119=0,"OK","Error?"))</f>
        <v>Error?</v>
      </c>
    </row>
    <row r="5120" spans="1:4" x14ac:dyDescent="0.2">
      <c r="A5120" s="5">
        <v>5059</v>
      </c>
      <c r="B5120" s="1832">
        <f>'Revenues 9-14'!C108</f>
        <v>42945</v>
      </c>
      <c r="C5120" s="2" t="s">
        <v>569</v>
      </c>
      <c r="D5120" s="2" t="str">
        <f t="shared" si="79"/>
        <v>Error?</v>
      </c>
    </row>
    <row r="5121" spans="1:4" x14ac:dyDescent="0.2">
      <c r="A5121" s="5">
        <v>5060</v>
      </c>
      <c r="B5121" s="1832">
        <f>'Revenues 9-14'!C109</f>
        <v>1017022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3457102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3457102</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13705</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13705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592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2629</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387178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404854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3861956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137525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42215</v>
      </c>
      <c r="D5241" s="2" t="str">
        <f t="shared" si="80"/>
        <v>Error?</v>
      </c>
    </row>
    <row r="5242" spans="1:4" x14ac:dyDescent="0.2">
      <c r="A5242" s="5">
        <v>5181</v>
      </c>
      <c r="B5242" s="1832">
        <f>'Revenues 9-14'!C194</f>
        <v>57174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236914</v>
      </c>
      <c r="C5246" s="2" t="s">
        <v>569</v>
      </c>
      <c r="D5246" s="2" t="str">
        <f t="shared" si="80"/>
        <v>Error?</v>
      </c>
    </row>
    <row r="5247" spans="1:4" x14ac:dyDescent="0.2">
      <c r="A5247" s="5">
        <v>5186</v>
      </c>
      <c r="B5247" s="1832">
        <f>'Revenues 9-14'!C200</f>
        <v>275375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15865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275375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6138</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80883</v>
      </c>
      <c r="D5278" s="2" t="str">
        <f t="shared" si="81"/>
        <v>Error?</v>
      </c>
    </row>
    <row r="5279" spans="1:4" x14ac:dyDescent="0.2">
      <c r="A5279" s="5">
        <v>5218</v>
      </c>
      <c r="B5279" s="1832">
        <f>'Revenues 9-14'!C214</f>
        <v>499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87520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757637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757637</v>
      </c>
      <c r="C5326" s="2" t="s">
        <v>569</v>
      </c>
      <c r="D5326" s="2" t="str">
        <f t="shared" si="82"/>
        <v>Error?</v>
      </c>
    </row>
    <row r="5327" spans="1:5" x14ac:dyDescent="0.2">
      <c r="A5327" s="5">
        <v>5266</v>
      </c>
      <c r="B5327" s="1832">
        <f>'Revenues 9-14'!C268</f>
        <v>5636615</v>
      </c>
      <c r="C5327" s="2" t="s">
        <v>569</v>
      </c>
      <c r="D5327" s="2" t="str">
        <f t="shared" si="82"/>
        <v>Error?</v>
      </c>
    </row>
    <row r="5328" spans="1:5" x14ac:dyDescent="0.2">
      <c r="A5328" s="5">
        <v>5267</v>
      </c>
      <c r="B5328" s="1832">
        <f>'Revenues 9-14'!D5</f>
        <v>147541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20000</v>
      </c>
      <c r="D5333" s="2" t="str">
        <f t="shared" si="82"/>
        <v>Error?</v>
      </c>
    </row>
    <row r="5334" spans="1:4" x14ac:dyDescent="0.2">
      <c r="A5334" s="5">
        <v>5273</v>
      </c>
      <c r="B5334" s="1832">
        <f>'Revenues 9-14'!D12</f>
        <v>167541</v>
      </c>
      <c r="C5334" s="2" t="s">
        <v>569</v>
      </c>
      <c r="D5334" s="2" t="str">
        <f t="shared" si="82"/>
        <v>Error?</v>
      </c>
    </row>
    <row r="5335" spans="1:4" x14ac:dyDescent="0.2">
      <c r="A5335" s="5">
        <v>5274</v>
      </c>
      <c r="B5335" s="1832">
        <f>'Revenues 9-14'!D14</f>
        <v>743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743</v>
      </c>
      <c r="C5339" s="2" t="s">
        <v>569</v>
      </c>
      <c r="D5339" s="2" t="str">
        <f t="shared" si="82"/>
        <v>Error?</v>
      </c>
    </row>
    <row r="5340" spans="1:4" x14ac:dyDescent="0.2">
      <c r="A5340" s="5">
        <v>5279</v>
      </c>
      <c r="B5340" s="1832">
        <f>'Revenues 9-14'!D65</f>
        <v>1928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1928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3320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3320</v>
      </c>
      <c r="C5355" s="2" t="s">
        <v>569</v>
      </c>
      <c r="D5355" s="2" t="str">
        <f t="shared" si="82"/>
        <v>Error?</v>
      </c>
    </row>
    <row r="5356" spans="1:4" x14ac:dyDescent="0.2">
      <c r="A5356" s="5">
        <v>5295</v>
      </c>
      <c r="B5356" s="1832">
        <f>'Revenues 9-14'!D109</f>
        <v>173532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90000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90000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263532</v>
      </c>
      <c r="C5508" s="2" t="s">
        <v>569</v>
      </c>
      <c r="D5508" s="2" t="str">
        <f t="shared" si="85"/>
        <v>Error?</v>
      </c>
    </row>
    <row r="5509" spans="1:4" x14ac:dyDescent="0.2">
      <c r="A5509" s="5">
        <v>5448</v>
      </c>
      <c r="B5509" s="1832">
        <f>'Revenues 9-14'!E5</f>
        <v>305223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305223</v>
      </c>
      <c r="C5513" s="2" t="s">
        <v>569</v>
      </c>
      <c r="D5513" s="2" t="str">
        <f t="shared" si="85"/>
        <v>Error?</v>
      </c>
    </row>
    <row r="5514" spans="1:4" x14ac:dyDescent="0.2">
      <c r="A5514" s="5">
        <v>5453</v>
      </c>
      <c r="B5514" s="1832">
        <f>'Revenues 9-14'!E14</f>
        <v>1538</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1538</v>
      </c>
      <c r="C5518" s="2" t="s">
        <v>569</v>
      </c>
      <c r="D5518" s="2" t="str">
        <f t="shared" si="85"/>
        <v>Error?</v>
      </c>
    </row>
    <row r="5519" spans="1:4" x14ac:dyDescent="0.2">
      <c r="A5519" s="5">
        <v>5458</v>
      </c>
      <c r="B5519" s="1832">
        <f>'Revenues 9-14'!E65</f>
        <v>304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304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307065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328952</v>
      </c>
      <c r="C5552" s="2" t="s">
        <v>569</v>
      </c>
      <c r="D5552" s="2" t="str">
        <f t="shared" si="85"/>
        <v>Error?</v>
      </c>
    </row>
    <row r="5553" spans="1:4" x14ac:dyDescent="0.2">
      <c r="A5553" s="5">
        <v>5492</v>
      </c>
      <c r="B5553" s="1832">
        <f>'Revenues 9-14'!F5</f>
        <v>70820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70820</v>
      </c>
      <c r="C5557" s="2" t="s">
        <v>569</v>
      </c>
      <c r="D5557" s="2" t="str">
        <f t="shared" si="85"/>
        <v>Error?</v>
      </c>
    </row>
    <row r="5558" spans="1:4" x14ac:dyDescent="0.2">
      <c r="A5558" s="5">
        <v>5497</v>
      </c>
      <c r="B5558" s="1832">
        <f>'Revenues 9-14'!F14</f>
        <v>357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357</v>
      </c>
      <c r="C5562" s="2" t="s">
        <v>569</v>
      </c>
      <c r="D5562" s="2" t="str">
        <f t="shared" si="85"/>
        <v>Error?</v>
      </c>
    </row>
    <row r="5563" spans="1:4" x14ac:dyDescent="0.2">
      <c r="A5563" s="5">
        <v>5502</v>
      </c>
      <c r="B5563" s="1832">
        <f>'Revenues 9-14'!F42</f>
        <v>1880</v>
      </c>
      <c r="D5563" s="2" t="str">
        <f t="shared" si="85"/>
        <v>Error?</v>
      </c>
    </row>
    <row r="5564" spans="1:4" x14ac:dyDescent="0.2">
      <c r="A5564" s="5">
        <v>5503</v>
      </c>
      <c r="B5564" s="1832">
        <f>'Revenues 9-14'!F43</f>
        <v>1450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15</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2520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5865</v>
      </c>
      <c r="C5579" s="2" t="s">
        <v>569</v>
      </c>
      <c r="D5579" s="2" t="str">
        <f t="shared" si="86"/>
        <v>Error?</v>
      </c>
    </row>
    <row r="5580" spans="1:4" x14ac:dyDescent="0.2">
      <c r="A5580" s="5">
        <v>5519</v>
      </c>
      <c r="B5580" s="1832">
        <f>'Revenues 9-14'!F65</f>
        <v>446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446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289</v>
      </c>
      <c r="D5586" s="2" t="str">
        <f t="shared" si="86"/>
        <v>Error?</v>
      </c>
    </row>
    <row r="5587" spans="1:4" x14ac:dyDescent="0.2">
      <c r="A5587" s="5">
        <v>5526</v>
      </c>
      <c r="B5587" s="1832">
        <f>'Revenues 9-14'!F108</f>
        <v>289</v>
      </c>
      <c r="C5587" s="2" t="s">
        <v>569</v>
      </c>
      <c r="D5587" s="2" t="str">
        <f t="shared" si="86"/>
        <v>Error?</v>
      </c>
    </row>
    <row r="5588" spans="1:4" x14ac:dyDescent="0.2">
      <c r="A5588" s="5">
        <v>5527</v>
      </c>
      <c r="B5588" s="1832">
        <f>'Revenues 9-14'!F109</f>
        <v>77777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50000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50000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144323</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144323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11550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155873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205873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283650</v>
      </c>
      <c r="C5720" s="2" t="s">
        <v>569</v>
      </c>
      <c r="D5720" s="2" t="str">
        <f t="shared" si="88"/>
        <v>Error?</v>
      </c>
    </row>
    <row r="5721" spans="1:4" x14ac:dyDescent="0.2">
      <c r="A5721" s="5">
        <v>5660</v>
      </c>
      <c r="B5721" s="1832">
        <f>'Revenues 9-14'!G5</f>
        <v>154119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154118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308237</v>
      </c>
      <c r="C5725" s="2" t="s">
        <v>569</v>
      </c>
      <c r="D5725" s="2" t="str">
        <f t="shared" si="88"/>
        <v>Error?</v>
      </c>
    </row>
    <row r="5726" spans="1:4" x14ac:dyDescent="0.2">
      <c r="A5726" s="5">
        <v>5665</v>
      </c>
      <c r="B5726" s="1832">
        <f>'Revenues 9-14'!G14</f>
        <v>1553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2573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4126</v>
      </c>
      <c r="C5730" s="2" t="s">
        <v>569</v>
      </c>
      <c r="D5730" s="2" t="str">
        <f t="shared" si="88"/>
        <v>Error?</v>
      </c>
    </row>
    <row r="5731" spans="1:4" x14ac:dyDescent="0.2">
      <c r="A5731" s="5">
        <v>5670</v>
      </c>
      <c r="B5731" s="1832">
        <f>'Revenues 9-14'!G65</f>
        <v>672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672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313035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29508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29508</v>
      </c>
      <c r="C5918" s="2" t="s">
        <v>569</v>
      </c>
      <c r="D5918" s="2" t="str">
        <f t="shared" si="91"/>
        <v>Error?</v>
      </c>
    </row>
    <row r="5919" spans="1:4" x14ac:dyDescent="0.2">
      <c r="A5919" s="5">
        <v>5858</v>
      </c>
      <c r="B5919" s="1832">
        <f>'Revenues 9-14'!I14</f>
        <v>149</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149</v>
      </c>
      <c r="C5923" s="2" t="s">
        <v>569</v>
      </c>
      <c r="D5923" s="2" t="str">
        <f t="shared" si="91"/>
        <v>Error?</v>
      </c>
    </row>
    <row r="5924" spans="1:4" x14ac:dyDescent="0.2">
      <c r="A5924" s="5">
        <v>5863</v>
      </c>
      <c r="B5924" s="1832">
        <f>'Revenues 9-14'!I65</f>
        <v>881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881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30538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29508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29508</v>
      </c>
      <c r="C5987" s="2" t="s">
        <v>569</v>
      </c>
      <c r="D5987" s="2" t="str">
        <f t="shared" si="92"/>
        <v>Error?</v>
      </c>
    </row>
    <row r="5988" spans="1:4" x14ac:dyDescent="0.2">
      <c r="A5988" s="5">
        <v>5927</v>
      </c>
      <c r="B5988" s="1832">
        <f>'Revenues 9-14'!K14</f>
        <v>149</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149</v>
      </c>
      <c r="C5992" s="2" t="s">
        <v>569</v>
      </c>
      <c r="D5992" s="2" t="str">
        <f t="shared" si="92"/>
        <v>Error?</v>
      </c>
    </row>
    <row r="5993" spans="1:4" x14ac:dyDescent="0.2">
      <c r="A5993" s="5">
        <v>5932</v>
      </c>
      <c r="B5993" s="1832">
        <f>'Revenues 9-14'!K65</f>
        <v>822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822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30479</v>
      </c>
      <c r="C6023" s="2" t="s">
        <v>569</v>
      </c>
      <c r="D6023" s="2" t="str">
        <f t="shared" si="93"/>
        <v>Error?</v>
      </c>
    </row>
    <row r="6024" spans="1:5" x14ac:dyDescent="0.2">
      <c r="A6024" s="5">
        <v>5963</v>
      </c>
      <c r="B6024" s="1832">
        <f>'Revenues 9-14'!G109</f>
        <v>313035</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30538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30479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40270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25665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552.5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7277</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310201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310201</v>
      </c>
      <c r="D6215" s="2" t="str">
        <f t="shared" si="96"/>
        <v>Error?</v>
      </c>
      <c r="E6215" s="2" t="s">
        <v>189</v>
      </c>
    </row>
    <row r="6216" spans="1:5" x14ac:dyDescent="0.2">
      <c r="A6216">
        <v>6155</v>
      </c>
      <c r="B6216" s="1832">
        <f>'Assets-Liab 5-6'!J41</f>
        <v>310201</v>
      </c>
      <c r="D6216" s="2" t="str">
        <f t="shared" si="96"/>
        <v>Error?</v>
      </c>
      <c r="E6216" s="2" t="s">
        <v>189</v>
      </c>
    </row>
    <row r="6217" spans="1:5" x14ac:dyDescent="0.2">
      <c r="A6217">
        <v>6156</v>
      </c>
      <c r="B6217" s="1832">
        <f>'Assets-Liab 5-6'!J4</f>
        <v>310201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226949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226949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226949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234820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234820</v>
      </c>
      <c r="D6229" s="2" t="str">
        <f t="shared" si="96"/>
        <v>Error?</v>
      </c>
      <c r="E6229" s="2" t="s">
        <v>189</v>
      </c>
    </row>
    <row r="6230" spans="1:5" x14ac:dyDescent="0.2">
      <c r="A6230">
        <v>6169</v>
      </c>
      <c r="B6230" s="1832">
        <f>'Acct Summary 7-8'!J20</f>
        <v>-7871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-7871</v>
      </c>
      <c r="D6263" s="2" t="str">
        <f t="shared" si="96"/>
        <v>Error?</v>
      </c>
      <c r="E6263" s="2" t="s">
        <v>189</v>
      </c>
    </row>
    <row r="6264" spans="1:5" x14ac:dyDescent="0.2">
      <c r="A6264">
        <v>6203</v>
      </c>
      <c r="B6264" s="1832">
        <f>'Acct Summary 7-8'!J79</f>
        <v>318072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310201</v>
      </c>
      <c r="D6266" s="2" t="str">
        <f t="shared" si="96"/>
        <v>Error?</v>
      </c>
      <c r="E6266" s="2" t="s">
        <v>189</v>
      </c>
    </row>
    <row r="6267" spans="1:5" x14ac:dyDescent="0.2">
      <c r="A6267">
        <v>6206</v>
      </c>
      <c r="B6267" s="1832">
        <f>'Acct Summary 7-8'!C82</f>
        <v>219659</v>
      </c>
      <c r="D6267" s="2" t="str">
        <f t="shared" si="96"/>
        <v>Error?</v>
      </c>
      <c r="E6267" s="2" t="s">
        <v>189</v>
      </c>
    </row>
    <row r="6268" spans="1:5" x14ac:dyDescent="0.2">
      <c r="A6268">
        <v>6207</v>
      </c>
      <c r="B6268" s="1832">
        <f>'Acct Summary 7-8'!D82</f>
        <v>35762</v>
      </c>
      <c r="D6268" s="2" t="str">
        <f t="shared" si="96"/>
        <v>Error?</v>
      </c>
      <c r="E6268" s="2" t="s">
        <v>189</v>
      </c>
    </row>
    <row r="6269" spans="1:5" x14ac:dyDescent="0.2">
      <c r="A6269">
        <v>6208</v>
      </c>
      <c r="B6269" s="1832">
        <f>'Acct Summary 7-8'!E82</f>
        <v>-10217</v>
      </c>
      <c r="D6269" s="2" t="str">
        <f t="shared" si="96"/>
        <v>Error?</v>
      </c>
      <c r="E6269" s="2" t="s">
        <v>189</v>
      </c>
    </row>
    <row r="6270" spans="1:5" x14ac:dyDescent="0.2">
      <c r="A6270">
        <v>6209</v>
      </c>
      <c r="B6270" s="1832">
        <f>'Acct Summary 7-8'!F82</f>
        <v>20139</v>
      </c>
      <c r="D6270" s="2" t="str">
        <f t="shared" si="96"/>
        <v>Error?</v>
      </c>
      <c r="E6270" s="2" t="s">
        <v>189</v>
      </c>
    </row>
    <row r="6271" spans="1:5" x14ac:dyDescent="0.2">
      <c r="A6271">
        <v>6210</v>
      </c>
      <c r="B6271" s="1832">
        <f>'Acct Summary 7-8'!G82</f>
        <v>73353</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5538</v>
      </c>
      <c r="D6273" s="2" t="str">
        <f t="shared" si="97"/>
        <v>Error?</v>
      </c>
      <c r="E6273" s="2" t="s">
        <v>189</v>
      </c>
    </row>
    <row r="6274" spans="1:5" x14ac:dyDescent="0.2">
      <c r="A6274">
        <v>6213</v>
      </c>
      <c r="B6274" s="1832">
        <f>'Acct Summary 7-8'!J82</f>
        <v>-7871</v>
      </c>
      <c r="D6274" s="2" t="str">
        <f t="shared" si="97"/>
        <v>Error?</v>
      </c>
      <c r="E6274" s="2" t="s">
        <v>189</v>
      </c>
    </row>
    <row r="6275" spans="1:5" x14ac:dyDescent="0.2">
      <c r="A6275">
        <v>6214</v>
      </c>
      <c r="B6275" s="1832">
        <f>'Acct Summary 7-8'!K82</f>
        <v>-16861</v>
      </c>
      <c r="D6275" s="2" t="str">
        <f t="shared" si="97"/>
        <v>Error?</v>
      </c>
      <c r="E6275" s="2" t="s">
        <v>189</v>
      </c>
    </row>
    <row r="6276" spans="1:5" x14ac:dyDescent="0.2">
      <c r="A6276">
        <v>6215</v>
      </c>
      <c r="B6276" s="1832">
        <f>'Acct Summary 7-8'!C83</f>
        <v>5.7812835160554653E-2</v>
      </c>
      <c r="D6276" s="2" t="str">
        <f t="shared" si="97"/>
        <v>Error?</v>
      </c>
      <c r="E6276" s="2" t="s">
        <v>189</v>
      </c>
    </row>
    <row r="6277" spans="1:5" x14ac:dyDescent="0.2">
      <c r="A6277">
        <v>6216</v>
      </c>
      <c r="B6277" s="1832">
        <f>'Acct Summary 7-8'!D83</f>
        <v>6.162281570880368E-2</v>
      </c>
      <c r="D6277" s="2" t="str">
        <f t="shared" si="97"/>
        <v>Error?</v>
      </c>
      <c r="E6277" s="2" t="s">
        <v>189</v>
      </c>
    </row>
    <row r="6278" spans="1:5" x14ac:dyDescent="0.2">
      <c r="A6278">
        <v>6217</v>
      </c>
      <c r="B6278" s="1832">
        <f>'Acct Summary 7-8'!E83</f>
        <v>-0.32930445432862759</v>
      </c>
      <c r="D6278" s="2" t="str">
        <f t="shared" si="97"/>
        <v>Error?</v>
      </c>
      <c r="E6278" s="2" t="s">
        <v>189</v>
      </c>
    </row>
    <row r="6279" spans="1:5" x14ac:dyDescent="0.2">
      <c r="A6279">
        <v>6218</v>
      </c>
      <c r="B6279" s="1832">
        <f>'Acct Summary 7-8'!F83</f>
        <v>0.11266825551341009</v>
      </c>
      <c r="D6279" s="2" t="str">
        <f t="shared" si="97"/>
        <v>Error?</v>
      </c>
      <c r="E6279" s="2" t="s">
        <v>189</v>
      </c>
    </row>
    <row r="6280" spans="1:5" x14ac:dyDescent="0.2">
      <c r="A6280">
        <v>6219</v>
      </c>
      <c r="B6280" s="1832">
        <f>'Acct Summary 7-8'!G83</f>
        <v>0.43961068926458868</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2.023146727456052E-2</v>
      </c>
      <c r="D6282" s="2" t="str">
        <f t="shared" si="97"/>
        <v>Error?</v>
      </c>
      <c r="E6282" s="2" t="s">
        <v>189</v>
      </c>
    </row>
    <row r="6283" spans="1:5" x14ac:dyDescent="0.2">
      <c r="A6283">
        <v>6222</v>
      </c>
      <c r="B6283" s="1832">
        <f>'Acct Summary 7-8'!J83</f>
        <v>-2.5373870490423951E-2</v>
      </c>
      <c r="D6283" s="2" t="str">
        <f t="shared" si="97"/>
        <v>Error?</v>
      </c>
      <c r="E6283" s="2" t="s">
        <v>189</v>
      </c>
    </row>
    <row r="6284" spans="1:5" x14ac:dyDescent="0.2">
      <c r="A6284">
        <v>6223</v>
      </c>
      <c r="B6284" s="1832">
        <f>'Acct Summary 7-8'!K83</f>
        <v>-6.7739887830041617E-2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224826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224826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1287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1287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370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671</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165</v>
      </c>
      <c r="D6350" s="2" t="str">
        <f t="shared" si="98"/>
        <v>Error?</v>
      </c>
      <c r="E6350" s="2" t="s">
        <v>189</v>
      </c>
    </row>
    <row r="6351" spans="1:5" x14ac:dyDescent="0.2">
      <c r="A6351">
        <v>6290</v>
      </c>
      <c r="B6351" s="1832">
        <f>'Revenues 9-14'!J108</f>
        <v>836</v>
      </c>
      <c r="D6351" s="2" t="str">
        <f t="shared" si="98"/>
        <v>Error?</v>
      </c>
      <c r="E6351" s="2" t="s">
        <v>189</v>
      </c>
    </row>
    <row r="6352" spans="1:5" x14ac:dyDescent="0.2">
      <c r="A6352">
        <v>6291</v>
      </c>
      <c r="B6352" s="1832">
        <f>'Revenues 9-14'!J109</f>
        <v>226949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21887</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21887</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234820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226949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1604</v>
      </c>
      <c r="D7067" s="2" t="str">
        <f t="shared" si="109"/>
        <v>Error?</v>
      </c>
    </row>
    <row r="7068" spans="1:4" x14ac:dyDescent="0.2">
      <c r="A7068">
        <v>7007</v>
      </c>
      <c r="B7068" s="1832">
        <f>'Expenditures 15-22'!K205</f>
        <v>1604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17653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17653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55563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55563</v>
      </c>
      <c r="D7153" s="2" t="str">
        <f t="shared" si="110"/>
        <v>Error?</v>
      </c>
    </row>
    <row r="7154" spans="1:4" x14ac:dyDescent="0.2">
      <c r="A7154">
        <v>7093</v>
      </c>
      <c r="B7154" s="1832">
        <f>'Expenditures 15-22'!C323</f>
        <v>131718</v>
      </c>
      <c r="D7154" s="2" t="str">
        <f t="shared" si="110"/>
        <v>Error?</v>
      </c>
    </row>
    <row r="7155" spans="1:4" x14ac:dyDescent="0.2">
      <c r="A7155">
        <v>7094</v>
      </c>
      <c r="B7155" s="1832">
        <f>'Expenditures 15-22'!D323</f>
        <v>11579</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143297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14074</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14074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4233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4233</v>
      </c>
      <c r="D7198" s="2" t="str">
        <f t="shared" si="111"/>
        <v>Error?</v>
      </c>
    </row>
    <row r="7199" spans="1:4" x14ac:dyDescent="0.2">
      <c r="A7199">
        <v>7138</v>
      </c>
      <c r="B7199" s="1832">
        <f>'Expenditures 15-22'!C330</f>
        <v>131718</v>
      </c>
      <c r="D7199" s="2" t="str">
        <f t="shared" si="111"/>
        <v>Error?</v>
      </c>
    </row>
    <row r="7200" spans="1:4" x14ac:dyDescent="0.2">
      <c r="A7200">
        <v>7139</v>
      </c>
      <c r="B7200" s="1832">
        <f>'Expenditures 15-22'!D330</f>
        <v>11579</v>
      </c>
      <c r="D7200" s="2" t="str">
        <f t="shared" si="111"/>
        <v>Error?</v>
      </c>
    </row>
    <row r="7201" spans="1:4" x14ac:dyDescent="0.2">
      <c r="A7201">
        <v>7140</v>
      </c>
      <c r="B7201" s="1832">
        <f>'Expenditures 15-22'!E330</f>
        <v>91523</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234820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131718</v>
      </c>
      <c r="D7216" s="2" t="str">
        <f t="shared" si="111"/>
        <v>Error?</v>
      </c>
    </row>
    <row r="7217" spans="1:4" x14ac:dyDescent="0.2">
      <c r="A7217">
        <v>7156</v>
      </c>
      <c r="B7217" s="1832">
        <f>'Expenditures 15-22'!D342</f>
        <v>11579</v>
      </c>
      <c r="D7217" s="2" t="str">
        <f t="shared" si="111"/>
        <v>Error?</v>
      </c>
    </row>
    <row r="7218" spans="1:4" x14ac:dyDescent="0.2">
      <c r="A7218">
        <v>7157</v>
      </c>
      <c r="B7218" s="1832">
        <f>'Expenditures 15-22'!E342</f>
        <v>91523</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234820</v>
      </c>
      <c r="D7224" s="2" t="str">
        <f t="shared" si="111"/>
        <v>Error?</v>
      </c>
    </row>
    <row r="7225" spans="1:4" x14ac:dyDescent="0.2">
      <c r="A7225">
        <v>7164</v>
      </c>
      <c r="B7225" s="1832">
        <f>'Expenditures 15-22'!K343</f>
        <v>-7871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348871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25577</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21887</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25000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3229670</v>
      </c>
      <c r="D7817" s="2" t="str">
        <f t="shared" si="128"/>
        <v>Error?</v>
      </c>
      <c r="E7817" s="4" t="s">
        <v>1966</v>
      </c>
    </row>
    <row r="7818" spans="1:5" x14ac:dyDescent="0.2">
      <c r="A7818">
        <v>7757</v>
      </c>
      <c r="B7818" s="1832">
        <f>'PCTC-OEPP 27-28'!F172</f>
        <v>260559</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-268623</v>
      </c>
      <c r="D7820" s="2" t="str">
        <f t="shared" si="128"/>
        <v>Error?</v>
      </c>
    </row>
    <row r="7821" spans="1:5" x14ac:dyDescent="0.2">
      <c r="A7821">
        <v>7760</v>
      </c>
      <c r="B7821" s="1832">
        <f>'ICR Computation 30'!G40</f>
        <v>-268623</v>
      </c>
      <c r="D7821" s="2" t="str">
        <f t="shared" si="128"/>
        <v>Error?</v>
      </c>
    </row>
    <row r="7822" spans="1:5" x14ac:dyDescent="0.2">
      <c r="A7822" s="1">
        <v>7761</v>
      </c>
      <c r="B7822" s="1832">
        <f>'PCTC-OEPP 27-28'!F14</f>
        <v>6746908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29806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564723</v>
      </c>
      <c r="D7834" s="2" t="str">
        <f t="shared" si="129"/>
        <v>Error?</v>
      </c>
      <c r="E7834" s="4" t="s">
        <v>1998</v>
      </c>
    </row>
    <row r="7835" spans="1:5" x14ac:dyDescent="0.2">
      <c r="A7835">
        <v>7774</v>
      </c>
      <c r="B7835" s="1832">
        <f>'PCTC-OEPP 27-28'!F78</f>
        <v>6182185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11189.475113122173</v>
      </c>
      <c r="D7837" s="2" t="str">
        <f t="shared" si="129"/>
        <v>Error?</v>
      </c>
      <c r="E7837" s="4" t="s">
        <v>1998</v>
      </c>
    </row>
    <row r="7838" spans="1:5" x14ac:dyDescent="0.2">
      <c r="A7838">
        <v>7777</v>
      </c>
      <c r="B7838" s="1832">
        <f>'PCTC-OEPP 27-28'!F96</f>
        <v>8519</v>
      </c>
      <c r="D7838" s="2" t="str">
        <f t="shared" si="129"/>
        <v>Error?</v>
      </c>
      <c r="E7838" s="4" t="s">
        <v>1998</v>
      </c>
    </row>
    <row r="7839" spans="1:5" x14ac:dyDescent="0.2">
      <c r="A7839">
        <v>7778</v>
      </c>
      <c r="B7839" s="1832">
        <f>'PCTC-OEPP 27-28'!F102</f>
        <v>3320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13705</v>
      </c>
      <c r="D7842" s="2" t="str">
        <f t="shared" si="129"/>
        <v>Error?</v>
      </c>
      <c r="E7842" s="4" t="s">
        <v>1998</v>
      </c>
    </row>
    <row r="7843" spans="1:5" x14ac:dyDescent="0.2">
      <c r="A7843">
        <v>7782</v>
      </c>
      <c r="B7843" s="1832">
        <f>'PCTC-OEPP 27-28'!F107</f>
        <v>592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144323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15701</v>
      </c>
      <c r="D7857" s="2" t="str">
        <f t="shared" si="129"/>
        <v>Error?</v>
      </c>
      <c r="E7857" s="4" t="s">
        <v>1998</v>
      </c>
    </row>
    <row r="7858" spans="1:5" x14ac:dyDescent="0.2">
      <c r="A7858">
        <v>7797</v>
      </c>
      <c r="B7858" s="1832">
        <f>'PCTC-OEPP 27-28'!F126</f>
        <v>236914</v>
      </c>
      <c r="D7858" s="2" t="str">
        <f t="shared" si="129"/>
        <v>Error?</v>
      </c>
      <c r="E7858" s="4" t="s">
        <v>1998</v>
      </c>
    </row>
    <row r="7859" spans="1:5" x14ac:dyDescent="0.2">
      <c r="A7859">
        <v>7798</v>
      </c>
      <c r="B7859" s="1832">
        <f>'PCTC-OEPP 27-28'!F127</f>
        <v>275375</v>
      </c>
      <c r="D7859" s="2" t="str">
        <f t="shared" si="129"/>
        <v>Error?</v>
      </c>
      <c r="E7859" s="4" t="s">
        <v>1998</v>
      </c>
    </row>
    <row r="7860" spans="1:5" x14ac:dyDescent="0.2">
      <c r="A7860">
        <v>7799</v>
      </c>
      <c r="B7860" s="1832">
        <f>'PCTC-OEPP 27-28'!F128</f>
        <v>15865</v>
      </c>
      <c r="D7860" s="2" t="str">
        <f t="shared" si="129"/>
        <v>Error?</v>
      </c>
      <c r="E7860" s="4" t="s">
        <v>1998</v>
      </c>
    </row>
    <row r="7861" spans="1:5" x14ac:dyDescent="0.2">
      <c r="A7861">
        <v>7800</v>
      </c>
      <c r="B7861" s="1832">
        <f>'PCTC-OEPP 27-28'!F129</f>
        <v>80883</v>
      </c>
      <c r="D7861" s="2" t="str">
        <f t="shared" si="129"/>
        <v>Error?</v>
      </c>
      <c r="E7861" s="4" t="s">
        <v>1998</v>
      </c>
    </row>
    <row r="7862" spans="1:5" x14ac:dyDescent="0.2">
      <c r="A7862">
        <v>7801</v>
      </c>
      <c r="B7862" s="1832">
        <f>'PCTC-OEPP 27-28'!F130</f>
        <v>499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21887</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43868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4043</v>
      </c>
      <c r="D7874" s="2" t="str">
        <f t="shared" si="129"/>
        <v>Error?</v>
      </c>
      <c r="E7874" s="4" t="s">
        <v>1998</v>
      </c>
    </row>
    <row r="7875" spans="1:5" x14ac:dyDescent="0.2">
      <c r="A7875">
        <v>7814</v>
      </c>
      <c r="B7875" s="1832">
        <f>'PCTC-OEPP 27-28'!F170</f>
        <v>78351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1269444</v>
      </c>
      <c r="D7877" s="2" t="str">
        <f t="shared" si="129"/>
        <v>Error?</v>
      </c>
      <c r="E7877" s="4" t="s">
        <v>1998</v>
      </c>
    </row>
    <row r="7878" spans="1:5" x14ac:dyDescent="0.2">
      <c r="A7878">
        <v>7817</v>
      </c>
      <c r="B7878" s="1832">
        <f>'PCTC-OEPP 27-28'!F176</f>
        <v>4912741</v>
      </c>
      <c r="D7878" s="2" t="str">
        <f t="shared" si="129"/>
        <v>Error?</v>
      </c>
      <c r="E7878" s="4" t="s">
        <v>1998</v>
      </c>
    </row>
    <row r="7879" spans="1:5" x14ac:dyDescent="0.2">
      <c r="A7879">
        <v>7818</v>
      </c>
      <c r="B7879" s="1832">
        <f>'PCTC-OEPP 27-28'!F178</f>
        <v>5261612</v>
      </c>
      <c r="D7879" s="2" t="str">
        <f t="shared" si="129"/>
        <v>Error?</v>
      </c>
      <c r="E7879" s="4" t="s">
        <v>1998</v>
      </c>
    </row>
    <row r="7880" spans="1:5" x14ac:dyDescent="0.2">
      <c r="A7880">
        <v>7819</v>
      </c>
      <c r="B7880" s="1832">
        <f>'PCTC-OEPP 27-28'!F180</f>
        <v>9523.2796380090494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4" t="str">
        <f>COVER!A17</f>
        <v xml:space="preserve">  Fairfield PSD 112</v>
      </c>
      <c r="B7" s="2515"/>
      <c r="C7" s="2515"/>
      <c r="D7" s="2553"/>
      <c r="E7" s="2554">
        <f>COVER!A13</f>
        <v>20096112004</v>
      </c>
      <c r="F7" s="2555"/>
      <c r="G7" s="2521" t="str">
        <f>COVER!T23</f>
        <v>066-005231</v>
      </c>
      <c r="H7" s="2522"/>
      <c r="I7" s="2522"/>
      <c r="J7" s="2522"/>
      <c r="K7" s="2522"/>
      <c r="L7" s="252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4"/>
      <c r="B9" s="2525"/>
      <c r="C9" s="2525"/>
      <c r="D9" s="2525"/>
      <c r="E9" s="2525"/>
      <c r="F9" s="2526"/>
      <c r="G9" s="2527" t="str">
        <f>COVER!T13</f>
        <v>Leymone Hardcastle &amp; Co., Ltd.</v>
      </c>
      <c r="H9" s="2528"/>
      <c r="I9" s="2528"/>
      <c r="J9" s="2528"/>
      <c r="K9" s="2528"/>
      <c r="L9" s="2529"/>
    </row>
    <row r="10" spans="1:29" ht="13.5" customHeight="1" x14ac:dyDescent="0.2">
      <c r="A10" s="2511" t="str">
        <f>COVER!A38</f>
        <v>Dr. Scott England</v>
      </c>
      <c r="B10" s="2512"/>
      <c r="C10" s="2512"/>
      <c r="D10" s="2512"/>
      <c r="E10" s="2512"/>
      <c r="F10" s="2513"/>
      <c r="G10" s="2527" t="str">
        <f>COVER!T17</f>
        <v>200 West Main Street</v>
      </c>
      <c r="H10" s="2540"/>
      <c r="I10" s="2540"/>
      <c r="J10" s="2540"/>
      <c r="K10" s="2540"/>
      <c r="L10" s="2541"/>
    </row>
    <row r="11" spans="1:29" ht="13.5" customHeight="1" x14ac:dyDescent="0.2">
      <c r="A11" s="963" t="s">
        <v>1502</v>
      </c>
      <c r="B11" s="964"/>
      <c r="C11" s="965"/>
      <c r="D11" s="970"/>
      <c r="E11" s="965"/>
      <c r="F11" s="969"/>
      <c r="G11" s="2527" t="str">
        <f>COVER!T19</f>
        <v>Salem</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sara@hardcastlecpa.com</v>
      </c>
      <c r="J13" s="2549"/>
      <c r="K13" s="2549"/>
      <c r="L13" s="2550"/>
    </row>
    <row r="14" spans="1:29" ht="13.5" customHeight="1" x14ac:dyDescent="0.2">
      <c r="A14" s="2527" t="str">
        <f>COVER!A19</f>
        <v>806 North First Street</v>
      </c>
      <c r="B14" s="2540"/>
      <c r="C14" s="2540"/>
      <c r="D14" s="2540"/>
      <c r="E14" s="2540"/>
      <c r="F14" s="2541"/>
      <c r="G14" s="974" t="s">
        <v>1175</v>
      </c>
      <c r="H14" s="972"/>
      <c r="I14" s="972"/>
      <c r="J14" s="972"/>
      <c r="K14" s="972"/>
      <c r="L14" s="973"/>
    </row>
    <row r="15" spans="1:29" ht="13.5" customHeight="1" x14ac:dyDescent="0.2">
      <c r="A15" s="2527" t="str">
        <f>COVER!A21</f>
        <v xml:space="preserve">Fairfield </v>
      </c>
      <c r="B15" s="2540"/>
      <c r="C15" s="2540"/>
      <c r="D15" s="2540"/>
      <c r="E15" s="2540"/>
      <c r="F15" s="2541"/>
      <c r="G15" s="2537" t="str">
        <f>COVER!T15</f>
        <v>Sara E. Hanks</v>
      </c>
      <c r="H15" s="2538"/>
      <c r="I15" s="2538"/>
      <c r="J15" s="2538"/>
      <c r="K15" s="2538"/>
      <c r="L15" s="2539"/>
    </row>
    <row r="16" spans="1:29" ht="12.2" customHeight="1" x14ac:dyDescent="0.2">
      <c r="A16" s="2517">
        <f>COVER!A25</f>
        <v>62837</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1174</v>
      </c>
      <c r="H17" s="972"/>
      <c r="I17" s="972"/>
      <c r="J17" s="972"/>
      <c r="K17" s="976" t="s">
        <v>1173</v>
      </c>
      <c r="L17" s="969"/>
      <c r="M17" s="962"/>
    </row>
    <row r="18" spans="1:13" ht="12.2" customHeight="1" x14ac:dyDescent="0.2">
      <c r="A18" s="2511"/>
      <c r="B18" s="2512"/>
      <c r="C18" s="2512"/>
      <c r="D18" s="2512"/>
      <c r="E18" s="2512"/>
      <c r="F18" s="2513"/>
      <c r="G18" s="2514" t="str">
        <f>COVER!T21</f>
        <v>618-548-1002</v>
      </c>
      <c r="H18" s="2515"/>
      <c r="I18" s="2515"/>
      <c r="J18" s="2515"/>
      <c r="K18" s="2514" t="str">
        <f>COVER!X21</f>
        <v>618-548-1018</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5"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 xml:space="preserve">  Fairfield PSD 112</v>
      </c>
      <c r="B1" s="2557"/>
      <c r="C1" s="2557"/>
      <c r="D1" s="2557"/>
    </row>
    <row r="2" spans="1:11" s="991" customFormat="1" ht="12.75" x14ac:dyDescent="0.2">
      <c r="A2" s="2558">
        <f>'Single Audit Cover'!E7</f>
        <v>20096112004</v>
      </c>
      <c r="B2" s="2559"/>
      <c r="C2" s="2559"/>
      <c r="D2" s="2559"/>
    </row>
    <row r="3" spans="1:11" s="991" customFormat="1" ht="12.75" x14ac:dyDescent="0.2">
      <c r="A3" s="2556" t="s">
        <v>1496</v>
      </c>
      <c r="B3" s="2557"/>
      <c r="C3" s="2557"/>
      <c r="D3" s="2557"/>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2" right="0" top="0.66" bottom="0.56999999999999995" header="0.3" footer="0.31"/>
  <pageSetup scale="92" firstPageNumber="36" fitToHeight="0" orientation="portrait" r:id="rId5"/>
  <headerFooter alignWithMargins="0">
    <oddFooter>&amp;C&amp;12- &amp;P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 xml:space="preserve">  Fairfield PSD 112</v>
      </c>
      <c r="B1" s="2561"/>
      <c r="C1" s="2561"/>
      <c r="D1" s="2561"/>
      <c r="E1" s="2561"/>
    </row>
    <row r="2" spans="1:5" x14ac:dyDescent="0.2">
      <c r="A2" s="2562">
        <f>'Single Audit Cover'!E7</f>
        <v>20096112004</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6" t="s">
        <v>1232</v>
      </c>
    </row>
    <row r="10" spans="1:5" x14ac:dyDescent="0.2">
      <c r="A10" s="1037" t="s">
        <v>1231</v>
      </c>
      <c r="B10" s="1038" t="s">
        <v>1230</v>
      </c>
      <c r="C10" s="1038"/>
      <c r="D10" s="1039">
        <f>SUM('Acct Summary 7-8'!C7:K7)</f>
        <v>779524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25665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-78351</v>
      </c>
    </row>
    <row r="19" spans="1:4" ht="13.5" thickBot="1" x14ac:dyDescent="0.25">
      <c r="A19" s="1041" t="s">
        <v>1224</v>
      </c>
      <c r="D19" s="1042">
        <f>SUM(D10:D17)</f>
        <v>726838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1222</v>
      </c>
      <c r="D32" s="1039">
        <f>SUM(D19:D30)</f>
        <v>726838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1216</v>
      </c>
      <c r="C47" s="1048"/>
      <c r="D47" s="1049">
        <f>SUM(D35:D45)</f>
        <v>0</v>
      </c>
    </row>
    <row r="49" spans="2:4" x14ac:dyDescent="0.2">
      <c r="B49" s="1048" t="s">
        <v>1215</v>
      </c>
      <c r="C49" s="1048"/>
      <c r="D49" s="1049">
        <f>D32-D47</f>
        <v>726838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71" header="0.5" footer="0.38"/>
  <pageSetup firstPageNumber="37" orientation="portrait" r:id="rId1"/>
  <headerFooter alignWithMargins="0">
    <oddFooter>&amp;C&amp;12- &amp;P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 xml:space="preserve">  Fairfield PSD 112</v>
      </c>
      <c r="C1" s="2565"/>
      <c r="D1" s="2565"/>
      <c r="E1" s="2565"/>
      <c r="F1" s="2565"/>
      <c r="G1" s="2565"/>
      <c r="H1" s="2565"/>
      <c r="I1" s="2565"/>
      <c r="J1" s="2565"/>
      <c r="K1" s="2565"/>
      <c r="L1" s="2565"/>
      <c r="M1" s="2565"/>
    </row>
    <row r="2" spans="2:14" ht="15" x14ac:dyDescent="0.2">
      <c r="B2" s="2566">
        <f>'Single Audit Cover'!E7</f>
        <v>20096112004</v>
      </c>
      <c r="C2" s="2566"/>
      <c r="D2" s="2566"/>
      <c r="E2" s="2566"/>
      <c r="F2" s="2566"/>
      <c r="G2" s="2566"/>
      <c r="H2" s="2566"/>
      <c r="I2" s="2566"/>
      <c r="J2" s="2566"/>
      <c r="K2" s="2566"/>
      <c r="L2" s="2566"/>
      <c r="M2" s="2566"/>
      <c r="N2" s="1078"/>
    </row>
    <row r="3" spans="2:14" ht="15" x14ac:dyDescent="0.2">
      <c r="B3" s="2567" t="s">
        <v>1208</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6" right="0" top="0.54" bottom="0.5" header="0.25" footer="0.25"/>
  <pageSetup scale="80" firstPageNumber="38" orientation="landscape" r:id="rId1"/>
  <headerFooter alignWithMargins="0">
    <oddFooter>&amp;C&amp;14-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 xml:space="preserve">  Fairfield PSD 112</v>
      </c>
      <c r="B1" s="2570"/>
      <c r="C1" s="2570"/>
      <c r="D1" s="2570"/>
      <c r="E1" s="2570"/>
      <c r="F1" s="2570"/>
    </row>
    <row r="2" spans="1:7" ht="13.5" customHeight="1" x14ac:dyDescent="0.2">
      <c r="A2" s="2566">
        <f>'Single Audit Cover'!E7</f>
        <v>20096112004</v>
      </c>
      <c r="B2" s="2566"/>
      <c r="C2" s="2566"/>
      <c r="D2" s="2566"/>
      <c r="E2" s="2566"/>
      <c r="F2" s="2566"/>
      <c r="G2" s="1051"/>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1705</v>
      </c>
      <c r="C6" s="295"/>
      <c r="D6" s="295"/>
    </row>
    <row r="7" spans="1:7" ht="60.95" customHeight="1" x14ac:dyDescent="0.2">
      <c r="A7" s="2569" t="s">
        <v>1706</v>
      </c>
      <c r="B7" s="2569"/>
      <c r="C7" s="2569"/>
      <c r="D7" s="2569"/>
      <c r="E7" s="2569"/>
      <c r="F7" s="256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9" t="s">
        <v>1708</v>
      </c>
      <c r="B13" s="2569"/>
      <c r="C13" s="2569"/>
      <c r="D13" s="2569"/>
      <c r="E13" s="2569"/>
      <c r="F13" s="2569"/>
    </row>
    <row r="14" spans="1:7" ht="9.75" customHeight="1" x14ac:dyDescent="0.2">
      <c r="C14" s="1036"/>
      <c r="D14" s="1036"/>
    </row>
    <row r="15" spans="1:7" ht="13.5" customHeight="1" x14ac:dyDescent="0.2">
      <c r="C15" s="1476" t="s">
        <v>1259</v>
      </c>
      <c r="D15" s="2574" t="s">
        <v>1258</v>
      </c>
      <c r="E15" s="2574"/>
      <c r="F15" s="2574"/>
    </row>
    <row r="16" spans="1:7" ht="13.5" customHeight="1" x14ac:dyDescent="0.2">
      <c r="A16" s="1058"/>
      <c r="B16" s="1052" t="s">
        <v>1257</v>
      </c>
      <c r="C16" s="1476" t="s">
        <v>1256</v>
      </c>
      <c r="D16" s="2575" t="s">
        <v>1571</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22"/>
  <pageSetup scale="90" firstPageNumber="39" orientation="portrait" r:id="rId1"/>
  <headerFooter alignWithMargins="0">
    <oddFooter>&amp;C&amp;12-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5" t="s">
        <v>1989</v>
      </c>
      <c r="B88" s="2186"/>
      <c r="C88" s="2186"/>
      <c r="D88" s="2187"/>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4" right="0.16" top="0.81" bottom="0.78" header="0.56999999999999995" footer="0.4"/>
  <pageSetup scale="85" firstPageNumber="70" orientation="portrait" useFirstPageNumber="1" r:id="rId1"/>
  <headerFooter differentOddEven="1" alignWithMargins="0">
    <oddHeader>&amp;C Fairfield Public School District 112</oddHeader>
    <oddFooter>&amp;C&amp;14- &amp;P -</oddFooter>
    <evenHeader>&amp;C Fairfield Public School District 112</evenHeader>
    <evenFooter>&amp;C&amp;14- &amp;P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 xml:space="preserve">  Fairfield PSD 112</v>
      </c>
      <c r="C1" s="2586"/>
      <c r="D1" s="2586"/>
      <c r="E1" s="2586"/>
      <c r="F1" s="2586"/>
      <c r="G1" s="2586"/>
      <c r="H1" s="2586"/>
      <c r="I1" s="2586"/>
      <c r="J1" s="1178"/>
    </row>
    <row r="2" spans="2:10" s="295" customFormat="1" ht="12.75" customHeight="1" x14ac:dyDescent="0.2">
      <c r="B2" s="2587">
        <f>'Single Audit Cover'!E7</f>
        <v>20096112004</v>
      </c>
      <c r="C2" s="2588"/>
      <c r="D2" s="2588"/>
      <c r="E2" s="2588"/>
      <c r="F2" s="2588"/>
      <c r="G2" s="2588"/>
      <c r="H2" s="2588"/>
      <c r="I2" s="2588"/>
      <c r="J2" s="1178"/>
    </row>
    <row r="3" spans="2:10" s="295" customFormat="1" ht="12.75" customHeight="1" x14ac:dyDescent="0.2">
      <c r="B3" s="2589" t="s">
        <v>1274</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1273</v>
      </c>
      <c r="C7" s="2590"/>
      <c r="D7" s="2590"/>
      <c r="E7" s="2590"/>
      <c r="F7" s="2590"/>
      <c r="G7" s="2590"/>
      <c r="H7" s="2590"/>
      <c r="I7" s="259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1"/>
      <c r="D11" s="259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2"/>
      <c r="E29" s="2592"/>
      <c r="F29" s="2592"/>
      <c r="G29" s="2592"/>
      <c r="H29" s="2592"/>
      <c r="I29" s="259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3" t="s">
        <v>1728</v>
      </c>
      <c r="D37" s="2594"/>
      <c r="E37" s="2594"/>
      <c r="F37" s="2595"/>
      <c r="G37" s="2593" t="s">
        <v>1575</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5"/>
      <c r="F49" s="2605"/>
      <c r="G49" s="260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7" header="0.26" footer="0.28999999999999998"/>
  <pageSetup scale="98" firstPageNumber="40" orientation="portrait" r:id="rId1"/>
  <headerFooter alignWithMargins="0">
    <oddFooter>&amp;C&amp;12- &amp;P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7" zoomScale="110" zoomScaleNormal="110" workbookViewId="0">
      <selection activeCell="K12" sqref="K1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Fairfield PSD 112</v>
      </c>
      <c r="C1" s="2585"/>
      <c r="D1" s="2585"/>
      <c r="E1" s="2585"/>
      <c r="F1" s="2585"/>
      <c r="G1" s="2585"/>
      <c r="H1" s="2585"/>
      <c r="I1" s="2585"/>
      <c r="J1" s="2585"/>
      <c r="K1" s="2585"/>
      <c r="L1" s="1144"/>
      <c r="M1" s="1144"/>
    </row>
    <row r="2" spans="1:13" ht="12" customHeight="1" x14ac:dyDescent="0.2">
      <c r="B2" s="2587">
        <f>'Single Audit Cover'!E7</f>
        <v>20096112004</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2008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2086</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2087</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2088</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2089</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2090</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2091</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2092</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5" orientation="portrait" useFirstPageNumber="1" r:id="rId1"/>
  <headerFooter alignWithMargins="0">
    <oddFooter>&amp;C&amp;12- &amp;P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1C548-9C01-448D-8D97-772A9836E37B}">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Fairfield PSD 112</v>
      </c>
      <c r="C1" s="2585"/>
      <c r="D1" s="2585"/>
      <c r="E1" s="2585"/>
      <c r="F1" s="2585"/>
      <c r="G1" s="2585"/>
      <c r="H1" s="2585"/>
      <c r="I1" s="2585"/>
      <c r="J1" s="2585"/>
      <c r="K1" s="2585"/>
      <c r="L1" s="1144"/>
      <c r="M1" s="1144"/>
    </row>
    <row r="2" spans="1:13" ht="12" customHeight="1" x14ac:dyDescent="0.2">
      <c r="B2" s="2587">
        <f>'Single Audit Cover'!E7</f>
        <v>20096112004</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2</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v>1992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2093</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2094</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2095</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2096</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2097</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2098</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2099</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6" orientation="portrait" useFirstPageNumber="1" r:id="rId1"/>
  <headerFooter alignWithMargins="0">
    <oddFooter>&amp;C&amp;12-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CB13B-7CF0-4D83-860D-D178D7B78784}">
  <dimension ref="A1:M41"/>
  <sheetViews>
    <sheetView showGridLines="0" topLeftCell="A4" zoomScale="110" zoomScaleNormal="110" workbookViewId="0">
      <selection activeCell="M26" sqref="M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 xml:space="preserve">  Fairfield PSD 112</v>
      </c>
      <c r="C1" s="2585"/>
      <c r="D1" s="2585"/>
      <c r="E1" s="2585"/>
      <c r="F1" s="2585"/>
      <c r="G1" s="2585"/>
      <c r="H1" s="2585"/>
      <c r="I1" s="2585"/>
      <c r="J1" s="2585"/>
      <c r="K1" s="2585"/>
      <c r="L1" s="1144"/>
      <c r="M1" s="1144"/>
    </row>
    <row r="2" spans="1:13" ht="12" customHeight="1" x14ac:dyDescent="0.2">
      <c r="B2" s="2587">
        <f>'Single Audit Cover'!E7</f>
        <v>20096112004</v>
      </c>
      <c r="C2" s="2587"/>
      <c r="D2" s="2587"/>
      <c r="E2" s="2587"/>
      <c r="F2" s="2587"/>
      <c r="G2" s="2587"/>
      <c r="H2" s="2587"/>
      <c r="I2" s="2587"/>
      <c r="J2" s="2587"/>
      <c r="K2" s="2587"/>
      <c r="L2" s="1145"/>
      <c r="M2" s="1146"/>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1285</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3</v>
      </c>
      <c r="E10" s="300"/>
      <c r="F10" s="1156" t="s">
        <v>1284</v>
      </c>
      <c r="G10" s="1157" t="s">
        <v>2051</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7" t="s">
        <v>2100</v>
      </c>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7" t="s">
        <v>2106</v>
      </c>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1" t="s">
        <v>2101</v>
      </c>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7" t="s">
        <v>2102</v>
      </c>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7" t="s">
        <v>2103</v>
      </c>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6" t="s">
        <v>2104</v>
      </c>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6" t="s">
        <v>2105</v>
      </c>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88" bottom="0.78" header="0.26" footer="0.4"/>
  <pageSetup firstPageNumber="47" orientation="portrait" useFirstPageNumber="1" r:id="rId1"/>
  <headerFooter alignWithMargins="0">
    <oddFooter>&amp;C&amp;12-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 xml:space="preserve">  Fairfield PSD 112</v>
      </c>
      <c r="C1" s="2612"/>
      <c r="D1" s="2612"/>
      <c r="E1" s="2612"/>
      <c r="F1" s="2612"/>
      <c r="G1" s="2612"/>
      <c r="H1" s="2612"/>
      <c r="I1" s="2612"/>
      <c r="J1" s="2612"/>
      <c r="K1" s="2612"/>
      <c r="L1" s="1221"/>
    </row>
    <row r="2" spans="1:12" ht="12.75" customHeight="1" x14ac:dyDescent="0.2">
      <c r="B2" s="2613">
        <f>'Single Audit Cover'!E7</f>
        <v>20096112004</v>
      </c>
      <c r="C2" s="2613"/>
      <c r="D2" s="2613"/>
      <c r="E2" s="2613"/>
      <c r="F2" s="2613"/>
      <c r="G2" s="2613"/>
      <c r="H2" s="2613"/>
      <c r="I2" s="2613"/>
      <c r="J2" s="2613"/>
      <c r="K2" s="2613"/>
      <c r="L2" s="1222"/>
    </row>
    <row r="3" spans="1:12" ht="12.75" customHeight="1" x14ac:dyDescent="0.2">
      <c r="B3" s="2608" t="s">
        <v>1274</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1159</v>
      </c>
      <c r="C5" s="1036"/>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5"/>
      <c r="E14" s="2615"/>
      <c r="F14" s="2615"/>
      <c r="H14" s="1230" t="s">
        <v>1292</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6"/>
      <c r="E16" s="2616"/>
      <c r="F16" s="2616"/>
      <c r="G16" s="2616"/>
      <c r="H16" s="2616"/>
      <c r="I16" s="2616"/>
      <c r="J16" s="2616"/>
      <c r="K16" s="2616"/>
      <c r="L16" s="300"/>
    </row>
    <row r="17" spans="2:12" ht="13.5" customHeight="1" x14ac:dyDescent="0.2">
      <c r="B17" s="1156" t="s">
        <v>1290</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r:id="rId1"/>
  <headerFooter alignWithMargins="0">
    <oddFooter>&amp;C&amp;12-&amp;P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 xml:space="preserve">  Fairfield PSD 112</v>
      </c>
      <c r="C1" s="2585"/>
      <c r="D1" s="2585"/>
      <c r="E1" s="1240"/>
    </row>
    <row r="2" spans="2:5" s="1058" customFormat="1" ht="12.75" customHeight="1" x14ac:dyDescent="0.2">
      <c r="B2" s="2587">
        <f>'Single Audit Cover'!E7</f>
        <v>20096112004</v>
      </c>
      <c r="C2" s="2587"/>
      <c r="D2" s="2587"/>
      <c r="E2" s="1241"/>
    </row>
    <row r="3" spans="2:5" ht="12.75" customHeight="1" x14ac:dyDescent="0.2">
      <c r="B3" s="2608" t="s">
        <v>1743</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83" bottom="0.57999999999999996" header="0.26" footer="0.26"/>
  <pageSetup firstPageNumber="43" orientation="portrait" r:id="rId1"/>
  <headerFooter alignWithMargins="0">
    <oddFooter>&amp;C&amp;12-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D34" sqref="D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59706945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24">
        <f>ROUND(D10+F10+H10,5)</f>
        <v>1.29E-2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6214335</v>
      </c>
      <c r="E16" s="1547"/>
      <c r="F16" s="1546">
        <f>SUM('Acct Summary 7-8'!C17,'Acct Summary 7-8'!D17,'Acct Summary 7-8'!F17)</f>
        <v>5933237</v>
      </c>
      <c r="G16" s="1547"/>
      <c r="H16" s="1546">
        <f>SUM(D16-F16)</f>
        <v>281098</v>
      </c>
      <c r="I16" s="1548"/>
      <c r="J16" s="1546">
        <f>SUM('Acct Summary 7-8'!C81,'Acct Summary 7-8'!D81,'Acct Summary 7-8'!F81,'Acct Summary 7-8'!I81)</f>
        <v>4832300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4119779.2050000005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2240196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84" bottom="0.77" header="0.54" footer="0.42"/>
  <pageSetup scale="90" firstPageNumber="72" orientation="portrait" useFirstPageNumber="1" r:id="rId1"/>
  <headerFooter alignWithMargins="0">
    <oddHeader>&amp;C  Fairfield Public School District 112</oddHeader>
    <oddFooter>&amp;C&amp;12-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Fairfield PSD 112</v>
      </c>
      <c r="E7" s="368"/>
      <c r="G7" s="247"/>
      <c r="H7" s="364"/>
      <c r="I7" s="364"/>
      <c r="J7" s="364"/>
      <c r="K7" s="364"/>
      <c r="L7" s="307"/>
      <c r="M7" s="307"/>
      <c r="N7" s="307"/>
      <c r="O7" s="307"/>
      <c r="P7" s="307"/>
    </row>
    <row r="8" spans="1:18" ht="12.75" x14ac:dyDescent="0.2">
      <c r="A8" s="307"/>
      <c r="B8" s="307"/>
      <c r="C8" s="366" t="s">
        <v>1115</v>
      </c>
      <c r="D8" s="369">
        <f>COVER!A13</f>
        <v>20096112004</v>
      </c>
      <c r="E8" s="370"/>
      <c r="G8" s="307"/>
      <c r="H8" s="307"/>
      <c r="I8" s="307"/>
      <c r="J8" s="307"/>
      <c r="K8" s="307"/>
      <c r="L8" s="307"/>
      <c r="M8" s="307"/>
      <c r="N8" s="307"/>
      <c r="O8" s="307"/>
      <c r="P8" s="307"/>
    </row>
    <row r="9" spans="1:18" ht="12.75" x14ac:dyDescent="0.2">
      <c r="A9" s="307"/>
      <c r="B9" s="307"/>
      <c r="C9" s="366" t="s">
        <v>708</v>
      </c>
      <c r="D9" s="371" t="str">
        <f>COVER!A15</f>
        <v>Wayne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4832300</v>
      </c>
      <c r="I12" s="380"/>
      <c r="J12" s="380"/>
      <c r="K12" s="1559">
        <f>TRUNC((H12/H13*100000),5)/100000</f>
        <v>0.77760532699999996</v>
      </c>
      <c r="L12" s="381"/>
      <c r="M12" s="337" t="s">
        <v>1134</v>
      </c>
      <c r="N12" s="337"/>
      <c r="O12" s="1562">
        <v>0.35</v>
      </c>
      <c r="P12" s="213"/>
      <c r="Q12" s="213"/>
    </row>
    <row r="13" spans="1:18" s="382" customFormat="1" ht="12.75" x14ac:dyDescent="0.2">
      <c r="A13" s="213"/>
      <c r="B13" s="377"/>
      <c r="C13" s="2205" t="s">
        <v>1313</v>
      </c>
      <c r="D13" s="2206"/>
      <c r="E13" s="213"/>
      <c r="F13" s="383" t="s">
        <v>788</v>
      </c>
      <c r="G13" s="378"/>
      <c r="H13" s="1551">
        <f>SUM('Acct Summary 7-8'!C8+'Acct Summary 7-8'!D8+'Acct Summary 7-8'!F8+'Acct Summary 7-8'!I8)+H14</f>
        <v>6214335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5933237</v>
      </c>
      <c r="I17" s="380"/>
      <c r="J17" s="389"/>
      <c r="K17" s="1559">
        <f>TRUNC((H17/H18*100000),5)/100000</f>
        <v>0.95476619779999994</v>
      </c>
      <c r="L17" s="381"/>
      <c r="M17" s="390" t="s">
        <v>1161</v>
      </c>
      <c r="O17" s="1565" t="str">
        <f>IF(AND(O16="2", J20 &gt; 2),"1",IF(AND(O16 = "1", J20 &gt; 2),"2",IF(AND(O16="1", J20 &gt;1),"1","0")))</f>
        <v>0</v>
      </c>
      <c r="P17" s="213"/>
    </row>
    <row r="18" spans="1:18" s="382" customFormat="1" ht="11.25" x14ac:dyDescent="0.2">
      <c r="A18" s="213"/>
      <c r="B18" s="377"/>
      <c r="C18" s="2205" t="s">
        <v>1306</v>
      </c>
      <c r="D18" s="2206"/>
      <c r="E18" s="213"/>
      <c r="F18" s="391" t="s">
        <v>789</v>
      </c>
      <c r="G18" s="378"/>
      <c r="H18" s="1551">
        <f>SUM('Acct Summary 7-8'!C8+'Acct Summary 7-8'!D8+'Acct Summary 7-8'!F8+'Acct Summary 7-8'!I8)+H19</f>
        <v>6214335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2" t="s">
        <v>1395</v>
      </c>
      <c r="D24" s="2202"/>
      <c r="E24" s="213"/>
      <c r="F24" s="213" t="s">
        <v>442</v>
      </c>
      <c r="G24" s="378"/>
      <c r="H24" s="1551">
        <f>SUM('Assets-Liab 5-6'!C4+'Assets-Liab 5-6'!D4+'Assets-Liab 5-6'!F4+'Assets-Liab 5-6'!I4+'Assets-Liab 5-6'!C5+'Assets-Liab 5-6'!D5+'Assets-Liab 5-6'!F5+'Assets-Liab 5-6'!I5)</f>
        <v>4825023</v>
      </c>
      <c r="I24" s="394"/>
      <c r="J24" s="394"/>
      <c r="K24" s="1555">
        <f>TRUNC(((H24/H25*100000)/100000),2)</f>
        <v>292.75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16481.213889999999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654686.65193000005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2</v>
      </c>
      <c r="P31" s="211"/>
    </row>
    <row r="32" spans="1:18" s="382" customFormat="1" ht="11.25" x14ac:dyDescent="0.2">
      <c r="A32" s="213"/>
      <c r="B32" s="377"/>
      <c r="C32" s="213" t="s">
        <v>842</v>
      </c>
      <c r="D32" s="213"/>
      <c r="E32" s="213"/>
      <c r="F32" s="213"/>
      <c r="G32" s="378"/>
      <c r="H32" s="1551">
        <f>'FP Info 3'!H37</f>
        <v>2240196</v>
      </c>
      <c r="I32" s="392"/>
      <c r="J32" s="392"/>
      <c r="K32" s="1555">
        <f>TRUNC(100-((((H32/H33*100))*100)/100),2)</f>
        <v>45.62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4119779.2050000005</v>
      </c>
      <c r="I33" s="392"/>
      <c r="J33" s="392"/>
      <c r="K33" s="379"/>
      <c r="L33" s="213"/>
      <c r="M33" s="401" t="s">
        <v>1135</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6999999999999995" right="0.47" top="0.8" bottom="0.65" header="0.47" footer="0.32"/>
  <pageSetup scale="85" firstPageNumber="73" orientation="landscape" useFirstPageNumber="1" r:id="rId3"/>
  <headerFooter alignWithMargins="0">
    <oddHeader xml:space="preserve">&amp;C Fairfield Public School District 112 </oddHeader>
    <oddFooter>&amp;C&amp;14- &amp;P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6"/>
      <c r="D3" s="1307"/>
      <c r="E3" s="1307"/>
      <c r="F3" s="1307"/>
      <c r="G3" s="1307"/>
      <c r="H3" s="1307"/>
      <c r="I3" s="1307"/>
      <c r="J3" s="1307"/>
      <c r="K3" s="1307"/>
      <c r="L3" s="1307"/>
      <c r="M3" s="1308"/>
      <c r="N3" s="1309"/>
    </row>
    <row r="4" spans="1:14" ht="13.5" customHeight="1" x14ac:dyDescent="0.2">
      <c r="A4" s="427" t="s">
        <v>1632</v>
      </c>
      <c r="B4" s="428"/>
      <c r="C4" s="1572">
        <v>3792208</v>
      </c>
      <c r="D4" s="1573">
        <v>580337</v>
      </c>
      <c r="E4" s="1573">
        <v>31026</v>
      </c>
      <c r="F4" s="1573">
        <v>178746</v>
      </c>
      <c r="G4" s="1573">
        <v>166859</v>
      </c>
      <c r="H4" s="1573"/>
      <c r="I4" s="1573">
        <v>273732</v>
      </c>
      <c r="J4" s="1574">
        <v>310201</v>
      </c>
      <c r="K4" s="1573">
        <v>248908</v>
      </c>
      <c r="L4" s="1573">
        <v>17939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7277</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3799485</v>
      </c>
      <c r="D13" s="1587">
        <f t="shared" ref="D13:L13" si="0">SUM(D4:D12)</f>
        <v>580337</v>
      </c>
      <c r="E13" s="1587">
        <f t="shared" si="0"/>
        <v>31026</v>
      </c>
      <c r="F13" s="1587">
        <f t="shared" si="0"/>
        <v>178746</v>
      </c>
      <c r="G13" s="1587">
        <f t="shared" si="0"/>
        <v>166859</v>
      </c>
      <c r="H13" s="1587">
        <f t="shared" si="0"/>
        <v>0</v>
      </c>
      <c r="I13" s="1587">
        <f t="shared" si="0"/>
        <v>273732</v>
      </c>
      <c r="J13" s="1587">
        <f t="shared" si="0"/>
        <v>310201</v>
      </c>
      <c r="K13" s="1587">
        <f t="shared" si="0"/>
        <v>248908</v>
      </c>
      <c r="L13" s="1587">
        <f t="shared" si="0"/>
        <v>17939</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157600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11918244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115284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1739849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31026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2209170</v>
      </c>
    </row>
    <row r="23" spans="1:14" ht="13.5" customHeight="1" thickBot="1" x14ac:dyDescent="0.25">
      <c r="A23" s="1426" t="s">
        <v>638</v>
      </c>
      <c r="B23" s="1429"/>
      <c r="C23" s="1575"/>
      <c r="D23" s="1575"/>
      <c r="E23" s="1575"/>
      <c r="F23" s="1575"/>
      <c r="G23" s="1575"/>
      <c r="H23" s="1575"/>
      <c r="I23" s="1575"/>
      <c r="J23" s="1575"/>
      <c r="K23" s="1575"/>
      <c r="L23" s="1575"/>
      <c r="M23" s="1594">
        <f>SUM(M15:M22)</f>
        <v>13930977</v>
      </c>
      <c r="N23" s="1594">
        <f>SUM(N21:N22)</f>
        <v>2240196</v>
      </c>
    </row>
    <row r="24" spans="1:14" ht="18" customHeight="1" thickTop="1" x14ac:dyDescent="0.2">
      <c r="A24" s="2216" t="s">
        <v>594</v>
      </c>
      <c r="B24" s="221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17939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17939</v>
      </c>
      <c r="M34" s="1575"/>
      <c r="N34" s="1585"/>
    </row>
    <row r="35" spans="1:14" ht="18" customHeight="1" thickTop="1" x14ac:dyDescent="0.2">
      <c r="A35" s="2218" t="s">
        <v>526</v>
      </c>
      <c r="B35" s="221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2240196</v>
      </c>
    </row>
    <row r="37" spans="1:14" ht="13.5" thickBot="1" x14ac:dyDescent="0.25">
      <c r="A37" s="1426" t="s">
        <v>648</v>
      </c>
      <c r="B37" s="1429"/>
      <c r="C37" s="1582"/>
      <c r="D37" s="1582"/>
      <c r="E37" s="1582"/>
      <c r="F37" s="1582"/>
      <c r="G37" s="1582"/>
      <c r="H37" s="1582"/>
      <c r="I37" s="1582"/>
      <c r="J37" s="1582"/>
      <c r="K37" s="1582"/>
      <c r="L37" s="1585"/>
      <c r="M37" s="1575"/>
      <c r="N37" s="1594">
        <f>SUM(N36:N36)</f>
        <v>2240196</v>
      </c>
    </row>
    <row r="38" spans="1:14" s="307" customFormat="1" ht="13.5" customHeight="1" thickTop="1" x14ac:dyDescent="0.2">
      <c r="A38" s="438" t="s">
        <v>417</v>
      </c>
      <c r="B38" s="432">
        <v>714</v>
      </c>
      <c r="C38" s="1573">
        <v>38216</v>
      </c>
      <c r="D38" s="1573">
        <v>12985</v>
      </c>
      <c r="E38" s="1573"/>
      <c r="F38" s="1573"/>
      <c r="G38" s="1573">
        <v>99207</v>
      </c>
      <c r="H38" s="1573"/>
      <c r="I38" s="1573"/>
      <c r="J38" s="1574"/>
      <c r="K38" s="1573"/>
      <c r="L38" s="1586"/>
      <c r="M38" s="1604"/>
      <c r="N38" s="1604"/>
    </row>
    <row r="39" spans="1:14" s="307" customFormat="1" ht="13.5" customHeight="1" x14ac:dyDescent="0.2">
      <c r="A39" s="438" t="s">
        <v>339</v>
      </c>
      <c r="B39" s="432">
        <v>730</v>
      </c>
      <c r="C39" s="1573">
        <v>3761269</v>
      </c>
      <c r="D39" s="1573">
        <v>567352</v>
      </c>
      <c r="E39" s="1573">
        <v>31026</v>
      </c>
      <c r="F39" s="1573">
        <v>178746</v>
      </c>
      <c r="G39" s="1573">
        <v>67652</v>
      </c>
      <c r="H39" s="1573"/>
      <c r="I39" s="1573">
        <v>273732</v>
      </c>
      <c r="J39" s="1574">
        <v>310201</v>
      </c>
      <c r="K39" s="1573">
        <v>248908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13930977</v>
      </c>
      <c r="N40" s="1604"/>
    </row>
    <row r="41" spans="1:14" ht="13.5" customHeight="1" thickBot="1" x14ac:dyDescent="0.25">
      <c r="A41" s="1426" t="s">
        <v>650</v>
      </c>
      <c r="B41" s="1405"/>
      <c r="C41" s="1594">
        <f>(SUM(C34,C37,C38,C39))</f>
        <v>3799485</v>
      </c>
      <c r="D41" s="1594">
        <f t="shared" ref="D41:L41" si="2">SUM(D34,D37,D38:D39)</f>
        <v>580337</v>
      </c>
      <c r="E41" s="1594">
        <f t="shared" si="2"/>
        <v>31026</v>
      </c>
      <c r="F41" s="1594">
        <f t="shared" si="2"/>
        <v>178746</v>
      </c>
      <c r="G41" s="1594">
        <f t="shared" si="2"/>
        <v>166859</v>
      </c>
      <c r="H41" s="1594">
        <f t="shared" si="2"/>
        <v>0</v>
      </c>
      <c r="I41" s="1594">
        <f t="shared" si="2"/>
        <v>273732</v>
      </c>
      <c r="J41" s="1594">
        <f t="shared" si="2"/>
        <v>310201</v>
      </c>
      <c r="K41" s="1594">
        <f t="shared" si="2"/>
        <v>248908</v>
      </c>
      <c r="L41" s="1594">
        <f t="shared" si="2"/>
        <v>17939</v>
      </c>
      <c r="M41" s="1594">
        <f>SUM(M40)</f>
        <v>13930977</v>
      </c>
      <c r="N41" s="1594">
        <f>SUM(N37)</f>
        <v>2240196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44" right="0.15" top="0.86" bottom="0.72" header="0.45" footer="0.36"/>
  <pageSetup scale="75" firstPageNumber="6" orientation="landscape" useFirstPageNumber="1" r:id="rId1"/>
  <headerFooter differentOddEven="1" alignWithMargins="0">
    <oddHeader xml:space="preserve">&amp;C&amp;"Arial,Bold"&amp;9 Fairfield Public School District 112
STATEMENT OF ASSETS AND LIABILITIES ARISING FROM CASH TRANSACTIONS (ALL FUNDS)
AS OF JUNE 30, 2020
</oddHeader>
    <oddFooter>&amp;L&amp;11See accompanying notes to the financial statements.&amp;C&amp;14- &amp;P -</oddFooter>
    <evenHeader>&amp;C&amp;"Arial,Bold"&amp;9 Fairfield Public School District 112
STATEMENT OF ASSETS AND LIABILITIES ARISING FROM CASH TRANSACTIONS (ALL FUNDS)
AS OF JUNE 30&amp;"Arial,Regular", 2020</evenHeader>
    <evenFooter>&amp;L&amp;11See accompanying notes to the financial statements.&amp;C&amp;14- &amp;P -</even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K80" sqref="K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1"/>
      <c r="D3" s="1312"/>
      <c r="E3" s="1312"/>
      <c r="F3" s="1312"/>
      <c r="G3" s="1312"/>
      <c r="H3" s="1312"/>
      <c r="I3" s="1312"/>
      <c r="J3" s="1312"/>
      <c r="K3" s="1313"/>
      <c r="L3" s="446"/>
    </row>
    <row r="4" spans="1:13" ht="15.75" customHeight="1" x14ac:dyDescent="0.2">
      <c r="A4" s="1537" t="s">
        <v>1482</v>
      </c>
      <c r="B4" s="1538">
        <v>1000</v>
      </c>
      <c r="C4" s="1606">
        <f>'Revenues 9-14'!C109</f>
        <v>1017022</v>
      </c>
      <c r="D4" s="1606">
        <f>'Revenues 9-14'!D109</f>
        <v>173532</v>
      </c>
      <c r="E4" s="1606">
        <f>'Revenues 9-14'!E109</f>
        <v>307065</v>
      </c>
      <c r="F4" s="1606">
        <f>'Revenues 9-14'!F109</f>
        <v>77777</v>
      </c>
      <c r="G4" s="1606">
        <f>'Revenues 9-14'!G109</f>
        <v>313035</v>
      </c>
      <c r="H4" s="1606">
        <f>'Revenues 9-14'!H109</f>
        <v>0</v>
      </c>
      <c r="I4" s="1606">
        <f>'Revenues 9-14'!I109</f>
        <v>30538</v>
      </c>
      <c r="J4" s="1606">
        <f>'Revenues 9-14'!J109</f>
        <v>226949</v>
      </c>
      <c r="K4" s="1606">
        <f>'Revenues 9-14'!K109</f>
        <v>30479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3861956</v>
      </c>
      <c r="D6" s="1607">
        <f>'Revenues 9-14'!D170</f>
        <v>90000</v>
      </c>
      <c r="E6" s="1607">
        <f>'Revenues 9-14'!E170</f>
        <v>0</v>
      </c>
      <c r="F6" s="1607">
        <f>'Revenues 9-14'!F170</f>
        <v>205873</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757637</v>
      </c>
      <c r="D7" s="1607">
        <f>'Revenues 9-14'!D267</f>
        <v>0</v>
      </c>
      <c r="E7" s="1607">
        <f>'Revenues 9-14'!E267</f>
        <v>21887</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5636615</v>
      </c>
      <c r="D8" s="1594">
        <f t="shared" ref="D8:K8" si="0">SUM(D4:D7)</f>
        <v>263532</v>
      </c>
      <c r="E8" s="1594">
        <f t="shared" si="0"/>
        <v>328952</v>
      </c>
      <c r="F8" s="1594">
        <f t="shared" si="0"/>
        <v>283650</v>
      </c>
      <c r="G8" s="1594">
        <f t="shared" si="0"/>
        <v>313035</v>
      </c>
      <c r="H8" s="1594">
        <f t="shared" si="0"/>
        <v>0</v>
      </c>
      <c r="I8" s="1594">
        <f t="shared" si="0"/>
        <v>30538</v>
      </c>
      <c r="J8" s="1594">
        <f t="shared" si="0"/>
        <v>226949</v>
      </c>
      <c r="K8" s="1594">
        <f t="shared" si="0"/>
        <v>30479</v>
      </c>
      <c r="L8" s="325"/>
    </row>
    <row r="9" spans="1:13" ht="15.75" thickTop="1" x14ac:dyDescent="0.2">
      <c r="A9" s="449" t="s">
        <v>1634</v>
      </c>
      <c r="B9" s="450">
        <v>3998</v>
      </c>
      <c r="C9" s="1586">
        <v>375827</v>
      </c>
      <c r="D9" s="1613"/>
      <c r="E9" s="1586"/>
      <c r="F9" s="1586"/>
      <c r="G9" s="1614"/>
      <c r="H9" s="1586"/>
      <c r="I9" s="1609" t="s">
        <v>1159</v>
      </c>
      <c r="J9" s="1583"/>
      <c r="K9" s="1586"/>
      <c r="L9" s="325"/>
    </row>
    <row r="10" spans="1:13" s="452" customFormat="1" ht="13.5" thickBot="1" x14ac:dyDescent="0.25">
      <c r="A10" s="1426" t="s">
        <v>1163</v>
      </c>
      <c r="B10" s="1407"/>
      <c r="C10" s="1594">
        <f>SUM(C8:C9)</f>
        <v>6012442</v>
      </c>
      <c r="D10" s="1594">
        <f t="shared" ref="D10:K10" si="1">SUM(D8:D9)</f>
        <v>263532</v>
      </c>
      <c r="E10" s="1594">
        <f t="shared" si="1"/>
        <v>328952</v>
      </c>
      <c r="F10" s="1594">
        <f t="shared" si="1"/>
        <v>283650</v>
      </c>
      <c r="G10" s="1594">
        <f t="shared" si="1"/>
        <v>313035</v>
      </c>
      <c r="H10" s="1594">
        <f t="shared" si="1"/>
        <v>0</v>
      </c>
      <c r="I10" s="1594">
        <f t="shared" si="1"/>
        <v>30538</v>
      </c>
      <c r="J10" s="1594">
        <f t="shared" si="1"/>
        <v>226949</v>
      </c>
      <c r="K10" s="1594">
        <f t="shared" si="1"/>
        <v>30479</v>
      </c>
      <c r="L10" s="451"/>
    </row>
    <row r="11" spans="1:13" s="452" customFormat="1" ht="16.7" customHeight="1" thickTop="1" x14ac:dyDescent="0.2">
      <c r="A11" s="2214" t="s">
        <v>1166</v>
      </c>
      <c r="B11" s="2215"/>
      <c r="C11" s="1602"/>
      <c r="D11" s="1603"/>
      <c r="E11" s="1603"/>
      <c r="F11" s="1603"/>
      <c r="G11" s="1603"/>
      <c r="H11" s="1603"/>
      <c r="I11" s="1603"/>
      <c r="J11" s="1603"/>
      <c r="K11" s="1615"/>
      <c r="L11" s="451"/>
    </row>
    <row r="12" spans="1:13" ht="15.75" customHeight="1" x14ac:dyDescent="0.2">
      <c r="A12" s="1314" t="s">
        <v>453</v>
      </c>
      <c r="B12" s="1316">
        <v>1000</v>
      </c>
      <c r="C12" s="1606">
        <f>'Expenditures 15-22'!K33</f>
        <v>3676625</v>
      </c>
      <c r="D12" s="1616" t="s">
        <v>1159</v>
      </c>
      <c r="E12" s="1575" t="s">
        <v>1159</v>
      </c>
      <c r="F12" s="1575" t="s">
        <v>1159</v>
      </c>
      <c r="G12" s="1606">
        <f>'Expenditures 15-22'!K229</f>
        <v>122551</v>
      </c>
      <c r="H12" s="1617"/>
      <c r="I12" s="1575" t="s">
        <v>1159</v>
      </c>
      <c r="J12" s="1575" t="s">
        <v>1159</v>
      </c>
      <c r="K12" s="1617" t="s">
        <v>1159</v>
      </c>
      <c r="L12" s="325"/>
    </row>
    <row r="13" spans="1:13" ht="15.75" customHeight="1" x14ac:dyDescent="0.2">
      <c r="A13" s="1314" t="s">
        <v>454</v>
      </c>
      <c r="B13" s="1316">
        <v>2000</v>
      </c>
      <c r="C13" s="1607">
        <f>'Expenditures 15-22'!K74</f>
        <v>1493844</v>
      </c>
      <c r="D13" s="1607">
        <f>'Expenditures 15-22'!K129</f>
        <v>252770</v>
      </c>
      <c r="E13" s="1576" t="s">
        <v>1159</v>
      </c>
      <c r="F13" s="1607">
        <f>'Expenditures 15-22'!K184</f>
        <v>221753</v>
      </c>
      <c r="G13" s="1607">
        <f>'Expenditures 15-22'!K279</f>
        <v>116802</v>
      </c>
      <c r="H13" s="1607">
        <f>'Expenditures 15-22'!K303</f>
        <v>0</v>
      </c>
      <c r="I13" s="1575" t="s">
        <v>1159</v>
      </c>
      <c r="J13" s="1607">
        <f>'Expenditures 15-22'!K330</f>
        <v>234820</v>
      </c>
      <c r="K13" s="1618">
        <f>'Expenditures 15-22'!K352</f>
        <v>47340</v>
      </c>
      <c r="L13" s="325"/>
    </row>
    <row r="14" spans="1:13" ht="15.75" customHeight="1" x14ac:dyDescent="0.2">
      <c r="A14" s="1314" t="s">
        <v>446</v>
      </c>
      <c r="B14" s="1316">
        <v>3000</v>
      </c>
      <c r="C14" s="1607">
        <f>'Expenditures 15-22'!K75</f>
        <v>29806</v>
      </c>
      <c r="D14" s="1607">
        <f>'Expenditures 15-22'!K130</f>
        <v>0</v>
      </c>
      <c r="E14" s="1616" t="s">
        <v>1159</v>
      </c>
      <c r="F14" s="1607">
        <f>'Expenditures 15-22'!K185</f>
        <v>0</v>
      </c>
      <c r="G14" s="1607">
        <f>'Expenditures 15-22'!K280</f>
        <v>329</v>
      </c>
      <c r="H14" s="1612"/>
      <c r="I14" s="1575" t="s">
        <v>1159</v>
      </c>
      <c r="J14" s="1575" t="s">
        <v>1159</v>
      </c>
      <c r="K14" s="1612" t="s">
        <v>1159</v>
      </c>
      <c r="L14" s="325"/>
    </row>
    <row r="15" spans="1:13" ht="15.75" customHeight="1" x14ac:dyDescent="0.2">
      <c r="A15" s="1314" t="s">
        <v>107</v>
      </c>
      <c r="B15" s="1316">
        <v>4000</v>
      </c>
      <c r="C15" s="1607">
        <f>'Expenditures 15-22'!K102</f>
        <v>216681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339169</v>
      </c>
      <c r="F16" s="1607">
        <f>'Expenditures 15-22'!K208</f>
        <v>41758</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5416956</v>
      </c>
      <c r="D17" s="1594">
        <f t="shared" si="2"/>
        <v>252770</v>
      </c>
      <c r="E17" s="1594">
        <f t="shared" si="2"/>
        <v>339169</v>
      </c>
      <c r="F17" s="1594">
        <f t="shared" si="2"/>
        <v>263511</v>
      </c>
      <c r="G17" s="1594">
        <f t="shared" si="2"/>
        <v>239682</v>
      </c>
      <c r="H17" s="1594">
        <f t="shared" si="2"/>
        <v>0</v>
      </c>
      <c r="I17" s="1575"/>
      <c r="J17" s="1594">
        <f>SUM(J12:J16)</f>
        <v>234820</v>
      </c>
      <c r="K17" s="1594">
        <f>SUM(K12:K16)</f>
        <v>47340</v>
      </c>
      <c r="L17" s="325"/>
    </row>
    <row r="18" spans="1:12" ht="15" customHeight="1" thickTop="1" x14ac:dyDescent="0.2">
      <c r="A18" s="1430" t="s">
        <v>1635</v>
      </c>
      <c r="B18" s="1431">
        <v>4180</v>
      </c>
      <c r="C18" s="1606">
        <f t="shared" ref="C18:H18" si="3">C9</f>
        <v>375827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5792783</v>
      </c>
      <c r="D19" s="1594">
        <f t="shared" si="4"/>
        <v>252770</v>
      </c>
      <c r="E19" s="1594">
        <f t="shared" si="4"/>
        <v>339169</v>
      </c>
      <c r="F19" s="1594">
        <f t="shared" si="4"/>
        <v>263511</v>
      </c>
      <c r="G19" s="1594">
        <f t="shared" si="4"/>
        <v>239682</v>
      </c>
      <c r="H19" s="1594">
        <f t="shared" si="4"/>
        <v>0</v>
      </c>
      <c r="I19" s="1575"/>
      <c r="J19" s="1594">
        <f>SUM(J17:J18)</f>
        <v>234820</v>
      </c>
      <c r="K19" s="1594">
        <f>SUM(K17:K18)</f>
        <v>47340</v>
      </c>
      <c r="L19" s="325"/>
    </row>
    <row r="20" spans="1:12" ht="16.5" thickTop="1" thickBot="1" x14ac:dyDescent="0.25">
      <c r="A20" s="2230" t="s">
        <v>1636</v>
      </c>
      <c r="B20" s="2231"/>
      <c r="C20" s="1622">
        <f>C8-C17</f>
        <v>219659</v>
      </c>
      <c r="D20" s="1622">
        <f t="shared" ref="D20:K20" si="5">D8-D17</f>
        <v>10762</v>
      </c>
      <c r="E20" s="1622">
        <f t="shared" si="5"/>
        <v>-10217</v>
      </c>
      <c r="F20" s="1622">
        <f t="shared" si="5"/>
        <v>20139</v>
      </c>
      <c r="G20" s="1622">
        <f t="shared" si="5"/>
        <v>73353</v>
      </c>
      <c r="H20" s="1622">
        <f t="shared" si="5"/>
        <v>0</v>
      </c>
      <c r="I20" s="1622">
        <f t="shared" si="5"/>
        <v>30538</v>
      </c>
      <c r="J20" s="1622">
        <f t="shared" si="5"/>
        <v>-7871</v>
      </c>
      <c r="K20" s="1622">
        <f t="shared" si="5"/>
        <v>-16861</v>
      </c>
      <c r="L20" s="325"/>
    </row>
    <row r="21" spans="1:12" ht="16.7" customHeight="1" thickTop="1" x14ac:dyDescent="0.2">
      <c r="A21" s="2242" t="s">
        <v>591</v>
      </c>
      <c r="B21" s="2243"/>
      <c r="C21" s="1602"/>
      <c r="D21" s="1603"/>
      <c r="E21" s="1603"/>
      <c r="F21" s="1603"/>
      <c r="G21" s="1603"/>
      <c r="H21" s="1603"/>
      <c r="I21" s="1603"/>
      <c r="J21" s="1603"/>
      <c r="K21" s="1615"/>
      <c r="L21" s="453"/>
    </row>
    <row r="22" spans="1:12" ht="15.75" customHeight="1" collapsed="1" x14ac:dyDescent="0.2">
      <c r="A22" s="2238" t="s">
        <v>592</v>
      </c>
      <c r="B22" s="2239"/>
      <c r="C22" s="1582"/>
      <c r="D22" s="1582"/>
      <c r="E22" s="1582"/>
      <c r="F22" s="1582"/>
      <c r="G22" s="1582"/>
      <c r="H22" s="1582"/>
      <c r="I22" s="1582"/>
      <c r="J22" s="1582"/>
      <c r="K22" s="1582"/>
      <c r="L22" s="325"/>
    </row>
    <row r="23" spans="1:12" s="433" customFormat="1" ht="15.75" customHeight="1" x14ac:dyDescent="0.2">
      <c r="A23" s="2234" t="s">
        <v>290</v>
      </c>
      <c r="B23" s="2235"/>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25000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6" t="s">
        <v>974</v>
      </c>
      <c r="B32" s="223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4" t="s">
        <v>371</v>
      </c>
      <c r="B44" s="2245"/>
      <c r="C44" s="1624">
        <f>SUM(C24:C43)</f>
        <v>0</v>
      </c>
      <c r="D44" s="1624">
        <f t="shared" ref="D44:K44" si="6">SUM(D24:D43)</f>
        <v>25000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8" t="s">
        <v>108</v>
      </c>
      <c r="B45" s="2239"/>
      <c r="C45" s="1625"/>
      <c r="D45" s="1625"/>
      <c r="E45" s="1625"/>
      <c r="F45" s="1625"/>
      <c r="G45" s="1625"/>
      <c r="H45" s="1625"/>
      <c r="I45" s="1625"/>
      <c r="J45" s="1625"/>
      <c r="K45" s="1625"/>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0" t="s">
        <v>437</v>
      </c>
      <c r="B76" s="2221"/>
      <c r="C76" s="1624">
        <f t="shared" ref="C76:K76" si="7">SUM(C47:C75)</f>
        <v>0</v>
      </c>
      <c r="D76" s="1624">
        <f t="shared" si="7"/>
        <v>0</v>
      </c>
      <c r="E76" s="1624">
        <f t="shared" si="7"/>
        <v>0</v>
      </c>
      <c r="F76" s="1624">
        <f t="shared" si="7"/>
        <v>0</v>
      </c>
      <c r="G76" s="1624">
        <f t="shared" si="7"/>
        <v>0</v>
      </c>
      <c r="H76" s="1624">
        <f t="shared" si="7"/>
        <v>0</v>
      </c>
      <c r="I76" s="1624">
        <f t="shared" si="7"/>
        <v>25000</v>
      </c>
      <c r="J76" s="1624">
        <f t="shared" si="7"/>
        <v>0</v>
      </c>
      <c r="K76" s="1624">
        <f t="shared" si="7"/>
        <v>0</v>
      </c>
      <c r="L76" s="453"/>
    </row>
    <row r="77" spans="1:12" ht="14.25" thickTop="1" thickBot="1" x14ac:dyDescent="0.25">
      <c r="A77" s="2222" t="s">
        <v>1167</v>
      </c>
      <c r="B77" s="2223"/>
      <c r="C77" s="1624">
        <f t="shared" ref="C77:K77" si="8">C44-C76</f>
        <v>0</v>
      </c>
      <c r="D77" s="1624">
        <f t="shared" si="8"/>
        <v>25000</v>
      </c>
      <c r="E77" s="1624">
        <f t="shared" si="8"/>
        <v>0</v>
      </c>
      <c r="F77" s="1624">
        <f t="shared" si="8"/>
        <v>0</v>
      </c>
      <c r="G77" s="1624">
        <f t="shared" si="8"/>
        <v>0</v>
      </c>
      <c r="H77" s="1624">
        <f t="shared" si="8"/>
        <v>0</v>
      </c>
      <c r="I77" s="1624">
        <f t="shared" si="8"/>
        <v>-25000</v>
      </c>
      <c r="J77" s="1624">
        <f t="shared" si="8"/>
        <v>0</v>
      </c>
      <c r="K77" s="1624">
        <f t="shared" si="8"/>
        <v>0</v>
      </c>
      <c r="L77" s="325"/>
    </row>
    <row r="78" spans="1:12" ht="21.75" customHeight="1" thickTop="1" thickBot="1" x14ac:dyDescent="0.25">
      <c r="A78" s="2226" t="s">
        <v>593</v>
      </c>
      <c r="B78" s="2227"/>
      <c r="C78" s="1629">
        <f t="shared" ref="C78:K78" si="9">C20+C77</f>
        <v>219659</v>
      </c>
      <c r="D78" s="1629">
        <f t="shared" si="9"/>
        <v>35762</v>
      </c>
      <c r="E78" s="1629">
        <f t="shared" si="9"/>
        <v>-10217</v>
      </c>
      <c r="F78" s="1629">
        <f t="shared" si="9"/>
        <v>20139</v>
      </c>
      <c r="G78" s="1629">
        <f t="shared" si="9"/>
        <v>73353</v>
      </c>
      <c r="H78" s="1629">
        <f t="shared" si="9"/>
        <v>0</v>
      </c>
      <c r="I78" s="1629">
        <f t="shared" si="9"/>
        <v>5538</v>
      </c>
      <c r="J78" s="1629">
        <f t="shared" si="9"/>
        <v>-7871</v>
      </c>
      <c r="K78" s="1629">
        <f t="shared" si="9"/>
        <v>-16861</v>
      </c>
      <c r="L78" s="457"/>
    </row>
    <row r="79" spans="1:12" ht="13.5" thickTop="1" x14ac:dyDescent="0.2">
      <c r="A79" s="1844" t="str">
        <f>"Fund Balances - July 1, "&amp;'AFR20'!E2-1</f>
        <v>Fund Balances - July 1, 2019</v>
      </c>
      <c r="B79" s="458"/>
      <c r="C79" s="1583">
        <v>3579826</v>
      </c>
      <c r="D79" s="1630">
        <v>544575</v>
      </c>
      <c r="E79" s="1630">
        <v>41243</v>
      </c>
      <c r="F79" s="1630">
        <v>158607</v>
      </c>
      <c r="G79" s="1630">
        <v>93506</v>
      </c>
      <c r="H79" s="1630">
        <v>0</v>
      </c>
      <c r="I79" s="1630">
        <v>268194</v>
      </c>
      <c r="J79" s="1630">
        <v>318072</v>
      </c>
      <c r="K79" s="1630">
        <v>265769</v>
      </c>
      <c r="L79" s="325"/>
    </row>
    <row r="80" spans="1:12" x14ac:dyDescent="0.2">
      <c r="A80" s="2232" t="s">
        <v>1772</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3799485</v>
      </c>
      <c r="D81" s="1594">
        <f>SUM(D78:D80)</f>
        <v>580337</v>
      </c>
      <c r="E81" s="1594">
        <f t="shared" ref="E81:K81" si="10">SUM(E78:E80)</f>
        <v>31026</v>
      </c>
      <c r="F81" s="1594">
        <f t="shared" si="10"/>
        <v>178746</v>
      </c>
      <c r="G81" s="1594">
        <f t="shared" si="10"/>
        <v>166859</v>
      </c>
      <c r="H81" s="1594">
        <f t="shared" si="10"/>
        <v>0</v>
      </c>
      <c r="I81" s="1594">
        <f t="shared" si="10"/>
        <v>273732</v>
      </c>
      <c r="J81" s="1594">
        <f t="shared" si="10"/>
        <v>310201</v>
      </c>
      <c r="K81" s="1594">
        <f t="shared" si="10"/>
        <v>248908</v>
      </c>
      <c r="L81" s="325"/>
    </row>
    <row r="82" spans="1:12" ht="0.75" customHeight="1" thickTop="1" thickBot="1" x14ac:dyDescent="0.25">
      <c r="A82" s="459" t="s">
        <v>340</v>
      </c>
      <c r="B82" s="460"/>
      <c r="C82" s="461">
        <f>(C81-C79)</f>
        <v>219659</v>
      </c>
      <c r="D82" s="461">
        <f t="shared" ref="D82:K82" si="11">(D81-D79)</f>
        <v>35762</v>
      </c>
      <c r="E82" s="461">
        <f t="shared" si="11"/>
        <v>-10217</v>
      </c>
      <c r="F82" s="461">
        <f t="shared" si="11"/>
        <v>20139</v>
      </c>
      <c r="G82" s="461">
        <f t="shared" si="11"/>
        <v>73353</v>
      </c>
      <c r="H82" s="461">
        <f t="shared" si="11"/>
        <v>0</v>
      </c>
      <c r="I82" s="461">
        <f t="shared" si="11"/>
        <v>5538</v>
      </c>
      <c r="J82" s="461">
        <f t="shared" si="11"/>
        <v>-7871</v>
      </c>
      <c r="K82" s="461">
        <f t="shared" si="11"/>
        <v>-16861</v>
      </c>
    </row>
    <row r="83" spans="1:12" ht="14.25" hidden="1" thickTop="1" thickBot="1" x14ac:dyDescent="0.25">
      <c r="A83" s="462" t="s">
        <v>341</v>
      </c>
      <c r="B83" s="428"/>
      <c r="C83" s="463">
        <f>C82/C81</f>
        <v>5.7812835160554653E-2</v>
      </c>
      <c r="D83" s="463">
        <f t="shared" ref="D83:K83" si="12">D82/D81</f>
        <v>6.162281570880368E-2</v>
      </c>
      <c r="E83" s="463">
        <f t="shared" si="12"/>
        <v>-0.32930445432862759</v>
      </c>
      <c r="F83" s="463">
        <f t="shared" si="12"/>
        <v>0.11266825551341009</v>
      </c>
      <c r="G83" s="463">
        <f t="shared" si="12"/>
        <v>0.43961068926458868</v>
      </c>
      <c r="H83" s="463" t="e">
        <f t="shared" si="12"/>
        <v>#DIV/0!</v>
      </c>
      <c r="I83" s="463">
        <f t="shared" si="12"/>
        <v>2.023146727456052E-2</v>
      </c>
      <c r="J83" s="463">
        <f t="shared" si="12"/>
        <v>-2.5373870490423951E-2</v>
      </c>
      <c r="K83" s="463">
        <f t="shared" si="12"/>
        <v>-6.7739887830041617E-2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8000000000000003" right="0" top="0.8" bottom="0.62" header="0.28000000000000003" footer="0.28999999999999998"/>
  <pageSetup scale="73" firstPageNumber="8" orientation="landscape" useFirstPageNumber="1" r:id="rId1"/>
  <headerFooter differentOddEven="1" alignWithMargins="0">
    <oddHeader xml:space="preserve">&amp;C&amp;"Arial,Bold"&amp;9 Fairfield Public School District 112
STATEMENT OF REVENUES RECEIVED/REVENUES, EXPENDITURES/DISBURSED/EXPENDITURES, OTHER 
SOURCES (USES) AND CHANGES IN FUND BALANCE (ALL FUNDS)
  FOR THE YEAR ENDING JUNE 30, 2020 </oddHeader>
    <oddFooter>&amp;L&amp;11See accompanying notes to the financial statements.&amp;C&amp;14- &amp;P -</oddFooter>
    <evenHeader xml:space="preserve">&amp;C&amp;"Arial,Bold"&amp;9 Fairfield Public School District 112
STATEMENT OF REVENUES RECEIVED/REVENUES, EXPENDITURES/DISBURSED/EXPENDITURES, OTHER 
SOURCES (USES) AND CHANGES IN FUND BALANCE (ALL FUNDS)
  FOR THE YEAR ENDING JUNE 30, 2020 </evenHeader>
    <evenFooter>&amp;L&amp;11See accompanying notes to the financial statements.&amp;C&amp;14- &amp;P -</even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542950</v>
      </c>
      <c r="D5" s="1586">
        <v>147541</v>
      </c>
      <c r="E5" s="1573">
        <v>305223</v>
      </c>
      <c r="F5" s="1631">
        <v>70820</v>
      </c>
      <c r="G5" s="1573">
        <v>154119</v>
      </c>
      <c r="H5" s="1573"/>
      <c r="I5" s="1573">
        <v>29508</v>
      </c>
      <c r="J5" s="1574">
        <v>224826</v>
      </c>
      <c r="K5" s="1573">
        <v>29508</v>
      </c>
    </row>
    <row r="6" spans="1:12" ht="15" x14ac:dyDescent="0.2">
      <c r="A6" s="427" t="s">
        <v>1643</v>
      </c>
      <c r="B6" s="429">
        <v>1130</v>
      </c>
      <c r="C6" s="1573">
        <v>29508</v>
      </c>
      <c r="D6" s="1573"/>
      <c r="E6" s="1580"/>
      <c r="F6" s="1580"/>
      <c r="G6" s="1575"/>
      <c r="H6" s="1575"/>
      <c r="I6" s="1575"/>
      <c r="J6" s="1575"/>
      <c r="K6" s="1575"/>
    </row>
    <row r="7" spans="1:12" x14ac:dyDescent="0.2">
      <c r="A7" s="427" t="s">
        <v>110</v>
      </c>
      <c r="B7" s="471">
        <v>1140</v>
      </c>
      <c r="C7" s="1573">
        <v>11803</v>
      </c>
      <c r="D7" s="1573"/>
      <c r="E7" s="1575"/>
      <c r="F7" s="1574"/>
      <c r="G7" s="1574"/>
      <c r="H7" s="1574"/>
      <c r="I7" s="1575"/>
      <c r="J7" s="1575"/>
      <c r="K7" s="1575"/>
    </row>
    <row r="8" spans="1:12" x14ac:dyDescent="0.2">
      <c r="A8" s="427" t="s">
        <v>410</v>
      </c>
      <c r="B8" s="429">
        <v>1150</v>
      </c>
      <c r="C8" s="1580"/>
      <c r="D8" s="1580"/>
      <c r="E8" s="1582"/>
      <c r="F8" s="1582"/>
      <c r="G8" s="1586">
        <v>154118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v>110619</v>
      </c>
      <c r="D11" s="1573">
        <v>20000</v>
      </c>
      <c r="E11" s="1573"/>
      <c r="F11" s="1573"/>
      <c r="G11" s="1573"/>
      <c r="H11" s="1573"/>
      <c r="I11" s="1573"/>
      <c r="J11" s="1574"/>
      <c r="K11" s="1573"/>
      <c r="L11" s="473"/>
    </row>
    <row r="12" spans="1:12" ht="12.75" customHeight="1" thickBot="1" x14ac:dyDescent="0.25">
      <c r="A12" s="1404" t="s">
        <v>29</v>
      </c>
      <c r="B12" s="1405"/>
      <c r="C12" s="1633">
        <f t="shared" ref="C12:K12" si="0">SUM(C5:C11)</f>
        <v>694880</v>
      </c>
      <c r="D12" s="1633">
        <f t="shared" si="0"/>
        <v>167541</v>
      </c>
      <c r="E12" s="1633">
        <f t="shared" si="0"/>
        <v>305223</v>
      </c>
      <c r="F12" s="1633">
        <f t="shared" si="0"/>
        <v>70820</v>
      </c>
      <c r="G12" s="1633">
        <f t="shared" si="0"/>
        <v>308237</v>
      </c>
      <c r="H12" s="1633">
        <f t="shared" si="0"/>
        <v>0</v>
      </c>
      <c r="I12" s="1633">
        <f t="shared" si="0"/>
        <v>29508</v>
      </c>
      <c r="J12" s="1633">
        <f t="shared" si="0"/>
        <v>224826</v>
      </c>
      <c r="K12" s="1594">
        <f t="shared" si="0"/>
        <v>29508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2944</v>
      </c>
      <c r="D14" s="1573">
        <v>743</v>
      </c>
      <c r="E14" s="1573">
        <v>1538</v>
      </c>
      <c r="F14" s="1573">
        <v>357</v>
      </c>
      <c r="G14" s="1573">
        <v>1553</v>
      </c>
      <c r="H14" s="1573"/>
      <c r="I14" s="1573">
        <v>149</v>
      </c>
      <c r="J14" s="1574"/>
      <c r="K14" s="1573">
        <v>149</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74739</v>
      </c>
      <c r="D16" s="1573"/>
      <c r="E16" s="1573"/>
      <c r="F16" s="1573"/>
      <c r="G16" s="1573">
        <v>2573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77683</v>
      </c>
      <c r="D18" s="1635">
        <f t="shared" ref="D18:K18" si="1">SUM(D14:D17)</f>
        <v>743</v>
      </c>
      <c r="E18" s="1635">
        <f t="shared" si="1"/>
        <v>1538</v>
      </c>
      <c r="F18" s="1635">
        <f t="shared" si="1"/>
        <v>357</v>
      </c>
      <c r="G18" s="1635">
        <f t="shared" si="1"/>
        <v>4126</v>
      </c>
      <c r="H18" s="1635">
        <f t="shared" si="1"/>
        <v>0</v>
      </c>
      <c r="I18" s="1635">
        <f t="shared" si="1"/>
        <v>149</v>
      </c>
      <c r="J18" s="1635">
        <f t="shared" si="1"/>
        <v>0</v>
      </c>
      <c r="K18" s="1636">
        <f t="shared" si="1"/>
        <v>149</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8760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32282</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41042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1880</v>
      </c>
      <c r="G42" s="1575"/>
      <c r="H42" s="1575"/>
      <c r="I42" s="1575"/>
      <c r="J42" s="1575"/>
      <c r="K42" s="1575"/>
    </row>
    <row r="43" spans="1:11" ht="12.75" customHeight="1" x14ac:dyDescent="0.2">
      <c r="A43" s="427" t="s">
        <v>832</v>
      </c>
      <c r="B43" s="429">
        <v>1412</v>
      </c>
      <c r="C43" s="1575"/>
      <c r="D43" s="1575"/>
      <c r="E43" s="1575"/>
      <c r="F43" s="1573">
        <v>1450</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15</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2520</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5865</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92187</v>
      </c>
      <c r="D65" s="1573">
        <v>1928</v>
      </c>
      <c r="E65" s="1573">
        <v>304</v>
      </c>
      <c r="F65" s="1574">
        <v>446</v>
      </c>
      <c r="G65" s="1573">
        <v>672</v>
      </c>
      <c r="H65" s="1573"/>
      <c r="I65" s="1573">
        <v>881</v>
      </c>
      <c r="J65" s="1574">
        <v>1287</v>
      </c>
      <c r="K65" s="1573">
        <v>822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92187</v>
      </c>
      <c r="D67" s="1594">
        <f t="shared" ref="D67:K67" si="2">SUM(D65:D66)</f>
        <v>1928</v>
      </c>
      <c r="E67" s="1594">
        <f t="shared" si="2"/>
        <v>304</v>
      </c>
      <c r="F67" s="1594">
        <f t="shared" si="2"/>
        <v>446</v>
      </c>
      <c r="G67" s="1594">
        <f t="shared" si="2"/>
        <v>672</v>
      </c>
      <c r="H67" s="1594">
        <f t="shared" si="2"/>
        <v>0</v>
      </c>
      <c r="I67" s="1594">
        <f t="shared" si="2"/>
        <v>881</v>
      </c>
      <c r="J67" s="1594">
        <f t="shared" si="2"/>
        <v>1287</v>
      </c>
      <c r="K67" s="1594">
        <f t="shared" si="2"/>
        <v>822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40270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850</v>
      </c>
      <c r="D73" s="1575"/>
      <c r="E73" s="1575"/>
      <c r="F73" s="1575"/>
      <c r="G73" s="1575"/>
      <c r="H73" s="1575"/>
      <c r="I73" s="1575"/>
      <c r="J73" s="1575"/>
      <c r="K73" s="1575"/>
    </row>
    <row r="74" spans="1:11" ht="12.75" customHeight="1" x14ac:dyDescent="0.2">
      <c r="A74" s="427" t="s">
        <v>25</v>
      </c>
      <c r="B74" s="429">
        <v>1690</v>
      </c>
      <c r="C74" s="1632">
        <v>4877</v>
      </c>
      <c r="D74" s="1575"/>
      <c r="E74" s="1575"/>
      <c r="F74" s="1575"/>
      <c r="G74" s="1575"/>
      <c r="H74" s="1575"/>
      <c r="I74" s="1575"/>
      <c r="J74" s="1575"/>
      <c r="K74" s="1575"/>
    </row>
    <row r="75" spans="1:11" ht="12.75" customHeight="1" thickBot="1" x14ac:dyDescent="0.25">
      <c r="A75" s="1406" t="s">
        <v>544</v>
      </c>
      <c r="B75" s="1407"/>
      <c r="C75" s="1594">
        <f>SUM(C69:C74)</f>
        <v>45997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7777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742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8519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10160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v>3609</v>
      </c>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13769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3320</v>
      </c>
      <c r="E95" s="1617"/>
      <c r="F95" s="1617"/>
      <c r="G95" s="1617"/>
      <c r="H95" s="1617"/>
      <c r="I95" s="1617"/>
      <c r="J95" s="1617"/>
      <c r="K95" s="1617"/>
    </row>
    <row r="96" spans="1:11" ht="12.75" customHeight="1" x14ac:dyDescent="0.2">
      <c r="A96" s="427" t="s">
        <v>388</v>
      </c>
      <c r="B96" s="429">
        <v>1920</v>
      </c>
      <c r="C96" s="1632">
        <v>1250</v>
      </c>
      <c r="D96" s="1632"/>
      <c r="E96" s="1584"/>
      <c r="F96" s="1583"/>
      <c r="G96" s="1583"/>
      <c r="H96" s="1583"/>
      <c r="I96" s="1583"/>
      <c r="J96" s="1583"/>
      <c r="K96" s="1583"/>
    </row>
    <row r="97" spans="1:12" ht="12.75" customHeight="1" x14ac:dyDescent="0.2">
      <c r="A97" s="1265" t="s">
        <v>242</v>
      </c>
      <c r="B97" s="477">
        <v>1930</v>
      </c>
      <c r="C97" s="1598">
        <v>370</v>
      </c>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17604</v>
      </c>
      <c r="D99" s="1573"/>
      <c r="E99" s="1573"/>
      <c r="F99" s="1573"/>
      <c r="G99" s="1573"/>
      <c r="H99" s="1573"/>
      <c r="I99" s="1575"/>
      <c r="J99" s="1574">
        <v>671</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23721</v>
      </c>
      <c r="D107" s="1573"/>
      <c r="E107" s="1573"/>
      <c r="F107" s="1573">
        <v>289</v>
      </c>
      <c r="G107" s="1573"/>
      <c r="H107" s="1573"/>
      <c r="I107" s="1573"/>
      <c r="J107" s="1574">
        <v>165</v>
      </c>
      <c r="K107" s="1573"/>
    </row>
    <row r="108" spans="1:12" ht="12.75" customHeight="1" thickBot="1" x14ac:dyDescent="0.25">
      <c r="A108" s="1406" t="s">
        <v>484</v>
      </c>
      <c r="B108" s="1408"/>
      <c r="C108" s="1633">
        <f>SUM(C95:C107)</f>
        <v>42945</v>
      </c>
      <c r="D108" s="1633">
        <f t="shared" ref="D108:K108" si="3">SUM(D95:D107)</f>
        <v>3320</v>
      </c>
      <c r="E108" s="1633">
        <f t="shared" si="3"/>
        <v>0</v>
      </c>
      <c r="F108" s="1633">
        <f t="shared" si="3"/>
        <v>289</v>
      </c>
      <c r="G108" s="1633">
        <f t="shared" si="3"/>
        <v>0</v>
      </c>
      <c r="H108" s="1633">
        <f t="shared" si="3"/>
        <v>0</v>
      </c>
      <c r="I108" s="1633">
        <f t="shared" si="3"/>
        <v>0</v>
      </c>
      <c r="J108" s="1633">
        <f t="shared" si="3"/>
        <v>836</v>
      </c>
      <c r="K108" s="1594">
        <f t="shared" si="3"/>
        <v>0</v>
      </c>
    </row>
    <row r="109" spans="1:12" ht="14.25" thickTop="1" thickBot="1" x14ac:dyDescent="0.25">
      <c r="A109" s="1409" t="s">
        <v>246</v>
      </c>
      <c r="B109" s="1410" t="s">
        <v>566</v>
      </c>
      <c r="C109" s="1641">
        <f t="shared" ref="C109:K109" si="4">SUM(C12,C18,C40,C63,C67,C75,C82,C93,C108,)</f>
        <v>1017022</v>
      </c>
      <c r="D109" s="1641">
        <f t="shared" si="4"/>
        <v>173532</v>
      </c>
      <c r="E109" s="1641">
        <f t="shared" si="4"/>
        <v>307065</v>
      </c>
      <c r="F109" s="1641">
        <f t="shared" si="4"/>
        <v>77777</v>
      </c>
      <c r="G109" s="1641">
        <f t="shared" si="4"/>
        <v>313035</v>
      </c>
      <c r="H109" s="1641">
        <f t="shared" si="4"/>
        <v>0</v>
      </c>
      <c r="I109" s="1641">
        <f t="shared" si="4"/>
        <v>30538</v>
      </c>
      <c r="J109" s="1641">
        <f t="shared" si="4"/>
        <v>226949</v>
      </c>
      <c r="K109" s="1629">
        <f t="shared" si="4"/>
        <v>30479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3457102</v>
      </c>
      <c r="D117" s="1586">
        <v>90000</v>
      </c>
      <c r="E117" s="1573"/>
      <c r="F117" s="1586">
        <v>50000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3457102</v>
      </c>
      <c r="D122" s="1633">
        <f t="shared" si="5"/>
        <v>90000</v>
      </c>
      <c r="E122" s="1633">
        <f t="shared" si="5"/>
        <v>0</v>
      </c>
      <c r="F122" s="1633">
        <f t="shared" si="5"/>
        <v>50000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13705</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13705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v>592</v>
      </c>
      <c r="D140" s="1573"/>
      <c r="E140" s="1640"/>
      <c r="F140" s="1582"/>
      <c r="G140" s="1574"/>
      <c r="H140" s="1575"/>
      <c r="I140" s="1575"/>
      <c r="J140" s="1575"/>
      <c r="K140" s="1575"/>
    </row>
    <row r="141" spans="1:11" ht="12.75" customHeight="1" thickBot="1" x14ac:dyDescent="0.25">
      <c r="A141" s="1406" t="s">
        <v>599</v>
      </c>
      <c r="B141" s="1414"/>
      <c r="C141" s="1633">
        <f>SUM(C134:C140)</f>
        <v>592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2629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144323</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144323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387178</v>
      </c>
      <c r="D159" s="1653"/>
      <c r="E159" s="1640"/>
      <c r="F159" s="1651">
        <v>11550</v>
      </c>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48" t="s">
        <v>395</v>
      </c>
      <c r="B169" s="2249"/>
      <c r="C169" s="1658">
        <f t="shared" ref="C169:K169" si="6">SUM(C132,C141,C145,C146:C150,C155,C156:C167,C168)</f>
        <v>404854</v>
      </c>
      <c r="D169" s="1658">
        <f t="shared" si="6"/>
        <v>0</v>
      </c>
      <c r="E169" s="1658">
        <f t="shared" si="6"/>
        <v>0</v>
      </c>
      <c r="F169" s="1658">
        <f t="shared" si="6"/>
        <v>155873</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3861956</v>
      </c>
      <c r="D170" s="1641">
        <f t="shared" si="7"/>
        <v>90000</v>
      </c>
      <c r="E170" s="1641">
        <f t="shared" si="7"/>
        <v>0</v>
      </c>
      <c r="F170" s="1641">
        <f t="shared" si="7"/>
        <v>205873</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0" t="s">
        <v>1475</v>
      </c>
      <c r="B172" s="2251"/>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4" t="s">
        <v>1646</v>
      </c>
      <c r="B175" s="225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8" t="s">
        <v>1645</v>
      </c>
      <c r="B176" s="2259"/>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6" t="s">
        <v>780</v>
      </c>
      <c r="B181" s="225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2" t="s">
        <v>1780</v>
      </c>
      <c r="B182" s="2253"/>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15701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15701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137525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42215</v>
      </c>
      <c r="D193" s="1575"/>
      <c r="E193" s="1640"/>
      <c r="F193" s="1575"/>
      <c r="G193" s="1664"/>
      <c r="H193" s="1575"/>
      <c r="I193" s="1575"/>
      <c r="J193" s="1575"/>
      <c r="K193" s="1575"/>
    </row>
    <row r="194" spans="1:11" ht="12.75" customHeight="1" x14ac:dyDescent="0.2">
      <c r="A194" s="427" t="s">
        <v>1434</v>
      </c>
      <c r="B194" s="429">
        <v>4225</v>
      </c>
      <c r="C194" s="1632">
        <v>57174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236914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275375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275375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15865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15865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6138</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80883</v>
      </c>
      <c r="D213" s="1573"/>
      <c r="E213" s="1575"/>
      <c r="F213" s="1573"/>
      <c r="G213" s="1573"/>
      <c r="H213" s="1575"/>
      <c r="I213" s="1575"/>
      <c r="J213" s="1575"/>
      <c r="K213" s="1575"/>
    </row>
    <row r="214" spans="1:11" ht="12.75" customHeight="1" x14ac:dyDescent="0.2">
      <c r="A214" s="427" t="s">
        <v>1045</v>
      </c>
      <c r="B214" s="429">
        <v>4625</v>
      </c>
      <c r="C214" s="1632">
        <v>499</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87520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v>21887</v>
      </c>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21887</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43868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4043</v>
      </c>
      <c r="D263" s="1651"/>
      <c r="E263" s="1575"/>
      <c r="F263" s="1651"/>
      <c r="G263" s="1651"/>
      <c r="H263" s="1575"/>
      <c r="I263" s="1575"/>
      <c r="J263" s="1575"/>
      <c r="K263" s="1575"/>
    </row>
    <row r="264" spans="1:11" ht="12.75" customHeight="1" thickTop="1" thickBot="1" x14ac:dyDescent="0.25">
      <c r="A264" s="427" t="s">
        <v>374</v>
      </c>
      <c r="B264" s="429">
        <v>4992</v>
      </c>
      <c r="C264" s="1650">
        <v>78351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757637</v>
      </c>
      <c r="D266" s="1641">
        <f t="shared" si="10"/>
        <v>0</v>
      </c>
      <c r="E266" s="1641">
        <f t="shared" si="10"/>
        <v>21887</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757637</v>
      </c>
      <c r="D267" s="1641">
        <f>SUM(D175,D181,D266)</f>
        <v>0</v>
      </c>
      <c r="E267" s="1641">
        <f>SUM(E175,E266)</f>
        <v>21887</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5636615</v>
      </c>
      <c r="D268" s="1641">
        <f t="shared" si="12"/>
        <v>263532</v>
      </c>
      <c r="E268" s="1641">
        <f t="shared" si="12"/>
        <v>328952</v>
      </c>
      <c r="F268" s="1641">
        <f t="shared" si="12"/>
        <v>283650</v>
      </c>
      <c r="G268" s="1641">
        <f t="shared" si="12"/>
        <v>313035</v>
      </c>
      <c r="H268" s="1641">
        <f t="shared" si="12"/>
        <v>0</v>
      </c>
      <c r="I268" s="1641">
        <f t="shared" si="12"/>
        <v>30538</v>
      </c>
      <c r="J268" s="1641">
        <f t="shared" si="12"/>
        <v>226949</v>
      </c>
      <c r="K268" s="1629">
        <f t="shared" si="12"/>
        <v>30479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37" right="0.15" top="0.66" bottom="0.46" header="0.26" footer="0.23"/>
  <pageSetup scale="73" firstPageNumber="10" orientation="landscape" useFirstPageNumber="1" r:id="rId1"/>
  <headerFooter differentOddEven="1" alignWithMargins="0">
    <oddHeader>&amp;C&amp;"Arial,Bold"&amp;9 Fairfield Public School District 112
STATEMENT OF REVENUES RECEIVED/REVENUES (ALL FUNDS)
FOR THE YEAR ENDING JUNE 30, 2020</oddHeader>
    <oddFooter>&amp;L&amp;11See accompanying notes to the financial statements.&amp;C&amp;14- &amp;P -</oddFooter>
    <evenHeader>&amp;C&amp;"Arial,Bold"&amp;9 Fairfield Public School District 112
STATEMENT OF REVENUES RECEIVED/REVENUES (ALL FUNDS)
FOR THE YEAR ENDING JUNE 30, 2020</evenHeader>
    <evenFooter>&amp;L&amp;11See accompanying notes to the financial statements.&amp;C&amp;14- &amp;P -</even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2" activePane="bottomLeft" state="frozen"/>
      <selection pane="bottomLeft" activeCell="F61" sqref="F6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2051371</v>
      </c>
      <c r="D5" s="1573">
        <v>411949</v>
      </c>
      <c r="E5" s="1573">
        <v>45074</v>
      </c>
      <c r="F5" s="1573">
        <v>56376</v>
      </c>
      <c r="G5" s="1573">
        <v>31253</v>
      </c>
      <c r="H5" s="1573">
        <v>2418</v>
      </c>
      <c r="I5" s="1574"/>
      <c r="J5" s="1574"/>
      <c r="K5" s="1672">
        <f>SUM(C5:J5)</f>
        <v>2598441</v>
      </c>
      <c r="L5" s="1573">
        <v>2597500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561721</v>
      </c>
      <c r="D8" s="1573">
        <v>129634</v>
      </c>
      <c r="E8" s="1573">
        <v>940</v>
      </c>
      <c r="F8" s="1573">
        <v>1316</v>
      </c>
      <c r="G8" s="1573"/>
      <c r="H8" s="1573">
        <v>28602</v>
      </c>
      <c r="I8" s="1574"/>
      <c r="J8" s="1574"/>
      <c r="K8" s="1672">
        <f t="shared" si="0"/>
        <v>722213</v>
      </c>
      <c r="L8" s="1573">
        <v>749000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152275</v>
      </c>
      <c r="D10" s="1573">
        <v>43972</v>
      </c>
      <c r="E10" s="1573">
        <v>3550</v>
      </c>
      <c r="F10" s="1573">
        <v>83197</v>
      </c>
      <c r="G10" s="1573">
        <v>3492</v>
      </c>
      <c r="H10" s="1573"/>
      <c r="I10" s="1574"/>
      <c r="J10" s="1574"/>
      <c r="K10" s="1672">
        <f t="shared" si="0"/>
        <v>286486</v>
      </c>
      <c r="L10" s="1573">
        <v>282500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c r="D13" s="1573"/>
      <c r="E13" s="1573"/>
      <c r="F13" s="1573"/>
      <c r="G13" s="1573"/>
      <c r="H13" s="1573"/>
      <c r="I13" s="1574"/>
      <c r="J13" s="1574"/>
      <c r="K13" s="1672">
        <f t="shared" si="0"/>
        <v>0</v>
      </c>
      <c r="L13" s="1573">
        <v>0</v>
      </c>
    </row>
    <row r="14" spans="1:14" x14ac:dyDescent="0.2">
      <c r="A14" s="1274" t="s">
        <v>957</v>
      </c>
      <c r="B14" s="503">
        <v>1500</v>
      </c>
      <c r="C14" s="1573">
        <v>39549</v>
      </c>
      <c r="D14" s="1573">
        <v>4215</v>
      </c>
      <c r="E14" s="1573">
        <v>11802</v>
      </c>
      <c r="F14" s="1573">
        <v>5183</v>
      </c>
      <c r="G14" s="1573"/>
      <c r="H14" s="1573"/>
      <c r="I14" s="1574"/>
      <c r="J14" s="1574"/>
      <c r="K14" s="1672">
        <f t="shared" si="0"/>
        <v>60749</v>
      </c>
      <c r="L14" s="1573">
        <v>65800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v>6360</v>
      </c>
      <c r="D16" s="1573">
        <v>837</v>
      </c>
      <c r="E16" s="1573">
        <v>1010</v>
      </c>
      <c r="F16" s="1573">
        <v>529</v>
      </c>
      <c r="G16" s="1573"/>
      <c r="H16" s="1573"/>
      <c r="I16" s="1574"/>
      <c r="J16" s="1574"/>
      <c r="K16" s="1672">
        <f t="shared" si="0"/>
        <v>8736</v>
      </c>
      <c r="L16" s="1573">
        <v>9050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2811276</v>
      </c>
      <c r="D33" s="1674">
        <f t="shared" ref="D33:L33" si="1">SUM(D5:D32)</f>
        <v>590607</v>
      </c>
      <c r="E33" s="1674">
        <f t="shared" si="1"/>
        <v>62376</v>
      </c>
      <c r="F33" s="1674">
        <f t="shared" si="1"/>
        <v>146601</v>
      </c>
      <c r="G33" s="1674">
        <f t="shared" si="1"/>
        <v>34745</v>
      </c>
      <c r="H33" s="1674">
        <f t="shared" si="1"/>
        <v>31020</v>
      </c>
      <c r="I33" s="1674">
        <f t="shared" si="1"/>
        <v>0</v>
      </c>
      <c r="J33" s="1674">
        <f t="shared" si="1"/>
        <v>0</v>
      </c>
      <c r="K33" s="1674">
        <f t="shared" si="1"/>
        <v>3676625</v>
      </c>
      <c r="L33" s="1674">
        <f t="shared" si="1"/>
        <v>3703850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v>22723</v>
      </c>
      <c r="D37" s="1573">
        <v>6436</v>
      </c>
      <c r="E37" s="1573"/>
      <c r="F37" s="1573">
        <v>60</v>
      </c>
      <c r="G37" s="1573"/>
      <c r="H37" s="1573"/>
      <c r="I37" s="1574"/>
      <c r="J37" s="1574"/>
      <c r="K37" s="1672">
        <f t="shared" si="2"/>
        <v>29219</v>
      </c>
      <c r="L37" s="1573">
        <v>29900</v>
      </c>
    </row>
    <row r="38" spans="1:14" x14ac:dyDescent="0.2">
      <c r="A38" s="1274" t="s">
        <v>196</v>
      </c>
      <c r="B38" s="503">
        <v>2130</v>
      </c>
      <c r="C38" s="1573">
        <v>24524</v>
      </c>
      <c r="D38" s="1573">
        <v>6976</v>
      </c>
      <c r="E38" s="1573">
        <v>1111</v>
      </c>
      <c r="F38" s="1573">
        <v>1737</v>
      </c>
      <c r="G38" s="1573">
        <v>3072</v>
      </c>
      <c r="H38" s="1573"/>
      <c r="I38" s="1574"/>
      <c r="J38" s="1574"/>
      <c r="K38" s="1672">
        <f t="shared" si="2"/>
        <v>37420</v>
      </c>
      <c r="L38" s="1573">
        <v>39580</v>
      </c>
    </row>
    <row r="39" spans="1:14" x14ac:dyDescent="0.2">
      <c r="A39" s="1274" t="s">
        <v>197</v>
      </c>
      <c r="B39" s="503">
        <v>2140</v>
      </c>
      <c r="C39" s="1573"/>
      <c r="D39" s="1573"/>
      <c r="E39" s="1573">
        <v>9873</v>
      </c>
      <c r="F39" s="1573"/>
      <c r="G39" s="1573"/>
      <c r="H39" s="1573"/>
      <c r="I39" s="1574"/>
      <c r="J39" s="1574"/>
      <c r="K39" s="1672">
        <f t="shared" si="2"/>
        <v>9873</v>
      </c>
      <c r="L39" s="1573">
        <v>9718</v>
      </c>
    </row>
    <row r="40" spans="1:14" x14ac:dyDescent="0.2">
      <c r="A40" s="1274" t="s">
        <v>198</v>
      </c>
      <c r="B40" s="503">
        <v>2150</v>
      </c>
      <c r="C40" s="1573">
        <v>105004</v>
      </c>
      <c r="D40" s="1573">
        <v>27568</v>
      </c>
      <c r="E40" s="1573">
        <v>1063</v>
      </c>
      <c r="F40" s="1573">
        <v>396</v>
      </c>
      <c r="G40" s="1573"/>
      <c r="H40" s="1573"/>
      <c r="I40" s="1574"/>
      <c r="J40" s="1574"/>
      <c r="K40" s="1672">
        <f t="shared" si="2"/>
        <v>134031</v>
      </c>
      <c r="L40" s="1573">
        <v>134850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152251</v>
      </c>
      <c r="D42" s="1674">
        <f t="shared" ref="D42:L42" si="3">SUM(D36:D41)</f>
        <v>40980</v>
      </c>
      <c r="E42" s="1674">
        <f t="shared" si="3"/>
        <v>12047</v>
      </c>
      <c r="F42" s="1674">
        <f t="shared" si="3"/>
        <v>2193</v>
      </c>
      <c r="G42" s="1674">
        <f t="shared" si="3"/>
        <v>3072</v>
      </c>
      <c r="H42" s="1674">
        <f t="shared" si="3"/>
        <v>0</v>
      </c>
      <c r="I42" s="1674">
        <f t="shared" si="3"/>
        <v>0</v>
      </c>
      <c r="J42" s="1674">
        <f t="shared" si="3"/>
        <v>0</v>
      </c>
      <c r="K42" s="1674">
        <f t="shared" si="3"/>
        <v>210543</v>
      </c>
      <c r="L42" s="1674">
        <f t="shared" si="3"/>
        <v>214048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7491</v>
      </c>
      <c r="D44" s="1586">
        <v>97</v>
      </c>
      <c r="E44" s="1586">
        <v>11531</v>
      </c>
      <c r="F44" s="1586">
        <v>5840</v>
      </c>
      <c r="G44" s="1586">
        <v>762</v>
      </c>
      <c r="H44" s="1586"/>
      <c r="I44" s="1574"/>
      <c r="J44" s="1574"/>
      <c r="K44" s="1678">
        <f>SUM(C44:J44)</f>
        <v>25721</v>
      </c>
      <c r="L44" s="1586">
        <v>33150</v>
      </c>
    </row>
    <row r="45" spans="1:14" x14ac:dyDescent="0.2">
      <c r="A45" s="1274" t="s">
        <v>810</v>
      </c>
      <c r="B45" s="503">
        <v>2220</v>
      </c>
      <c r="C45" s="1573"/>
      <c r="D45" s="1573"/>
      <c r="E45" s="1573"/>
      <c r="F45" s="1573">
        <v>3459</v>
      </c>
      <c r="G45" s="1573"/>
      <c r="H45" s="1573"/>
      <c r="I45" s="1574"/>
      <c r="J45" s="1574"/>
      <c r="K45" s="1678">
        <f>SUM(C45:J45)</f>
        <v>3459</v>
      </c>
      <c r="L45" s="1573">
        <v>10000</v>
      </c>
    </row>
    <row r="46" spans="1:14" x14ac:dyDescent="0.2">
      <c r="A46" s="1274" t="s">
        <v>811</v>
      </c>
      <c r="B46" s="503">
        <v>2230</v>
      </c>
      <c r="C46" s="1573"/>
      <c r="D46" s="1573"/>
      <c r="E46" s="1573">
        <v>23292</v>
      </c>
      <c r="F46" s="1573">
        <v>700</v>
      </c>
      <c r="G46" s="1573"/>
      <c r="H46" s="1573"/>
      <c r="I46" s="1574"/>
      <c r="J46" s="1574"/>
      <c r="K46" s="1678">
        <f>SUM(C46:J46)</f>
        <v>23992</v>
      </c>
      <c r="L46" s="1573">
        <v>28200</v>
      </c>
    </row>
    <row r="47" spans="1:14" ht="12.75" customHeight="1" thickBot="1" x14ac:dyDescent="0.25">
      <c r="A47" s="1380" t="s">
        <v>557</v>
      </c>
      <c r="B47" s="1381" t="s">
        <v>32</v>
      </c>
      <c r="C47" s="1674">
        <f>SUM(C44:C46)</f>
        <v>7491</v>
      </c>
      <c r="D47" s="1674">
        <f t="shared" ref="D47:K47" si="4">SUM(D44:D46)</f>
        <v>97</v>
      </c>
      <c r="E47" s="1674">
        <f t="shared" si="4"/>
        <v>34823</v>
      </c>
      <c r="F47" s="1674">
        <f t="shared" si="4"/>
        <v>9999</v>
      </c>
      <c r="G47" s="1674">
        <f t="shared" si="4"/>
        <v>762</v>
      </c>
      <c r="H47" s="1674">
        <f t="shared" si="4"/>
        <v>0</v>
      </c>
      <c r="I47" s="1674">
        <f t="shared" si="4"/>
        <v>0</v>
      </c>
      <c r="J47" s="1674">
        <f t="shared" si="4"/>
        <v>0</v>
      </c>
      <c r="K47" s="1674">
        <f t="shared" si="4"/>
        <v>53172</v>
      </c>
      <c r="L47" s="1674">
        <f>SUM(L44:L46)</f>
        <v>71350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13773</v>
      </c>
      <c r="D49" s="1586">
        <v>1741</v>
      </c>
      <c r="E49" s="1586">
        <v>19717</v>
      </c>
      <c r="F49" s="1586">
        <v>3134</v>
      </c>
      <c r="G49" s="1586"/>
      <c r="H49" s="1586"/>
      <c r="I49" s="1574"/>
      <c r="J49" s="1574"/>
      <c r="K49" s="1678">
        <f>SUM(C49:J49)</f>
        <v>38365</v>
      </c>
      <c r="L49" s="1586">
        <v>24500</v>
      </c>
    </row>
    <row r="50" spans="1:14" x14ac:dyDescent="0.2">
      <c r="A50" s="1274" t="s">
        <v>813</v>
      </c>
      <c r="B50" s="503">
        <v>2320</v>
      </c>
      <c r="C50" s="1573">
        <v>77405</v>
      </c>
      <c r="D50" s="1573">
        <v>22264</v>
      </c>
      <c r="E50" s="1573">
        <v>6517</v>
      </c>
      <c r="F50" s="1573">
        <v>15</v>
      </c>
      <c r="G50" s="1573"/>
      <c r="H50" s="1573"/>
      <c r="I50" s="1574"/>
      <c r="J50" s="1574"/>
      <c r="K50" s="1678">
        <f>SUM(C50:J50)</f>
        <v>106201</v>
      </c>
      <c r="L50" s="1573">
        <v>111800</v>
      </c>
    </row>
    <row r="51" spans="1:14" x14ac:dyDescent="0.2">
      <c r="A51" s="1274" t="s">
        <v>42</v>
      </c>
      <c r="B51" s="503">
        <v>2330</v>
      </c>
      <c r="C51" s="1573"/>
      <c r="D51" s="1573"/>
      <c r="E51" s="1573">
        <v>162</v>
      </c>
      <c r="F51" s="1573"/>
      <c r="G51" s="1573"/>
      <c r="H51" s="1573"/>
      <c r="I51" s="1574"/>
      <c r="J51" s="1574"/>
      <c r="K51" s="1678">
        <f>SUM(C51:J51)</f>
        <v>162</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91178</v>
      </c>
      <c r="D53" s="1674">
        <f t="shared" ref="D53:L53" si="5">SUM(D49:D52)</f>
        <v>24005</v>
      </c>
      <c r="E53" s="1674">
        <f t="shared" si="5"/>
        <v>26396</v>
      </c>
      <c r="F53" s="1674">
        <f t="shared" si="5"/>
        <v>3149</v>
      </c>
      <c r="G53" s="1674">
        <f t="shared" si="5"/>
        <v>0</v>
      </c>
      <c r="H53" s="1674">
        <f t="shared" si="5"/>
        <v>0</v>
      </c>
      <c r="I53" s="1674">
        <f t="shared" si="5"/>
        <v>0</v>
      </c>
      <c r="J53" s="1674">
        <f t="shared" si="5"/>
        <v>0</v>
      </c>
      <c r="K53" s="1674">
        <f t="shared" si="5"/>
        <v>144728</v>
      </c>
      <c r="L53" s="1674">
        <f t="shared" si="5"/>
        <v>136300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312311</v>
      </c>
      <c r="D55" s="1586">
        <v>48432</v>
      </c>
      <c r="E55" s="1586">
        <v>11230</v>
      </c>
      <c r="F55" s="1586">
        <v>3687</v>
      </c>
      <c r="G55" s="1586"/>
      <c r="H55" s="1586"/>
      <c r="I55" s="1574"/>
      <c r="J55" s="1574"/>
      <c r="K55" s="1678">
        <f>SUM(C55:J55)</f>
        <v>375660</v>
      </c>
      <c r="L55" s="1586">
        <v>389500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312311</v>
      </c>
      <c r="D57" s="1679">
        <f t="shared" ref="D57:K57" si="6">SUM(D55:D56)</f>
        <v>48432</v>
      </c>
      <c r="E57" s="1679">
        <f t="shared" si="6"/>
        <v>11230</v>
      </c>
      <c r="F57" s="1679">
        <f t="shared" si="6"/>
        <v>3687</v>
      </c>
      <c r="G57" s="1679">
        <f t="shared" si="6"/>
        <v>0</v>
      </c>
      <c r="H57" s="1679">
        <f t="shared" si="6"/>
        <v>0</v>
      </c>
      <c r="I57" s="1679">
        <f t="shared" si="6"/>
        <v>0</v>
      </c>
      <c r="J57" s="1679">
        <f t="shared" si="6"/>
        <v>0</v>
      </c>
      <c r="K57" s="1679">
        <f t="shared" si="6"/>
        <v>375660</v>
      </c>
      <c r="L57" s="1674">
        <f>SUM(L55:L56)</f>
        <v>389500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84297</v>
      </c>
      <c r="D60" s="1573">
        <v>111</v>
      </c>
      <c r="E60" s="1573">
        <v>5173</v>
      </c>
      <c r="F60" s="1573">
        <v>1161</v>
      </c>
      <c r="G60" s="1573"/>
      <c r="H60" s="1573"/>
      <c r="I60" s="1574"/>
      <c r="J60" s="1574"/>
      <c r="K60" s="1678">
        <f t="shared" si="7"/>
        <v>90742</v>
      </c>
      <c r="L60" s="1573">
        <v>92150</v>
      </c>
      <c r="M60" s="501"/>
      <c r="N60" s="501"/>
    </row>
    <row r="61" spans="1:14" s="321" customFormat="1" x14ac:dyDescent="0.2">
      <c r="A61" s="1274" t="s">
        <v>195</v>
      </c>
      <c r="B61" s="503">
        <v>2540</v>
      </c>
      <c r="C61" s="1573">
        <v>260244</v>
      </c>
      <c r="D61" s="1573">
        <v>41856</v>
      </c>
      <c r="E61" s="1573">
        <v>24263</v>
      </c>
      <c r="F61" s="1573">
        <v>996</v>
      </c>
      <c r="G61" s="1573"/>
      <c r="H61" s="1573"/>
      <c r="I61" s="1574"/>
      <c r="J61" s="1574"/>
      <c r="K61" s="1678">
        <f t="shared" si="7"/>
        <v>327359</v>
      </c>
      <c r="L61" s="1573">
        <v>333000</v>
      </c>
      <c r="M61" s="501"/>
      <c r="N61" s="501"/>
    </row>
    <row r="62" spans="1:14" s="321" customFormat="1" x14ac:dyDescent="0.2">
      <c r="A62" s="1274" t="s">
        <v>947</v>
      </c>
      <c r="B62" s="503">
        <v>2550</v>
      </c>
      <c r="C62" s="1573">
        <v>18075</v>
      </c>
      <c r="D62" s="1573">
        <v>10421</v>
      </c>
      <c r="E62" s="1573"/>
      <c r="F62" s="1573"/>
      <c r="G62" s="1573"/>
      <c r="H62" s="1573"/>
      <c r="I62" s="1574"/>
      <c r="J62" s="1574"/>
      <c r="K62" s="1678">
        <f t="shared" si="7"/>
        <v>28496</v>
      </c>
      <c r="L62" s="1573">
        <v>28800</v>
      </c>
      <c r="M62" s="501"/>
      <c r="N62" s="501"/>
    </row>
    <row r="63" spans="1:14" s="501" customFormat="1" x14ac:dyDescent="0.2">
      <c r="A63" s="1274" t="s">
        <v>100</v>
      </c>
      <c r="B63" s="503">
        <v>2560</v>
      </c>
      <c r="C63" s="1573"/>
      <c r="D63" s="1573"/>
      <c r="E63" s="1573">
        <v>257055</v>
      </c>
      <c r="F63" s="1573">
        <v>1007</v>
      </c>
      <c r="G63" s="1573">
        <v>5082</v>
      </c>
      <c r="H63" s="1573"/>
      <c r="I63" s="1574"/>
      <c r="J63" s="1574"/>
      <c r="K63" s="1678">
        <f t="shared" si="7"/>
        <v>263144</v>
      </c>
      <c r="L63" s="1573">
        <v>284550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362616</v>
      </c>
      <c r="D65" s="1674">
        <f t="shared" ref="D65:L65" si="8">SUM(D59:D64)</f>
        <v>52388</v>
      </c>
      <c r="E65" s="1674">
        <f t="shared" si="8"/>
        <v>286491</v>
      </c>
      <c r="F65" s="1674">
        <f t="shared" si="8"/>
        <v>3164</v>
      </c>
      <c r="G65" s="1674">
        <f t="shared" si="8"/>
        <v>5082</v>
      </c>
      <c r="H65" s="1674">
        <f t="shared" si="8"/>
        <v>0</v>
      </c>
      <c r="I65" s="1674">
        <f t="shared" si="8"/>
        <v>0</v>
      </c>
      <c r="J65" s="1674">
        <f t="shared" si="8"/>
        <v>0</v>
      </c>
      <c r="K65" s="1674">
        <f t="shared" si="8"/>
        <v>709741</v>
      </c>
      <c r="L65" s="1674">
        <f t="shared" si="8"/>
        <v>738500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925847</v>
      </c>
      <c r="D74" s="1681">
        <f t="shared" ref="D74:K74" si="10">SUM(D42,D47,D53,D57,D65,D72,D73)</f>
        <v>165902</v>
      </c>
      <c r="E74" s="1681">
        <f t="shared" si="10"/>
        <v>370987</v>
      </c>
      <c r="F74" s="1681">
        <f t="shared" si="10"/>
        <v>22192</v>
      </c>
      <c r="G74" s="1681">
        <f t="shared" si="10"/>
        <v>8916</v>
      </c>
      <c r="H74" s="1681">
        <f t="shared" si="10"/>
        <v>0</v>
      </c>
      <c r="I74" s="1681">
        <f t="shared" si="10"/>
        <v>0</v>
      </c>
      <c r="J74" s="1681">
        <f t="shared" si="10"/>
        <v>0</v>
      </c>
      <c r="K74" s="1681">
        <f t="shared" si="10"/>
        <v>1493844</v>
      </c>
      <c r="L74" s="1681">
        <f>SUM(L42,L47,L53,L57,L65,L72,L73)</f>
        <v>1549698</v>
      </c>
    </row>
    <row r="75" spans="1:14" s="254" customFormat="1" ht="15.75" customHeight="1" thickTop="1" thickBot="1" x14ac:dyDescent="0.25">
      <c r="A75" s="1348" t="s">
        <v>47</v>
      </c>
      <c r="B75" s="1349" t="s">
        <v>571</v>
      </c>
      <c r="C75" s="1649">
        <v>22723</v>
      </c>
      <c r="D75" s="1649">
        <v>6436</v>
      </c>
      <c r="E75" s="1649"/>
      <c r="F75" s="1649">
        <v>297</v>
      </c>
      <c r="G75" s="1649"/>
      <c r="H75" s="1649">
        <v>350</v>
      </c>
      <c r="I75" s="1627"/>
      <c r="J75" s="1627"/>
      <c r="K75" s="1674">
        <f>SUM(C75:J75)</f>
        <v>29806</v>
      </c>
      <c r="L75" s="1651">
        <v>30900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87583</v>
      </c>
      <c r="I78" s="1582"/>
      <c r="J78" s="1582"/>
      <c r="K78" s="1672">
        <f t="shared" ref="K78:K83" si="11">SUM(C78:J78)</f>
        <v>87583</v>
      </c>
      <c r="L78" s="1586">
        <v>100000</v>
      </c>
    </row>
    <row r="79" spans="1:14" x14ac:dyDescent="0.2">
      <c r="A79" s="1274" t="s">
        <v>301</v>
      </c>
      <c r="B79" s="503">
        <v>4120</v>
      </c>
      <c r="C79" s="1673"/>
      <c r="D79" s="1673"/>
      <c r="E79" s="1573">
        <v>129098</v>
      </c>
      <c r="F79" s="1673"/>
      <c r="G79" s="1673"/>
      <c r="H79" s="1573"/>
      <c r="I79" s="1582"/>
      <c r="J79" s="1582"/>
      <c r="K79" s="1672">
        <f t="shared" si="11"/>
        <v>129098</v>
      </c>
      <c r="L79" s="1573">
        <v>197760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129098</v>
      </c>
      <c r="F84" s="1673"/>
      <c r="G84" s="1673"/>
      <c r="H84" s="1674">
        <f>SUM(H78:H83)</f>
        <v>87583</v>
      </c>
      <c r="I84" s="1582"/>
      <c r="J84" s="1582"/>
      <c r="K84" s="1674">
        <f>SUM(K78:K83)</f>
        <v>216681</v>
      </c>
      <c r="L84" s="1674">
        <f>SUM(L78:L83)</f>
        <v>297760</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129098</v>
      </c>
      <c r="F102" s="1673"/>
      <c r="G102" s="1673"/>
      <c r="H102" s="1681">
        <f>SUM(H84,H92,H100,H101)</f>
        <v>87583</v>
      </c>
      <c r="I102" s="1582"/>
      <c r="J102" s="1582"/>
      <c r="K102" s="1681">
        <f>SUM(K84,K92,K100,K101)</f>
        <v>216681</v>
      </c>
      <c r="L102" s="1681">
        <f>SUM(L84,L92,L100,L101)</f>
        <v>297760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30000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30000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30000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3759846</v>
      </c>
      <c r="D114" s="1674">
        <f t="shared" ref="D114:K114" si="13">SUM(D33,D74,D75,D102,D112,D113)</f>
        <v>762945</v>
      </c>
      <c r="E114" s="1674">
        <f t="shared" si="13"/>
        <v>562461</v>
      </c>
      <c r="F114" s="1674">
        <f t="shared" si="13"/>
        <v>169090</v>
      </c>
      <c r="G114" s="1674">
        <f t="shared" si="13"/>
        <v>43661</v>
      </c>
      <c r="H114" s="1674">
        <f>SUM(H33,H74,H75,H102,H112,H113)</f>
        <v>118953</v>
      </c>
      <c r="I114" s="1674">
        <f t="shared" si="13"/>
        <v>0</v>
      </c>
      <c r="J114" s="1674">
        <f t="shared" si="13"/>
        <v>0</v>
      </c>
      <c r="K114" s="1674">
        <f t="shared" si="13"/>
        <v>5416956</v>
      </c>
      <c r="L114" s="1674">
        <f>SUM(L33,L74,L75,L102,L112,L113)</f>
        <v>5612208</v>
      </c>
    </row>
    <row r="115" spans="1:14" ht="13.5" thickTop="1" x14ac:dyDescent="0.2">
      <c r="A115" s="2260" t="s">
        <v>989</v>
      </c>
      <c r="B115" s="2261"/>
      <c r="C115" s="1675"/>
      <c r="D115" s="1675"/>
      <c r="E115" s="1675"/>
      <c r="F115" s="1675"/>
      <c r="G115" s="1675"/>
      <c r="H115" s="1675"/>
      <c r="I115" s="1675"/>
      <c r="J115" s="1675"/>
      <c r="K115" s="1689">
        <f>'Revenues 9-14'!C268-'Expenditures 15-22'!K114</f>
        <v>219659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1573"/>
      <c r="E124" s="1573">
        <v>203778</v>
      </c>
      <c r="F124" s="1573">
        <v>41120</v>
      </c>
      <c r="G124" s="1573">
        <v>7872</v>
      </c>
      <c r="H124" s="1573"/>
      <c r="I124" s="1574"/>
      <c r="J124" s="1574"/>
      <c r="K124" s="1674">
        <f>SUM(C124:J124)</f>
        <v>252770</v>
      </c>
      <c r="L124" s="1573">
        <v>262500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203778</v>
      </c>
      <c r="F127" s="1674">
        <f t="shared" si="14"/>
        <v>41120</v>
      </c>
      <c r="G127" s="1674">
        <f t="shared" si="14"/>
        <v>7872</v>
      </c>
      <c r="H127" s="1674">
        <f t="shared" si="14"/>
        <v>0</v>
      </c>
      <c r="I127" s="1674">
        <f t="shared" si="14"/>
        <v>0</v>
      </c>
      <c r="J127" s="1674">
        <f t="shared" si="14"/>
        <v>0</v>
      </c>
      <c r="K127" s="1674">
        <f t="shared" si="14"/>
        <v>252770</v>
      </c>
      <c r="L127" s="1674">
        <f t="shared" si="14"/>
        <v>262500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203778</v>
      </c>
      <c r="F129" s="1681">
        <f t="shared" si="15"/>
        <v>41120</v>
      </c>
      <c r="G129" s="1681">
        <f t="shared" si="15"/>
        <v>7872</v>
      </c>
      <c r="H129" s="1681">
        <f t="shared" si="15"/>
        <v>0</v>
      </c>
      <c r="I129" s="1681">
        <f t="shared" si="15"/>
        <v>0</v>
      </c>
      <c r="J129" s="1681">
        <f t="shared" si="15"/>
        <v>0</v>
      </c>
      <c r="K129" s="1681">
        <f t="shared" si="15"/>
        <v>252770</v>
      </c>
      <c r="L129" s="1681">
        <f t="shared" si="15"/>
        <v>262500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7" t="s">
        <v>616</v>
      </c>
      <c r="B151" s="2257"/>
      <c r="C151" s="1674">
        <f>SUM(C129,C130,C139,C149,C150)</f>
        <v>0</v>
      </c>
      <c r="D151" s="1674">
        <f t="shared" ref="D151:K151" si="16">SUM(D129,D130,D139,D149,D150)</f>
        <v>0</v>
      </c>
      <c r="E151" s="1674">
        <f t="shared" si="16"/>
        <v>203778</v>
      </c>
      <c r="F151" s="1674">
        <f t="shared" si="16"/>
        <v>41120</v>
      </c>
      <c r="G151" s="1674">
        <f t="shared" si="16"/>
        <v>7872</v>
      </c>
      <c r="H151" s="1674">
        <f t="shared" si="16"/>
        <v>0</v>
      </c>
      <c r="I151" s="1674">
        <f t="shared" si="16"/>
        <v>0</v>
      </c>
      <c r="J151" s="1674">
        <f t="shared" si="16"/>
        <v>0</v>
      </c>
      <c r="K151" s="1674">
        <f t="shared" si="16"/>
        <v>252770</v>
      </c>
      <c r="L151" s="1674">
        <f>SUM(L129,L130,L139,L149,L150)</f>
        <v>262500</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10762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116119</v>
      </c>
      <c r="I169" s="1673"/>
      <c r="J169" s="1673"/>
      <c r="K169" s="1672">
        <f>SUM(C169:H169)</f>
        <v>116119</v>
      </c>
      <c r="L169" s="1695">
        <v>116207</v>
      </c>
    </row>
    <row r="170" spans="1:14" ht="33.75" customHeight="1" x14ac:dyDescent="0.2">
      <c r="A170" s="543" t="s">
        <v>1651</v>
      </c>
      <c r="B170" s="545" t="s">
        <v>31</v>
      </c>
      <c r="C170" s="1673"/>
      <c r="D170" s="1673"/>
      <c r="E170" s="1673"/>
      <c r="F170" s="1673"/>
      <c r="G170" s="1673"/>
      <c r="H170" s="1646">
        <v>222250</v>
      </c>
      <c r="I170" s="1673"/>
      <c r="J170" s="1673"/>
      <c r="K170" s="1672">
        <f>SUM(C170:J170)</f>
        <v>222250</v>
      </c>
      <c r="L170" s="1646">
        <v>222250</v>
      </c>
    </row>
    <row r="171" spans="1:14" ht="15.75" customHeight="1" x14ac:dyDescent="0.2">
      <c r="A171" s="507" t="s">
        <v>761</v>
      </c>
      <c r="B171" s="546" t="s">
        <v>84</v>
      </c>
      <c r="C171" s="1673"/>
      <c r="D171" s="1673"/>
      <c r="E171" s="1573"/>
      <c r="F171" s="1673"/>
      <c r="G171" s="1673"/>
      <c r="H171" s="1646">
        <v>800</v>
      </c>
      <c r="I171" s="1582"/>
      <c r="J171" s="1673"/>
      <c r="K171" s="1672">
        <f>SUM(C171:J171)</f>
        <v>800</v>
      </c>
      <c r="L171" s="1646">
        <v>800</v>
      </c>
    </row>
    <row r="172" spans="1:14" ht="12.75" customHeight="1" thickBot="1" x14ac:dyDescent="0.25">
      <c r="A172" s="1380" t="s">
        <v>633</v>
      </c>
      <c r="B172" s="1381" t="s">
        <v>489</v>
      </c>
      <c r="C172" s="1673"/>
      <c r="D172" s="1673"/>
      <c r="E172" s="1681">
        <f>SUM(E168,E169,E170,E171)</f>
        <v>0</v>
      </c>
      <c r="F172" s="1673"/>
      <c r="G172" s="1673"/>
      <c r="H172" s="1681">
        <f>SUM(H168,H169,H170,H171)</f>
        <v>339169</v>
      </c>
      <c r="I172" s="1684"/>
      <c r="J172" s="1673"/>
      <c r="K172" s="1681">
        <f>SUM(K168,K169,K170,K171)</f>
        <v>339169</v>
      </c>
      <c r="L172" s="1681">
        <f>SUM(L168,L169,L170,L171)</f>
        <v>339257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339169</v>
      </c>
      <c r="I174" s="1684"/>
      <c r="J174" s="1673"/>
      <c r="K174" s="1681">
        <f>SUM(K160,K172,K173)</f>
        <v>339169</v>
      </c>
      <c r="L174" s="1681">
        <f>SUM(L160,L172,L173)</f>
        <v>339257</v>
      </c>
    </row>
    <row r="175" spans="1:14" ht="13.5" thickTop="1" x14ac:dyDescent="0.2">
      <c r="A175" s="2260" t="s">
        <v>989</v>
      </c>
      <c r="B175" s="2261"/>
      <c r="C175" s="1673"/>
      <c r="D175" s="1673"/>
      <c r="E175" s="1673"/>
      <c r="F175" s="1673"/>
      <c r="G175" s="1673"/>
      <c r="H175" s="1675"/>
      <c r="I175" s="1673"/>
      <c r="J175" s="1673"/>
      <c r="K175" s="1689">
        <f>'Revenues 9-14'!E268-'Expenditures 15-22'!K174</f>
        <v>-10217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111377</v>
      </c>
      <c r="D182" s="1573">
        <v>49873</v>
      </c>
      <c r="E182" s="1573">
        <v>23464</v>
      </c>
      <c r="F182" s="1573">
        <v>37039</v>
      </c>
      <c r="G182" s="1573"/>
      <c r="H182" s="1573"/>
      <c r="I182" s="1574"/>
      <c r="J182" s="1574"/>
      <c r="K182" s="1672">
        <f>SUM(C182:J182)</f>
        <v>221753</v>
      </c>
      <c r="L182" s="1573">
        <v>238500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111377</v>
      </c>
      <c r="D184" s="1681">
        <f t="shared" ref="D184:J184" si="17">SUM(D180,D182,D183)</f>
        <v>49873</v>
      </c>
      <c r="E184" s="1681">
        <f t="shared" si="17"/>
        <v>23464</v>
      </c>
      <c r="F184" s="1681">
        <f t="shared" si="17"/>
        <v>37039</v>
      </c>
      <c r="G184" s="1681">
        <f t="shared" si="17"/>
        <v>0</v>
      </c>
      <c r="H184" s="1681">
        <f t="shared" si="17"/>
        <v>0</v>
      </c>
      <c r="I184" s="1681">
        <f t="shared" si="17"/>
        <v>0</v>
      </c>
      <c r="J184" s="1681">
        <f t="shared" si="17"/>
        <v>0</v>
      </c>
      <c r="K184" s="1681">
        <f>SUM(K180,K182,K183)</f>
        <v>221753</v>
      </c>
      <c r="L184" s="1681">
        <f>SUM(L180, L182:L183)</f>
        <v>238500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1604</v>
      </c>
      <c r="I205" s="1673"/>
      <c r="J205" s="1673"/>
      <c r="K205" s="1696">
        <f>SUM(H205)</f>
        <v>1604</v>
      </c>
      <c r="L205" s="1630">
        <v>0</v>
      </c>
    </row>
    <row r="206" spans="1:14" ht="30" customHeight="1" x14ac:dyDescent="0.2">
      <c r="A206" s="555" t="s">
        <v>1652</v>
      </c>
      <c r="B206" s="546" t="s">
        <v>31</v>
      </c>
      <c r="C206" s="1673"/>
      <c r="D206" s="1673"/>
      <c r="E206" s="1673"/>
      <c r="F206" s="1673"/>
      <c r="G206" s="1673"/>
      <c r="H206" s="1573">
        <v>40154</v>
      </c>
      <c r="I206" s="1673"/>
      <c r="J206" s="1673"/>
      <c r="K206" s="1672">
        <f>SUM(H206)</f>
        <v>40154</v>
      </c>
      <c r="L206" s="1573">
        <v>41758</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41758</v>
      </c>
      <c r="I208" s="1673"/>
      <c r="J208" s="1673"/>
      <c r="K208" s="1681">
        <f>SUM(K204,K205,K206,K207)</f>
        <v>41758</v>
      </c>
      <c r="L208" s="1681">
        <f>SUM(L204,L205,L206,L207)</f>
        <v>41758</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111377</v>
      </c>
      <c r="D210" s="1674">
        <f>SUM(D184,D185)</f>
        <v>49873</v>
      </c>
      <c r="E210" s="1674">
        <f>SUM(E184,E185,E196)</f>
        <v>23464</v>
      </c>
      <c r="F210" s="1674">
        <f>SUM(F184,F185)</f>
        <v>37039</v>
      </c>
      <c r="G210" s="1674">
        <f>SUM(G184,G185)</f>
        <v>0</v>
      </c>
      <c r="H210" s="1674">
        <f>SUM(H184,H185,H196,H208,H209)</f>
        <v>41758</v>
      </c>
      <c r="I210" s="1674">
        <f>SUM(I184,I185)</f>
        <v>0</v>
      </c>
      <c r="J210" s="1674">
        <f>SUM(J184,J185)</f>
        <v>0</v>
      </c>
      <c r="K210" s="1672">
        <f>SUM(K184,K185,K196,K208,K209)</f>
        <v>263511</v>
      </c>
      <c r="L210" s="1674">
        <f>SUM(L184,L185,L196,L208,L209)</f>
        <v>280258</v>
      </c>
    </row>
    <row r="211" spans="1:14" ht="13.5" thickTop="1" x14ac:dyDescent="0.2">
      <c r="A211" s="2260" t="s">
        <v>989</v>
      </c>
      <c r="B211" s="2261"/>
      <c r="C211" s="1675"/>
      <c r="D211" s="1675"/>
      <c r="E211" s="1675"/>
      <c r="F211" s="1675"/>
      <c r="G211" s="1675"/>
      <c r="H211" s="1675"/>
      <c r="I211" s="1673"/>
      <c r="J211" s="1673"/>
      <c r="K211" s="1689">
        <f>'Revenues 9-14'!F268-'Expenditures 15-22'!K210</f>
        <v>20139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51370</v>
      </c>
      <c r="E215" s="1673"/>
      <c r="F215" s="1673"/>
      <c r="G215" s="1673"/>
      <c r="H215" s="1673"/>
      <c r="I215" s="1673"/>
      <c r="J215" s="1673"/>
      <c r="K215" s="1672">
        <f>D215</f>
        <v>51370</v>
      </c>
      <c r="L215" s="1573">
        <v>52000</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56369</v>
      </c>
      <c r="E217" s="1673"/>
      <c r="F217" s="1673"/>
      <c r="G217" s="1673"/>
      <c r="H217" s="1673"/>
      <c r="I217" s="1673"/>
      <c r="J217" s="1673"/>
      <c r="K217" s="1672">
        <f t="shared" si="19"/>
        <v>56369</v>
      </c>
      <c r="L217" s="1573">
        <v>58000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13573</v>
      </c>
      <c r="E219" s="1673"/>
      <c r="F219" s="1673"/>
      <c r="G219" s="1673"/>
      <c r="H219" s="1673"/>
      <c r="I219" s="1673"/>
      <c r="J219" s="1673"/>
      <c r="K219" s="1672">
        <f t="shared" si="19"/>
        <v>13573</v>
      </c>
      <c r="L219" s="1573">
        <v>14000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c r="E222" s="1673"/>
      <c r="F222" s="1673"/>
      <c r="G222" s="1673"/>
      <c r="H222" s="1673"/>
      <c r="I222" s="1673"/>
      <c r="J222" s="1673"/>
      <c r="K222" s="1672">
        <f t="shared" si="19"/>
        <v>0</v>
      </c>
      <c r="L222" s="1573">
        <v>0</v>
      </c>
    </row>
    <row r="223" spans="1:14" x14ac:dyDescent="0.2">
      <c r="A223" s="1274" t="s">
        <v>957</v>
      </c>
      <c r="B223" s="503">
        <v>1500</v>
      </c>
      <c r="C223" s="1673"/>
      <c r="D223" s="1573">
        <v>1147</v>
      </c>
      <c r="E223" s="1673"/>
      <c r="F223" s="1673"/>
      <c r="G223" s="1673"/>
      <c r="H223" s="1673"/>
      <c r="I223" s="1673"/>
      <c r="J223" s="1673"/>
      <c r="K223" s="1672">
        <f t="shared" si="19"/>
        <v>1147</v>
      </c>
      <c r="L223" s="1573">
        <v>1350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v>92</v>
      </c>
      <c r="E225" s="1673"/>
      <c r="F225" s="1673"/>
      <c r="G225" s="1673"/>
      <c r="H225" s="1673"/>
      <c r="I225" s="1673"/>
      <c r="J225" s="1673"/>
      <c r="K225" s="1672">
        <f t="shared" si="19"/>
        <v>92</v>
      </c>
      <c r="L225" s="1573">
        <v>100</v>
      </c>
    </row>
    <row r="226" spans="1:12" x14ac:dyDescent="0.2">
      <c r="A226" s="1274" t="s">
        <v>719</v>
      </c>
      <c r="B226" s="503" t="s">
        <v>161</v>
      </c>
      <c r="C226" s="1673"/>
      <c r="D226" s="1574"/>
      <c r="E226" s="1673"/>
      <c r="F226" s="1673"/>
      <c r="G226" s="1673"/>
      <c r="H226" s="1673"/>
      <c r="I226" s="1673"/>
      <c r="J226" s="1673"/>
      <c r="K226" s="1672">
        <f t="shared" si="19"/>
        <v>0</v>
      </c>
      <c r="L226" s="1573">
        <v>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122551</v>
      </c>
      <c r="E229" s="1673"/>
      <c r="F229" s="1673"/>
      <c r="G229" s="1673"/>
      <c r="H229" s="1673"/>
      <c r="I229" s="1673"/>
      <c r="J229" s="1673"/>
      <c r="K229" s="1674">
        <f>SUM(K215:K228)</f>
        <v>122551</v>
      </c>
      <c r="L229" s="1674">
        <f>SUM(L215:L228)</f>
        <v>125450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v>167</v>
      </c>
      <c r="E233" s="1673"/>
      <c r="F233" s="1673"/>
      <c r="G233" s="1673"/>
      <c r="H233" s="1673"/>
      <c r="I233" s="1673"/>
      <c r="J233" s="1673"/>
      <c r="K233" s="1672">
        <f t="shared" si="20"/>
        <v>167</v>
      </c>
      <c r="L233" s="1573">
        <v>200</v>
      </c>
    </row>
    <row r="234" spans="1:12" x14ac:dyDescent="0.2">
      <c r="A234" s="1274" t="s">
        <v>196</v>
      </c>
      <c r="B234" s="503">
        <v>2130</v>
      </c>
      <c r="C234" s="1673"/>
      <c r="D234" s="1573">
        <v>5043</v>
      </c>
      <c r="E234" s="1673"/>
      <c r="F234" s="1673"/>
      <c r="G234" s="1673"/>
      <c r="H234" s="1673"/>
      <c r="I234" s="1673"/>
      <c r="J234" s="1673"/>
      <c r="K234" s="1672">
        <f t="shared" si="20"/>
        <v>5043</v>
      </c>
      <c r="L234" s="1573">
        <v>5000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1451</v>
      </c>
      <c r="E236" s="1673"/>
      <c r="F236" s="1673"/>
      <c r="G236" s="1673"/>
      <c r="H236" s="1673"/>
      <c r="I236" s="1673"/>
      <c r="J236" s="1673"/>
      <c r="K236" s="1672">
        <f t="shared" si="20"/>
        <v>1451</v>
      </c>
      <c r="L236" s="1573">
        <v>1500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6661</v>
      </c>
      <c r="E238" s="1673"/>
      <c r="F238" s="1673"/>
      <c r="G238" s="1673"/>
      <c r="H238" s="1673"/>
      <c r="I238" s="1673"/>
      <c r="J238" s="1673"/>
      <c r="K238" s="1674">
        <f>SUM(K232:K237)</f>
        <v>6661</v>
      </c>
      <c r="L238" s="1674">
        <f>SUM(L232:L237)</f>
        <v>6700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109</v>
      </c>
      <c r="E240" s="1673"/>
      <c r="F240" s="1673"/>
      <c r="G240" s="1673"/>
      <c r="H240" s="1673"/>
      <c r="I240" s="1673"/>
      <c r="J240" s="1673"/>
      <c r="K240" s="1678">
        <f>D240</f>
        <v>109</v>
      </c>
      <c r="L240" s="1586">
        <v>150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109</v>
      </c>
      <c r="E243" s="1673"/>
      <c r="F243" s="1673"/>
      <c r="G243" s="1673"/>
      <c r="H243" s="1673"/>
      <c r="I243" s="1673"/>
      <c r="J243" s="1673"/>
      <c r="K243" s="1674">
        <f>SUM(K240:K242)</f>
        <v>109</v>
      </c>
      <c r="L243" s="1674">
        <f>SUM(L240:L242)</f>
        <v>150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2518</v>
      </c>
      <c r="E245" s="1673"/>
      <c r="F245" s="1673"/>
      <c r="G245" s="1673"/>
      <c r="H245" s="1673"/>
      <c r="I245" s="1673"/>
      <c r="J245" s="1673"/>
      <c r="K245" s="1678">
        <f>D245</f>
        <v>2518</v>
      </c>
      <c r="L245" s="1586">
        <v>210</v>
      </c>
    </row>
    <row r="246" spans="1:12" x14ac:dyDescent="0.2">
      <c r="A246" s="1274" t="s">
        <v>813</v>
      </c>
      <c r="B246" s="503">
        <v>2320</v>
      </c>
      <c r="C246" s="1673"/>
      <c r="D246" s="1573">
        <v>1210</v>
      </c>
      <c r="E246" s="1673"/>
      <c r="F246" s="1673"/>
      <c r="G246" s="1673"/>
      <c r="H246" s="1673"/>
      <c r="I246" s="1673"/>
      <c r="J246" s="1673"/>
      <c r="K246" s="1678">
        <f t="shared" ref="K246:K256" si="21">D246</f>
        <v>1210</v>
      </c>
      <c r="L246" s="1573">
        <v>1400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3728</v>
      </c>
      <c r="E257" s="1673"/>
      <c r="F257" s="1673"/>
      <c r="G257" s="1673"/>
      <c r="H257" s="1673"/>
      <c r="I257" s="1673"/>
      <c r="J257" s="1673"/>
      <c r="K257" s="1674">
        <f>SUM(K245:K256)</f>
        <v>3728</v>
      </c>
      <c r="L257" s="1674">
        <f>SUM(L245:L256)</f>
        <v>1610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22162</v>
      </c>
      <c r="E259" s="1673"/>
      <c r="F259" s="1673"/>
      <c r="G259" s="1673"/>
      <c r="H259" s="1673"/>
      <c r="I259" s="1673"/>
      <c r="J259" s="1673"/>
      <c r="K259" s="1678">
        <f>D259</f>
        <v>22162</v>
      </c>
      <c r="L259" s="1586">
        <v>25000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22162</v>
      </c>
      <c r="E261" s="1673"/>
      <c r="F261" s="1673"/>
      <c r="G261" s="1673"/>
      <c r="H261" s="1673"/>
      <c r="I261" s="1673"/>
      <c r="J261" s="1673"/>
      <c r="K261" s="1674">
        <f>SUM(K259:K260)</f>
        <v>22162</v>
      </c>
      <c r="L261" s="1674">
        <f>SUM(L259:L260)</f>
        <v>25000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15623</v>
      </c>
      <c r="E264" s="1673"/>
      <c r="F264" s="1673"/>
      <c r="G264" s="1673"/>
      <c r="H264" s="1673"/>
      <c r="I264" s="1673"/>
      <c r="J264" s="1673"/>
      <c r="K264" s="1678">
        <f t="shared" ref="K264:K269" si="22">D264</f>
        <v>15623</v>
      </c>
      <c r="L264" s="1573">
        <v>18000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45534</v>
      </c>
      <c r="E266" s="1673"/>
      <c r="F266" s="1673"/>
      <c r="G266" s="1673"/>
      <c r="H266" s="1673"/>
      <c r="I266" s="1673"/>
      <c r="J266" s="1673"/>
      <c r="K266" s="1678">
        <f t="shared" si="22"/>
        <v>45534</v>
      </c>
      <c r="L266" s="1573">
        <v>46000</v>
      </c>
    </row>
    <row r="267" spans="1:14" x14ac:dyDescent="0.2">
      <c r="A267" s="1274" t="s">
        <v>947</v>
      </c>
      <c r="B267" s="503">
        <v>2550</v>
      </c>
      <c r="C267" s="1673"/>
      <c r="D267" s="1573">
        <v>22985</v>
      </c>
      <c r="E267" s="1673"/>
      <c r="F267" s="1673"/>
      <c r="G267" s="1673"/>
      <c r="H267" s="1673"/>
      <c r="I267" s="1673"/>
      <c r="J267" s="1673"/>
      <c r="K267" s="1678">
        <f t="shared" si="22"/>
        <v>22985</v>
      </c>
      <c r="L267" s="1573">
        <v>25000</v>
      </c>
    </row>
    <row r="268" spans="1:14" x14ac:dyDescent="0.2">
      <c r="A268" s="1274" t="s">
        <v>100</v>
      </c>
      <c r="B268" s="503">
        <v>2560</v>
      </c>
      <c r="C268" s="1673"/>
      <c r="D268" s="1573"/>
      <c r="E268" s="1673"/>
      <c r="F268" s="1673"/>
      <c r="G268" s="1673"/>
      <c r="H268" s="1673"/>
      <c r="I268" s="1673"/>
      <c r="J268" s="1673"/>
      <c r="K268" s="1678">
        <f t="shared" si="22"/>
        <v>0</v>
      </c>
      <c r="L268" s="1573">
        <v>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84142</v>
      </c>
      <c r="E270" s="1673"/>
      <c r="F270" s="1673"/>
      <c r="G270" s="1673"/>
      <c r="H270" s="1673"/>
      <c r="I270" s="1673"/>
      <c r="J270" s="1673"/>
      <c r="K270" s="1674">
        <f>SUM(K263:K269)</f>
        <v>84142</v>
      </c>
      <c r="L270" s="1674">
        <f>SUM(L263:L269)</f>
        <v>89000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116802</v>
      </c>
      <c r="E279" s="1673"/>
      <c r="F279" s="1673"/>
      <c r="G279" s="1673"/>
      <c r="H279" s="1673"/>
      <c r="I279" s="1673"/>
      <c r="J279" s="1673"/>
      <c r="K279" s="1681">
        <f>SUM(K238,K243,K257,K261,K270,K277,K278)</f>
        <v>116802</v>
      </c>
      <c r="L279" s="1681">
        <f>SUM(L238,L243,L257,L261,L270,L277,L278)</f>
        <v>122460</v>
      </c>
    </row>
    <row r="280" spans="1:12" ht="15.75" customHeight="1" thickTop="1" thickBot="1" x14ac:dyDescent="0.25">
      <c r="A280" s="1362" t="s">
        <v>870</v>
      </c>
      <c r="B280" s="1351">
        <v>3000</v>
      </c>
      <c r="C280" s="1673"/>
      <c r="D280" s="1651">
        <v>329</v>
      </c>
      <c r="E280" s="1673"/>
      <c r="F280" s="1673"/>
      <c r="G280" s="1673"/>
      <c r="H280" s="1673"/>
      <c r="I280" s="1673"/>
      <c r="J280" s="1673"/>
      <c r="K280" s="1687">
        <f>D280</f>
        <v>329</v>
      </c>
      <c r="L280" s="1651">
        <v>400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8" t="s">
        <v>502</v>
      </c>
      <c r="B295" s="2279"/>
      <c r="C295" s="1673"/>
      <c r="D295" s="1674">
        <f>SUM(D229,D279,D280,D285)</f>
        <v>239682</v>
      </c>
      <c r="E295" s="1673"/>
      <c r="F295" s="1673"/>
      <c r="G295" s="1673"/>
      <c r="H295" s="1674">
        <f>H293</f>
        <v>0</v>
      </c>
      <c r="I295" s="1673"/>
      <c r="J295" s="1673"/>
      <c r="K295" s="1674">
        <f>SUM(K229,K279,K280,K285,K293,K294)</f>
        <v>239682</v>
      </c>
      <c r="L295" s="1674">
        <f>SUM(L229,L279,L280,L285,L293,L294)</f>
        <v>248310</v>
      </c>
    </row>
    <row r="296" spans="1:14" ht="13.5" thickTop="1" x14ac:dyDescent="0.2">
      <c r="A296" s="2260" t="s">
        <v>989</v>
      </c>
      <c r="B296" s="2261"/>
      <c r="C296" s="1673"/>
      <c r="D296" s="1675"/>
      <c r="E296" s="1673"/>
      <c r="F296" s="1673"/>
      <c r="G296" s="1673"/>
      <c r="H296" s="1707"/>
      <c r="I296" s="1673"/>
      <c r="J296" s="1673"/>
      <c r="K296" s="1689">
        <f>'Revenues 9-14'!G268-'Expenditures 15-22'!K295</f>
        <v>73353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17653</v>
      </c>
      <c r="F320" s="1574"/>
      <c r="G320" s="1574"/>
      <c r="H320" s="1574"/>
      <c r="I320" s="1574"/>
      <c r="J320" s="1574"/>
      <c r="K320" s="1672">
        <f t="shared" ref="K320:K327" si="24">SUM(C320:J320)</f>
        <v>17653</v>
      </c>
      <c r="L320" s="1574">
        <v>18000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1000</v>
      </c>
      <c r="M321" s="539"/>
      <c r="N321" s="539"/>
    </row>
    <row r="322" spans="1:14" s="548" customFormat="1" x14ac:dyDescent="0.2">
      <c r="A322" s="1289" t="s">
        <v>236</v>
      </c>
      <c r="B322" s="567" t="s">
        <v>282</v>
      </c>
      <c r="C322" s="1574"/>
      <c r="D322" s="1574"/>
      <c r="E322" s="1574">
        <v>55563</v>
      </c>
      <c r="F322" s="1574"/>
      <c r="G322" s="1574"/>
      <c r="H322" s="1574"/>
      <c r="I322" s="1574"/>
      <c r="J322" s="1574"/>
      <c r="K322" s="1672">
        <f t="shared" si="24"/>
        <v>55563</v>
      </c>
      <c r="L322" s="1574">
        <v>56000</v>
      </c>
      <c r="M322" s="539"/>
      <c r="N322" s="539"/>
    </row>
    <row r="323" spans="1:14" s="548" customFormat="1" x14ac:dyDescent="0.2">
      <c r="A323" s="1289" t="s">
        <v>697</v>
      </c>
      <c r="B323" s="567" t="s">
        <v>283</v>
      </c>
      <c r="C323" s="1574">
        <v>131718</v>
      </c>
      <c r="D323" s="1574">
        <v>11579</v>
      </c>
      <c r="E323" s="1574"/>
      <c r="F323" s="1574"/>
      <c r="G323" s="1574"/>
      <c r="H323" s="1574"/>
      <c r="I323" s="1574"/>
      <c r="J323" s="1574"/>
      <c r="K323" s="1672">
        <f t="shared" si="24"/>
        <v>143297</v>
      </c>
      <c r="L323" s="1574">
        <v>127000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14074</v>
      </c>
      <c r="F325" s="1574"/>
      <c r="G325" s="1574"/>
      <c r="H325" s="1574"/>
      <c r="I325" s="1574"/>
      <c r="J325" s="1574"/>
      <c r="K325" s="1672">
        <f t="shared" si="24"/>
        <v>14074</v>
      </c>
      <c r="L325" s="1574">
        <v>15000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4233</v>
      </c>
      <c r="F327" s="1574"/>
      <c r="G327" s="1574"/>
      <c r="H327" s="1574"/>
      <c r="I327" s="1574"/>
      <c r="J327" s="1574"/>
      <c r="K327" s="1672">
        <f t="shared" si="24"/>
        <v>4233</v>
      </c>
      <c r="L327" s="1574">
        <v>8000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131718</v>
      </c>
      <c r="D330" s="1674">
        <f t="shared" ref="D330:J330" si="25">SUM(D319:D329)</f>
        <v>11579</v>
      </c>
      <c r="E330" s="1674">
        <f t="shared" si="25"/>
        <v>91523</v>
      </c>
      <c r="F330" s="1674">
        <f t="shared" si="25"/>
        <v>0</v>
      </c>
      <c r="G330" s="1674">
        <f t="shared" si="25"/>
        <v>0</v>
      </c>
      <c r="H330" s="1674">
        <f t="shared" si="25"/>
        <v>0</v>
      </c>
      <c r="I330" s="1674">
        <f t="shared" si="25"/>
        <v>0</v>
      </c>
      <c r="J330" s="1674">
        <f t="shared" si="25"/>
        <v>0</v>
      </c>
      <c r="K330" s="1674">
        <f>SUM(K319:K329)</f>
        <v>234820</v>
      </c>
      <c r="L330" s="1674">
        <f>SUM(L319:L329)</f>
        <v>225000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131718</v>
      </c>
      <c r="D342" s="1674">
        <f>SUM(D330)</f>
        <v>11579</v>
      </c>
      <c r="E342" s="1674">
        <f>SUM(E330)</f>
        <v>91523</v>
      </c>
      <c r="F342" s="1674">
        <f>SUM(F330)</f>
        <v>0</v>
      </c>
      <c r="G342" s="1674">
        <f>SUM(G330)</f>
        <v>0</v>
      </c>
      <c r="H342" s="1674">
        <f>SUM(H330,H334,H340)</f>
        <v>0</v>
      </c>
      <c r="I342" s="1674">
        <f>SUM(I330)</f>
        <v>0</v>
      </c>
      <c r="J342" s="1674">
        <f>SUM(J330)</f>
        <v>0</v>
      </c>
      <c r="K342" s="1674">
        <f>SUM(K330,K334,K340)</f>
        <v>234820</v>
      </c>
      <c r="L342" s="1681">
        <f>SUM(L330,L334,L340,L341)</f>
        <v>225000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-7871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940</v>
      </c>
      <c r="F349" s="1573"/>
      <c r="G349" s="1573">
        <v>46400</v>
      </c>
      <c r="H349" s="1573"/>
      <c r="I349" s="1574"/>
      <c r="J349" s="1574"/>
      <c r="K349" s="1672">
        <f>SUM(C349:J349)</f>
        <v>47340</v>
      </c>
      <c r="L349" s="1573">
        <v>66000</v>
      </c>
    </row>
    <row r="350" spans="1:14" ht="12.75" customHeight="1" thickBot="1" x14ac:dyDescent="0.25">
      <c r="A350" s="1380" t="s">
        <v>714</v>
      </c>
      <c r="B350" s="1381" t="s">
        <v>35</v>
      </c>
      <c r="C350" s="1674">
        <f>SUM(C348:C349)</f>
        <v>0</v>
      </c>
      <c r="D350" s="1674">
        <f t="shared" ref="D350:L350" si="26">SUM(D348:D349)</f>
        <v>0</v>
      </c>
      <c r="E350" s="1674">
        <f t="shared" si="26"/>
        <v>940</v>
      </c>
      <c r="F350" s="1674">
        <f t="shared" si="26"/>
        <v>0</v>
      </c>
      <c r="G350" s="1674">
        <f t="shared" si="26"/>
        <v>46400</v>
      </c>
      <c r="H350" s="1674">
        <f t="shared" si="26"/>
        <v>0</v>
      </c>
      <c r="I350" s="1674">
        <f t="shared" si="26"/>
        <v>0</v>
      </c>
      <c r="J350" s="1674">
        <f t="shared" si="26"/>
        <v>0</v>
      </c>
      <c r="K350" s="1674">
        <f t="shared" si="26"/>
        <v>47340</v>
      </c>
      <c r="L350" s="1674">
        <f t="shared" si="26"/>
        <v>66000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940</v>
      </c>
      <c r="F352" s="1674">
        <f t="shared" si="27"/>
        <v>0</v>
      </c>
      <c r="G352" s="1674">
        <f t="shared" si="27"/>
        <v>46400</v>
      </c>
      <c r="H352" s="1674">
        <f t="shared" si="27"/>
        <v>0</v>
      </c>
      <c r="I352" s="1674">
        <f t="shared" si="27"/>
        <v>0</v>
      </c>
      <c r="J352" s="1674">
        <f t="shared" si="27"/>
        <v>0</v>
      </c>
      <c r="K352" s="1674">
        <f t="shared" si="27"/>
        <v>47340</v>
      </c>
      <c r="L352" s="1674">
        <f t="shared" si="27"/>
        <v>66000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940</v>
      </c>
      <c r="F367" s="1674">
        <f t="shared" si="28"/>
        <v>0</v>
      </c>
      <c r="G367" s="1674">
        <f t="shared" si="28"/>
        <v>46400</v>
      </c>
      <c r="H367" s="1674">
        <f t="shared" si="28"/>
        <v>0</v>
      </c>
      <c r="I367" s="1674">
        <f t="shared" si="28"/>
        <v>0</v>
      </c>
      <c r="J367" s="1674">
        <f t="shared" si="28"/>
        <v>0</v>
      </c>
      <c r="K367" s="1674">
        <f t="shared" si="28"/>
        <v>47340</v>
      </c>
      <c r="L367" s="1674">
        <f t="shared" si="28"/>
        <v>66000</v>
      </c>
    </row>
    <row r="368" spans="1:14" ht="13.5" thickTop="1" x14ac:dyDescent="0.2">
      <c r="A368" s="2260" t="s">
        <v>989</v>
      </c>
      <c r="B368" s="2261"/>
      <c r="C368" s="1694"/>
      <c r="D368" s="1694"/>
      <c r="E368" s="1677"/>
      <c r="F368" s="1677"/>
      <c r="G368" s="1677"/>
      <c r="H368" s="1677"/>
      <c r="I368" s="1677"/>
      <c r="J368" s="1676"/>
      <c r="K368" s="1672">
        <f>'Revenues 9-14'!K268-'Expenditures 15-22'!K367</f>
        <v>-16861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28999999999999998" right="0.2" top="0.61" bottom="0.39" header="0.22" footer="0.19"/>
  <pageSetup scale="73" firstPageNumber="16" fitToHeight="0" orientation="landscape" useFirstPageNumber="1" r:id="rId1"/>
  <headerFooter differentOddEven="1" alignWithMargins="0">
    <oddHeader>&amp;C&amp;"Arial,Bold"&amp;9 Fairfield Public School District 112
STATEMENT OF EXPENDITURES DISBURSED/EXPENDITURES, BUDGET TO ACTUAL (ALL FUNDS)
FOR THE YEAR ENDING JUNE 30, 2020</oddHeader>
    <oddFooter>&amp;L&amp;11See accompanying notes to the financial statements.&amp;C&amp;14- &amp;P -</oddFooter>
    <evenHeader>&amp;C&amp;"Arial,Bold"&amp;9Fairfield Public School District 112
STATEMENT OF EXPENDITURES DISBURSED/EXPENDITURES, BUDGET TO ACTUAL (ALL FUNDS)
FOR THE YEAR ENDING JUNE 30, 2020</evenHeader>
    <evenFooter>&amp;L&amp;11See accompanying notes to the financial statements.&amp;C&amp;14- &amp;P -</even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http://schemas.microsoft.com/office/infopath/2007/PartnerControls"/>
    <ds:schemaRef ds:uri="http://schemas.microsoft.com/sharepoint/v3"/>
    <ds:schemaRef ds:uri="http://purl.org/dc/dcmitype/"/>
    <ds:schemaRef ds:uri="http://schemas.microsoft.com/office/2006/documentManagement/types"/>
    <ds:schemaRef ds:uri="4d435f69-8686-490b-bd6d-b153bf22ab50"/>
    <ds:schemaRef ds:uri="http://schemas.openxmlformats.org/package/2006/metadata/core-properties"/>
    <ds:schemaRef ds:uri="d21dc803-237d-4c68-8692-8d731fd29118"/>
    <ds:schemaRef ds:uri="6ce3111e-7420-4802-b50a-75d4e9a0b980"/>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2020-10-16T21:13:31Z</cp:lastPrinted>
  <dcterms:created xsi:type="dcterms:W3CDTF">2003-10-29T19:06:34Z</dcterms:created>
  <dcterms:modified xsi:type="dcterms:W3CDTF">2020-11-02T00:46:38Z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