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34370EF-611A-49E8-BC94-2BDBE24CD8F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1" i="3" l="1"/>
  <c r="C10" i="185"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c r="B7047" i="106" l="1"/>
  <c r="D7047" i="106" s="1"/>
  <c r="I210" i="29"/>
  <c r="B7071" i="106" s="1"/>
  <c r="D7071" i="106" s="1"/>
  <c r="L22" i="37"/>
  <c r="E34" i="108"/>
  <c r="B7074" i="106"/>
  <c r="D7074" i="106" s="1"/>
  <c r="J49" i="8"/>
  <c r="B4172" i="106" s="1"/>
  <c r="D4172" i="106" s="1"/>
  <c r="D69" i="36"/>
  <c r="G39" i="108"/>
  <c r="B6995" i="106"/>
  <c r="D6995" i="106" s="1"/>
  <c r="D14" i="4"/>
  <c r="B2570" i="106" s="1"/>
  <c r="D2570" i="106" s="1"/>
  <c r="B2836" i="106"/>
  <c r="D2836" i="106" s="1"/>
  <c r="B7076" i="106"/>
  <c r="D7076" i="106" s="1"/>
  <c r="F56" i="34"/>
  <c r="B7832" i="106" s="1"/>
  <c r="D7832" i="106" s="1"/>
  <c r="B2724" i="106"/>
  <c r="D2724" i="106" s="1"/>
  <c r="H33" i="118"/>
  <c r="F36" i="108"/>
  <c r="B4211" i="106"/>
  <c r="D4211" i="106" s="1"/>
  <c r="B7078" i="106"/>
  <c r="D7078" i="106" s="1"/>
  <c r="F50" i="34"/>
  <c r="D36" i="108"/>
  <c r="G26" i="108"/>
  <c r="G35" i="108"/>
  <c r="F36" i="34"/>
  <c r="B7828" i="106" s="1"/>
  <c r="D7828" i="106" s="1"/>
  <c r="I129" i="29"/>
  <c r="B7037" i="106" s="1"/>
  <c r="D7037" i="106" s="1"/>
  <c r="G30" i="108"/>
  <c r="H342" i="29"/>
  <c r="B7221" i="106" s="1"/>
  <c r="D7221" i="106" s="1"/>
  <c r="D24" i="37"/>
  <c r="B4270" i="106" s="1"/>
  <c r="D4270" i="106" s="1"/>
  <c r="D68" i="36"/>
  <c r="H28" i="118"/>
  <c r="H365" i="29"/>
  <c r="B7242" i="106" s="1"/>
  <c r="D7242" i="106" s="1"/>
  <c r="C129" i="29"/>
  <c r="C151" i="29" s="1"/>
  <c r="B1226" i="106" s="1"/>
  <c r="D1226" i="106" s="1"/>
  <c r="B6289" i="106"/>
  <c r="D6289" i="106" s="1"/>
  <c r="F70" i="34"/>
  <c r="C352" i="29"/>
  <c r="C367" i="29" s="1"/>
  <c r="B3622" i="106" s="1"/>
  <c r="D3622" i="106" s="1"/>
  <c r="H76" i="4"/>
  <c r="B3298" i="106" s="1"/>
  <c r="D3298" i="106" s="1"/>
  <c r="B1274" i="106"/>
  <c r="D1274" i="106" s="1"/>
  <c r="B7189" i="106"/>
  <c r="D7189" i="106" s="1"/>
  <c r="E64" i="184"/>
  <c r="N64" i="184" s="1"/>
  <c r="B7153" i="106"/>
  <c r="D7153" i="106" s="1"/>
  <c r="E60" i="184"/>
  <c r="N60" i="184" s="1"/>
  <c r="H12" i="184"/>
  <c r="J210" i="29"/>
  <c r="B7072" i="106" s="1"/>
  <c r="D7072" i="106" s="1"/>
  <c r="J129" i="29"/>
  <c r="B7038" i="106" s="1"/>
  <c r="D7038" i="106" s="1"/>
  <c r="B7198" i="106"/>
  <c r="D7198" i="106" s="1"/>
  <c r="E65" i="184"/>
  <c r="N65" i="184" s="1"/>
  <c r="B7162" i="106"/>
  <c r="D7162" i="106" s="1"/>
  <c r="E61" i="184"/>
  <c r="N61" i="184" s="1"/>
  <c r="B7126" i="106"/>
  <c r="D7126" i="106" s="1"/>
  <c r="E57" i="184"/>
  <c r="F34" i="34"/>
  <c r="B7826" i="106" s="1"/>
  <c r="D7826" i="106" s="1"/>
  <c r="F77" i="4"/>
  <c r="B3255" i="106" s="1"/>
  <c r="D3255" i="106" s="1"/>
  <c r="B7705" i="106"/>
  <c r="D7705" i="106" s="1"/>
  <c r="E67" i="184"/>
  <c r="N67" i="184" s="1"/>
  <c r="B7696" i="106"/>
  <c r="D7696" i="106" s="1"/>
  <c r="E66" i="184"/>
  <c r="N66" i="184" s="1"/>
  <c r="B7171" i="106"/>
  <c r="D7171" i="106" s="1"/>
  <c r="E62" i="184"/>
  <c r="N62" i="184" s="1"/>
  <c r="B7135" i="106"/>
  <c r="D7135" i="106" s="1"/>
  <c r="E58" i="184"/>
  <c r="N58" i="184" s="1"/>
  <c r="H15" i="184"/>
  <c r="F37" i="34"/>
  <c r="B7829" i="106" s="1"/>
  <c r="D7829" i="106" s="1"/>
  <c r="D31" i="108"/>
  <c r="E16" i="184"/>
  <c r="H16" i="184" s="1"/>
  <c r="F42" i="34"/>
  <c r="C342" i="29"/>
  <c r="B7216" i="106" s="1"/>
  <c r="D7216" i="106"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621" i="106" l="1"/>
  <c r="D3621" i="106" s="1"/>
  <c r="N22" i="3"/>
  <c r="B283" i="106" s="1"/>
  <c r="D283" i="106" s="1"/>
  <c r="B1225" i="106"/>
  <c r="D1225" i="106" s="1"/>
  <c r="K342" i="29"/>
  <c r="F13" i="34" s="1"/>
  <c r="H151" i="29"/>
  <c r="B1273" i="106" s="1"/>
  <c r="D1273" i="106" s="1"/>
  <c r="I151" i="29"/>
  <c r="F59" i="34" s="1"/>
  <c r="K365" i="29"/>
  <c r="K16" i="4" s="1"/>
  <c r="B1381" i="106"/>
  <c r="D1381" i="106" s="1"/>
  <c r="H19" i="184"/>
  <c r="L20" i="184" s="1"/>
  <c r="B4435" i="106"/>
  <c r="D4435" i="106" s="1"/>
  <c r="H77" i="4"/>
  <c r="B3299" i="106" s="1"/>
  <c r="D3299" i="106" s="1"/>
  <c r="F41" i="108"/>
  <c r="G43" i="108" s="1"/>
  <c r="K77" i="4"/>
  <c r="B3587" i="106" s="1"/>
  <c r="D3587" i="106" s="1"/>
  <c r="K28" i="118"/>
  <c r="O27" i="118" s="1"/>
  <c r="O29" i="118" s="1"/>
  <c r="L114" i="29"/>
  <c r="B5770" i="106"/>
  <c r="D5770" i="106" s="1"/>
  <c r="D44" i="36"/>
  <c r="N23" i="3"/>
  <c r="B284" i="106" s="1"/>
  <c r="D284" i="106" s="1"/>
  <c r="B6216" i="106"/>
  <c r="D6216" i="106" s="1"/>
  <c r="E19" i="184"/>
  <c r="L16" i="11"/>
  <c r="B2061" i="106" s="1"/>
  <c r="D2061" i="106" s="1"/>
  <c r="N57" i="184"/>
  <c r="N68" i="184" s="1"/>
  <c r="E68" i="184"/>
  <c r="J151" i="29"/>
  <c r="B7052" i="106" s="1"/>
  <c r="D7052" i="106" s="1"/>
  <c r="B7235" i="106"/>
  <c r="D7235" i="106" s="1"/>
  <c r="E367" i="29"/>
  <c r="B3636" i="106" s="1"/>
  <c r="D3636" i="106" s="1"/>
  <c r="B3635" i="106"/>
  <c r="D3635" i="106" s="1"/>
  <c r="J16" i="4"/>
  <c r="B6226" i="106" s="1"/>
  <c r="D6226" i="106" s="1"/>
  <c r="B5527" i="106"/>
  <c r="D5527" i="106" s="1"/>
  <c r="B1328" i="106"/>
  <c r="D1328" i="106" s="1"/>
  <c r="B7215" i="106"/>
  <c r="D721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K367" i="29"/>
  <c r="K368" i="29" s="1"/>
  <c r="B3681" i="106" s="1"/>
  <c r="D3681" i="106" s="1"/>
  <c r="B7243" i="106"/>
  <c r="D7243"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J78" i="4" s="1"/>
  <c r="K17" i="4"/>
  <c r="B3575" i="106" s="1"/>
  <c r="D3575" i="106" s="1"/>
  <c r="F77" i="34"/>
  <c r="B7834" i="106" s="1"/>
  <c r="D7834" i="106" s="1"/>
  <c r="B6223" i="106"/>
  <c r="D6223" i="106" s="1"/>
  <c r="F8" i="4"/>
  <c r="J10" i="4"/>
  <c r="B6225" i="106" s="1"/>
  <c r="D62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78" i="4" s="1"/>
  <c r="K19" i="4"/>
  <c r="B4144" i="106" s="1"/>
  <c r="D4144"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B3576" i="106"/>
  <c r="D3576" i="106" s="1"/>
  <c r="D78" i="4"/>
  <c r="D81" i="4" s="1"/>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<sst xmlns="http://schemas.openxmlformats.org/spreadsheetml/2006/main" count="5235" uniqueCount="2130">
  <si>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</si>
  <si>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</si>
  <si>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</si>
  <si>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</si>
  <si>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</si>
  <si>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</si>
  <si>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</si>
  <si>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</si>
  <si>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</si>
  <si>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</si>
  <si>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</si>
  <si>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</si>
  <si>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</si>
  <si>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</si>
  <si>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</si>
  <si>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</si>
  <si>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</si>
  <si>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</si>
  <si>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</si>
  <si>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</si>
  <si>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</si>
  <si>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</si>
  <si>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</si>
  <si>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</si>
  <si>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</si>
  <si>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</si>
  <si>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</si>
  <si>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</si>
  <si>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</si>
  <si>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</si>
  <si>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</si>
  <si>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</si>
  <si>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</si>
  <si>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</si>
  <si>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</si>
  <si>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</si>
  <si>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</si>
  <si>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</si>
  <si>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</si>
  <si>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</si>
  <si>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</si>
  <si>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</si>
  <si>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</si>
  <si>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</si>
  <si>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</si>
  <si>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</si>
  <si>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</si>
  <si>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</si>
  <si>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</si>
  <si>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</si>
  <si>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</si>
  <si>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</si>
  <si>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</si>
  <si>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</si>
  <si>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</si>
  <si>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</si>
  <si>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</si>
  <si>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</si>
  <si>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</si>
  <si>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</si>
  <si>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</si>
  <si>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</si>
  <si>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</si>
  <si>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</si>
  <si>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</si>
  <si>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</si>
  <si>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</si>
  <si>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</si>
  <si>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</si>
  <si>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</si>
  <si>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</si>
  <si>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</si>
  <si>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</si>
  <si>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</si>
  <si>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</si>
  <si>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</si>
  <si>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</si>
  <si>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</si>
  <si>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</si>
  <si>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</si>
  <si>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</si>
  <si>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</si>
  <si>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</si>
  <si>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</si>
  <si>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</si>
  <si>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</si>
  <si>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</si>
  <si>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</si>
  <si>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</si>
  <si>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</si>
  <si>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</si>
  <si>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</si>
  <si>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</si>
  <si>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</si>
  <si>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</si>
  <si>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</si>
  <si>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</si>
  <si>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</si>
  <si>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</si>
  <si>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</si>
  <si>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</si>
  <si>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</si>
  <si>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</si>
  <si>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</si>
  <si>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</si>
  <si>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</si>
  <si>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</si>
  <si>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</si>
  <si>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</si>
  <si>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</si>
  <si>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</si>
  <si>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</si>
  <si>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</si>
  <si>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</si>
  <si>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</si>
  <si>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</si>
  <si>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</si>
  <si>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</si>
  <si>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</si>
  <si>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</si>
  <si>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</si>
  <si>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</si>
  <si>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</si>
  <si>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</si>
  <si>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</si>
  <si>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</si>
  <si>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</si>
  <si>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</si>
  <si>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</si>
  <si>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</si>
  <si>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</si>
  <si>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</si>
  <si>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</si>
  <si>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</si>
  <si>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</si>
  <si>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</si>
  <si>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</si>
  <si>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</si>
  <si>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</si>
  <si>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</si>
  <si>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</si>
  <si>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</si>
  <si>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</si>
  <si>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</si>
  <si>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</si>
  <si>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</si>
  <si>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</si>
  <si>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</si>
  <si>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</si>
  <si>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</si>
  <si>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</si>
  <si>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</si>
  <si>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</si>
  <si>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</si>
  <si>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</si>
  <si>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</si>
  <si>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</si>
  <si>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</si>
  <si>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</si>
  <si>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</si>
  <si>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</si>
  <si>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</si>
  <si>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</si>
  <si>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</si>
  <si>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</si>
  <si>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</si>
  <si>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</si>
  <si>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</si>
  <si>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</si>
  <si>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</si>
  <si>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</si>
  <si>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</si>
  <si>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</si>
  <si>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</si>
  <si>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</si>
  <si>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</si>
  <si>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</si>
  <si>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</si>
  <si>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</si>
  <si>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</si>
  <si>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</si>
  <si>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</si>
  <si>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</si>
  <si>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</si>
  <si>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</si>
  <si>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</si>
  <si>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</si>
  <si>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</si>
  <si>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</si>
  <si>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</si>
  <si>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</si>
  <si>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</si>
  <si>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</si>
  <si>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</si>
  <si>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</si>
  <si>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</si>
  <si>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</si>
  <si>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</si>
  <si>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</si>
  <si>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</si>
  <si>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</si>
  <si>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</si>
  <si>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</si>
  <si>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</si>
  <si>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</si>
  <si>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</si>
  <si>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</si>
  <si>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</si>
  <si>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</si>
  <si>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</si>
  <si>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</si>
  <si>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</si>
  <si>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</si>
  <si>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</si>
  <si>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</si>
  <si>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</si>
  <si>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</si>
  <si>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</si>
  <si>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</si>
  <si>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</si>
  <si>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</si>
  <si>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</si>
  <si>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</si>
  <si>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</si>
  <si>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</si>
  <si>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</si>
  <si>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</si>
  <si>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</si>
  <si>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</si>
  <si>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</si>
  <si>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</si>
  <si>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</si>
  <si>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</si>
  <si>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</si>
  <si>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</si>
  <si>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</si>
  <si>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</si>
  <si>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</si>
  <si>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</si>
  <si>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</si>
  <si>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</si>
  <si>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</si>
  <si>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</si>
  <si>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</si>
  <si>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</si>
  <si>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</si>
  <si>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</si>
  <si>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</si>
  <si>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</si>
  <si>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</si>
  <si>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</si>
  <si>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</si>
  <si>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</si>
  <si>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</si>
  <si>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</si>
  <si>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</si>
  <si>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</si>
  <si>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</si>
  <si>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</si>
  <si>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</si>
  <si>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</si>
  <si>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</si>
  <si>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</si>
  <si>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</si>
  <si>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</si>
  <si>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</si>
  <si>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</si>
  <si>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</si>
  <si>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</si>
  <si>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</si>
  <si>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</si>
  <si>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</si>
  <si>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</si>
  <si>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</si>
  <si>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</si>
  <si>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</si>
  <si>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</si>
  <si>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</si>
  <si>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</si>
  <si>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</si>
  <si>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</si>
  <si>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</si>
  <si>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</si>
  <si>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</si>
  <si>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</si>
  <si>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</si>
  <si>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</si>
  <si>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</si>
  <si>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</si>
  <si>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</si>
  <si>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</si>
  <si>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</si>
  <si>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</si>
  <si>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</si>
  <si>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</si>
  <si>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</si>
  <si>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</si>
  <si>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</si>
  <si>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</si>
  <si>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</si>
  <si>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</si>
  <si>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</si>
  <si>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</si>
  <si>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</si>
  <si>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</si>
  <si>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</si>
  <si>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</si>
  <si>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</si>
  <si>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</si>
  <si>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</si>
  <si>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</si>
  <si>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</si>
  <si>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</si>
  <si>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</si>
  <si>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</si>
  <si>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</si>
  <si>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</si>
  <si>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</si>
  <si>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</si>
  <si>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</si>
  <si>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</si>
  <si>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</si>
  <si>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</si>
  <si>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</si>
  <si>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</si>
  <si>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</si>
  <si>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</si>
  <si>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</si>
  <si>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</si>
  <si>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</si>
  <si>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</si>
  <si>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</si>
  <si>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</si>
  <si>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</si>
  <si>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</si>
  <si>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</si>
  <si>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</si>
  <si>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</si>
  <si>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</si>
  <si>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</si>
  <si>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</si>
  <si>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</si>
  <si>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</si>
  <si>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</si>
  <si>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</si>
  <si>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</si>
  <si>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</si>
  <si>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</si>
  <si>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</si>
  <si>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</si>
  <si>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</si>
  <si>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</si>
  <si>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</si>
  <si>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</si>
  <si>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</si>
  <si>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</si>
  <si>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</si>
  <si>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</si>
  <si>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</si>
  <si>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</si>
  <si>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</si>
  <si>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</si>
  <si>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</si>
  <si>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</si>
  <si>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</si>
  <si>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</si>
  <si>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</si>
  <si>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</si>
  <si>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</si>
  <si>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</si>
  <si>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</si>
  <si>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</si>
  <si>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</si>
  <si>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</si>
  <si>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</si>
  <si>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</si>
  <si>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</si>
  <si>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</si>
  <si>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</si>
  <si>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</si>
  <si>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</si>
  <si>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</si>
  <si>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</si>
  <si>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</si>
  <si>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</si>
  <si>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</si>
  <si>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</si>
  <si>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</si>
  <si>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</si>
  <si>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</si>
  <si>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</si>
  <si>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</si>
  <si>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</si>
  <si>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</si>
  <si>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</si>
  <si>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</si>
  <si>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</si>
  <si>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</si>
  <si>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</si>
  <si>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</si>
  <si>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</si>
  <si>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</si>
  <si>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</si>
  <si>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</si>
  <si>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</si>
  <si>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</si>
  <si>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</si>
  <si>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</si>
  <si>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</si>
  <si>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</si>
  <si>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</si>
  <si>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</si>
  <si>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</si>
  <si>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</si>
  <si>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</si>
  <si>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</si>
  <si>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</si>
  <si>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</si>
  <si>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</si>
  <si>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</si>
  <si>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</si>
  <si>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</si>
  <si>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</si>
  <si>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</si>
  <si>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</si>
  <si>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</si>
  <si>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</si>
  <si>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</si>
  <si>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</si>
  <si>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</si>
  <si>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</si>
  <si>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</si>
  <si>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</si>
  <si>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</si>
  <si>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</si>
  <si>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</si>
  <si>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</si>
  <si>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</si>
  <si>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</si>
  <si>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</si>
  <si>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</si>
  <si>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</si>
  <si>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</si>
  <si>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</si>
  <si>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</si>
  <si>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</si>
  <si>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</si>
  <si>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</si>
  <si>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</si>
  <si>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</si>
  <si>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</si>
  <si>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</si>
  <si>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</si>
  <si>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</si>
  <si>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</si>
  <si>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</si>
  <si>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</si>
  <si>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</si>
  <si>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</si>
  <si>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</si>
  <si>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</si>
  <si>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</si>
  <si>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</si>
  <si>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</si>
  <si>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</si>
  <si>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</si>
  <si>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</si>
  <si>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</si>
  <si>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</si>
  <si>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</si>
  <si>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</si>
  <si>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</si>
  <si>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</si>
  <si>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</si>
  <si>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</si>
  <si>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</si>
  <si>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</si>
  <si>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</si>
  <si>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</si>
  <si>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</si>
  <si>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</si>
  <si>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</si>
  <si>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</si>
  <si>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</si>
  <si>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</si>
  <si>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</si>
  <si>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</si>
  <si>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</si>
  <si>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</si>
  <si>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</si>
  <si>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</si>
  <si>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</si>
  <si>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</si>
  <si>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</si>
  <si>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</si>
  <si>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</si>
  <si>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</si>
  <si>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</si>
  <si>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</si>
  <si>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</si>
  <si>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</si>
  <si>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</si>
  <si>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</si>
  <si>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</si>
  <si>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</si>
  <si>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</si>
  <si>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</si>
  <si>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</si>
  <si>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</si>
  <si>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</si>
  <si>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</si>
  <si>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</si>
  <si>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</si>
  <si>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</si>
  <si>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</si>
  <si>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</si>
  <si>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</si>
  <si>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</si>
  <si>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</si>
  <si>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</si>
  <si>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</si>
  <si>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</si>
  <si>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</si>
  <si>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</si>
  <si>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</si>
  <si>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</si>
  <si>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</si>
  <si>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</si>
  <si>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</si>
  <si>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</si>
  <si>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</si>
  <si>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</si>
  <si>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</si>
  <si>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</si>
  <si>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</si>
  <si>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</si>
  <si>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</si>
  <si>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</si>
  <si>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</si>
  <si>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</si>
  <si>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</si>
  <si>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</si>
  <si>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</si>
  <si>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</si>
  <si>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</si>
  <si>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</si>
  <si>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</si>
  <si>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</si>
  <si>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</si>
  <si>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</si>
  <si>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</si>
  <si>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</si>
  <si>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</si>
  <si>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</si>
  <si>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</si>
  <si>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</si>
  <si>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</si>
  <si>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</si>
  <si>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</si>
  <si>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</si>
  <si>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</si>
  <si>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</si>
  <si>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</si>
  <si>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</si>
  <si>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</si>
  <si>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</si>
  <si>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</si>
  <si>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</si>
  <si>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</si>
  <si>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</si>
  <si>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</si>
  <si>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</si>
  <si>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</si>
  <si>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</si>
  <si>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</si>
  <si>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</si>
  <si>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</si>
  <si>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</si>
  <si>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</si>
  <si>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</si>
  <si>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</si>
  <si>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</si>
  <si>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</si>
  <si>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</si>
  <si>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</si>
  <si>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</si>
  <si>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</si>
  <si>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</si>
  <si>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</si>
  <si>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</si>
  <si>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</si>
  <si>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</si>
  <si>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</si>
  <si>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</si>
  <si>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</si>
  <si>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</si>
  <si>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</si>
  <si>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</si>
  <si>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</si>
  <si>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</si>
  <si>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</si>
  <si>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</si>
  <si>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</si>
  <si>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</si>
  <si>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</si>
  <si>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</si>
  <si>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</si>
  <si>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</si>
  <si>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</si>
  <si>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</si>
  <si>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</si>
  <si>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</si>
  <si>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</si>
  <si>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</si>
  <si>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</si>
  <si>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</si>
  <si>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</si>
  <si>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</si>
  <si>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</si>
  <si>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</si>
  <si>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</si>
  <si>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</si>
  <si>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</si>
  <si>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</si>
  <si>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</si>
  <si>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</si>
  <si>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</si>
  <si>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</si>
  <si>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</si>
  <si>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</si>
  <si>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</si>
  <si>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</si>
  <si>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</si>
  <si>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</si>
  <si>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</si>
  <si>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</si>
  <si>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</si>
  <si>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</si>
  <si>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</si>
  <si>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</si>
  <si>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</si>
  <si>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</si>
  <si>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</si>
  <si>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</si>
  <si>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</si>
  <si>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</si>
  <si>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</si>
  <si>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</si>
  <si>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</si>
  <si>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</si>
  <si>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</si>
  <si>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</si>
  <si>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</si>
  <si>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</si>
  <si>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</si>
  <si>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</si>
  <si>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</si>
  <si>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</si>
  <si>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</si>
  <si>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</si>
  <si>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</si>
  <si>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</si>
  <si>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</si>
  <si>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</si>
  <si>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</si>
  <si>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</si>
  <si>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</si>
  <si>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</si>
  <si>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</si>
  <si>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</si>
  <si>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</si>
  <si>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</si>
  <si>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</si>
  <si>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</si>
  <si>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</si>
  <si>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</si>
  <si>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</si>
  <si>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</si>
  <si>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</si>
  <si>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</si>
  <si>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</si>
  <si>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</si>
  <si>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</si>
  <si>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</si>
  <si>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</si>
  <si>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</si>
  <si>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</si>
  <si>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</si>
  <si>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</si>
  <si>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</si>
  <si>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</si>
  <si>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</si>
  <si>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</si>
  <si>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</si>
  <si>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</si>
  <si>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</si>
  <si>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</si>
  <si>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</si>
  <si>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</si>
  <si>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</si>
  <si>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</si>
  <si>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</si>
  <si>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</si>
  <si>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</si>
  <si>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</si>
  <si>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</si>
  <si>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</si>
  <si>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</si>
  <si>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</si>
  <si>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</si>
  <si>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</si>
  <si>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</si>
  <si>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</si>
  <si>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</si>
  <si>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</si>
  <si>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</si>
  <si>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</si>
  <si>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</si>
  <si>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</si>
  <si>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</si>
  <si>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</si>
  <si>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</si>
  <si>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</si>
  <si>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</si>
  <si>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</si>
  <si>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</si>
  <si>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</si>
  <si>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</si>
  <si>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</si>
  <si>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</si>
  <si>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</si>
  <si>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</si>
  <si>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</si>
  <si>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</si>
  <si>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</si>
  <si>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</si>
  <si>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</si>
  <si>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</si>
  <si>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</si>
  <si>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</si>
  <si>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</si>
  <si>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</si>
  <si>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</si>
  <si>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</si>
  <si>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</si>
  <si>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</si>
  <si>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</si>
  <si>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</si>
  <si>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</si>
  <si>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</si>
  <si>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</si>
  <si>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</si>
  <si>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</si>
  <si>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</si>
  <si>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</si>
  <si>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</si>
  <si>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</si>
  <si>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</si>
  <si>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</si>
  <si>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</si>
  <si>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</si>
  <si>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</si>
  <si>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</si>
  <si>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</si>
  <si>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</si>
  <si>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</si>
  <si>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</si>
  <si>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</si>
  <si>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</si>
  <si>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</si>
  <si>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</si>
  <si>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</si>
  <si>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</si>
  <si>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</si>
  <si>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</si>
  <si>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</si>
  <si>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</si>
  <si>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</si>
  <si>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</si>
  <si>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</si>
  <si>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</si>
  <si>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</si>
  <si>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</si>
  <si>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</si>
  <si>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</si>
  <si>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</si>
  <si>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</si>
  <si>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</si>
  <si>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</si>
  <si>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</si>
  <si>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</si>
  <si>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</si>
  <si>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</si>
  <si>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</si>
  <si>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</si>
  <si>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</si>
  <si>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</si>
  <si>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</si>
  <si>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</si>
  <si>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</si>
  <si>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</si>
  <si>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</si>
  <si>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</si>
  <si>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</si>
  <si>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</si>
  <si>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</si>
  <si>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</si>
  <si>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</si>
  <si>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</si>
  <si>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</si>
  <si>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</si>
  <si>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</si>
  <si>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</si>
  <si>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</si>
  <si>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</si>
  <si>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</si>
  <si>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</si>
  <si>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</si>
  <si>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</si>
  <si>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</si>
  <si>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</si>
  <si>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</si>
  <si>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</si>
  <si>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</si>
  <si>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</si>
  <si>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</si>
  <si>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</si>
  <si>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</si>
  <si>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</si>
  <si>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</si>
  <si>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</si>
  <si>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</si>
  <si>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</si>
  <si>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</si>
  <si>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</si>
  <si>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</si>
  <si>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</si>
  <si>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</si>
  <si>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</si>
  <si>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</si>
  <si>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</si>
  <si>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</si>
  <si>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</si>
  <si>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</si>
  <si>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</si>
  <si>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</si>
  <si>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</si>
  <si>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</si>
  <si>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</si>
  <si>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</si>
  <si>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</si>
  <si>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</si>
  <si>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</si>
  <si>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</si>
  <si>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</si>
  <si>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</si>
  <si>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</si>
  <si>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</si>
  <si>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</si>
  <si>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</si>
  <si>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</si>
  <si>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</si>
  <si>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</si>
  <si>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</si>
  <si>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</si>
  <si>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</si>
  <si>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</si>
  <si>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</si>
  <si>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</si>
  <si>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</si>
  <si>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</si>
  <si>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</si>
  <si>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</si>
  <si>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</si>
  <si>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</si>
  <si>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</si>
  <si>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</si>
  <si>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</si>
  <si>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</si>
  <si>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</si>
  <si>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</si>
  <si>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</si>
  <si>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</si>
  <si>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</si>
  <si>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</si>
  <si>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</si>
  <si>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</si>
  <si>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</si>
  <si>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</si>
  <si>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</si>
  <si>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</si>
  <si>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</si>
  <si>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</si>
  <si>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</si>
  <si>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</si>
  <si>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</si>
  <si>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</si>
  <si>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</si>
  <si>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</si>
  <si>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</si>
  <si>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</si>
  <si>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</si>
  <si>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</si>
  <si>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</si>
  <si>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</si>
  <si>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</si>
  <si>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</si>
  <si>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</si>
  <si>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</si>
  <si>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</si>
  <si>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</si>
  <si>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</si>
  <si>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</si>
  <si>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</si>
  <si>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</si>
  <si>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</si>
  <si>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</si>
  <si>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</si>
  <si>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</si>
  <si>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</si>
  <si>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</si>
  <si>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</si>
  <si>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</si>
  <si>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</si>
  <si>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</si>
  <si>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</si>
  <si>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</si>
  <si>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</si>
  <si>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</si>
  <si>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</si>
  <si>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</si>
  <si>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</si>
  <si>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</si>
  <si>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</si>
  <si>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</si>
  <si>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</si>
  <si>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</si>
  <si>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</si>
  <si>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</si>
  <si>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</si>
  <si>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</si>
  <si>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</si>
  <si>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</si>
  <si>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</si>
  <si>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</si>
  <si>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</si>
  <si>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</si>
  <si>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</si>
  <si>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</si>
  <si>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</si>
  <si>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</si>
  <si>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</si>
  <si>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</si>
  <si>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</si>
  <si>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</si>
  <si>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</si>
  <si>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</si>
  <si>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</si>
  <si>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</si>
  <si>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</si>
  <si>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</si>
  <si>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</si>
  <si>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</si>
  <si>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</si>
  <si>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</si>
  <si>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</si>
  <si>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</si>
  <si>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</si>
  <si>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</si>
  <si>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</si>
  <si>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</si>
  <si>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</si>
  <si>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</si>
  <si>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</si>
  <si>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</si>
  <si>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</si>
  <si>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</si>
  <si>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</si>
  <si>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</si>
  <si>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</si>
  <si>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</si>
  <si>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</si>
  <si>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</si>
  <si>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</si>
  <si>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</si>
  <si>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</si>
  <si>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</si>
  <si>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</si>
  <si>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</si>
  <si>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</si>
  <si>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</si>
  <si>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</si>
  <si>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</si>
  <si>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</si>
  <si>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</si>
  <si>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</si>
  <si>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</si>
  <si>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</si>
  <si>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</si>
  <si>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</si>
  <si>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</si>
  <si>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</si>
  <si>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</si>
  <si>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</si>
  <si>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</si>
  <si>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</si>
  <si>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</si>
  <si>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</si>
  <si>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</si>
  <si>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</si>
  <si>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</si>
  <si>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</si>
  <si>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</si>
  <si>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</si>
  <si>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</si>
  <si>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</si>
  <si>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</si>
  <si>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</si>
  <si>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</si>
  <si>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</si>
  <si>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</si>
  <si>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</si>
  <si>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</si>
  <si>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</si>
  <si>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</si>
  <si>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</si>
  <si>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</si>
  <si>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</si>
  <si>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</si>
  <si>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</si>
  <si>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</si>
  <si>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</si>
  <si>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</si>
  <si>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</si>
  <si>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</si>
  <si>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</si>
  <si>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</si>
  <si>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</si>
  <si>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</si>
  <si>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</si>
  <si>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</si>
  <si>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</si>
  <si>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</si>
  <si>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</si>
  <si>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</si>
  <si>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</si>
  <si>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</si>
  <si>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</si>
  <si>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</si>
  <si>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</si>
  <si>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</si>
  <si>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</si>
  <si>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</si>
  <si>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</si>
  <si>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</si>
  <si>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</si>
  <si>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</si>
  <si>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</si>
  <si>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</si>
  <si>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</si>
  <si>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</si>
  <si>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</si>
  <si>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</si>
  <si>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</si>
  <si>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</si>
  <si>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</si>
  <si>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</si>
  <si>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</si>
  <si>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</si>
  <si>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</si>
  <si>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</si>
  <si>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</si>
  <si>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</si>
  <si>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</si>
  <si>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</si>
  <si>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</si>
  <si>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</si>
  <si>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</si>
  <si>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</si>
  <si>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</si>
  <si>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</si>
  <si>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</si>
  <si>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</si>
  <si>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</si>
  <si>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</si>
  <si>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</si>
  <si>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</si>
  <si>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</si>
  <si>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</si>
  <si>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</si>
  <si>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</si>
  <si>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</si>
  <si>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</si>
  <si>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</si>
  <si>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</si>
  <si>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</si>
  <si>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</si>
  <si>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</si>
  <si>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</si>
  <si>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</si>
  <si>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</si>
  <si>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</si>
  <si>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</si>
  <si>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</si>
  <si>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</si>
  <si>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</si>
  <si>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</si>
  <si>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</si>
  <si>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</si>
  <si>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</si>
  <si>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</si>
  <si>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</si>
  <si>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</si>
  <si>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</si>
  <si>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</si>
  <si>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</si>
  <si>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</si>
  <si>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</si>
  <si>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</si>
  <si>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</si>
  <si>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</si>
  <si>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</si>
  <si>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</si>
  <si>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</si>
  <si>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</si>
  <si>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</si>
  <si>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</si>
  <si>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</si>
  <si>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</si>
  <si>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</si>
  <si>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</si>
  <si>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</si>
  <si>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</si>
  <si>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</si>
  <si>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</si>
  <si>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</si>
  <si>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</si>
  <si>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</si>
  <si>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</si>
  <si>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</si>
  <si>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</si>
  <si>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</si>
  <si>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</si>
  <si>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</si>
  <si>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</si>
  <si>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</si>
  <si>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</si>
  <si>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</si>
  <si>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</si>
  <si>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</si>
  <si>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</si>
  <si>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</si>
  <si>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</si>
  <si>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</si>
  <si>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</si>
  <si>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</si>
  <si>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</si>
  <si>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</si>
  <si>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</si>
  <si>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</si>
  <si>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</si>
  <si>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</si>
  <si>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</si>
  <si>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</si>
  <si>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</si>
  <si>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</si>
  <si>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</si>
  <si>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</si>
  <si>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</si>
  <si>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</si>
  <si>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</si>
  <si>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</si>
  <si>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</si>
  <si>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</si>
  <si>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</si>
  <si>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</si>
  <si>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</si>
  <si>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</si>
  <si>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</si>
  <si>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</si>
  <si>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</si>
  <si>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</si>
  <si>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</si>
  <si>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</si>
  <si>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</si>
  <si>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</si>
  <si>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</si>
  <si>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</si>
  <si>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</si>
  <si>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</si>
  <si>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</si>
  <si>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</si>
  <si>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</si>
  <si>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</si>
  <si>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</si>
  <si>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</si>
  <si>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</si>
  <si>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</si>
  <si>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</si>
  <si>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</si>
  <si>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</si>
  <si>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</si>
  <si>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</si>
  <si>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</si>
  <si>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</si>
  <si>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</si>
  <si>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</si>
  <si>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</si>
  <si>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</si>
  <si>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</si>
  <si>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</si>
  <si>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</si>
  <si>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</si>
  <si>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</si>
  <si>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</si>
  <si>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</si>
  <si>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</si>
  <si>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</si>
  <si>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</si>
  <si>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</si>
  <si>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</si>
  <si>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</si>
  <si>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</si>
  <si>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</si>
  <si>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</si>
  <si>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</si>
  <si>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</si>
  <si>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</si>
  <si>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</si>
  <si>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</si>
  <si>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</si>
  <si>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</si>
  <si>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</si>
  <si>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</si>
  <si>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</si>
  <si>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</si>
  <si>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</si>
  <si>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</si>
  <si>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</si>
  <si>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</si>
  <si>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</si>
  <si>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</si>
  <si>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</si>
  <si>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</si>
  <si>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</si>
  <si>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</si>
  <si>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</si>
  <si>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</si>
  <si>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</si>
  <si>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</si>
  <si>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</si>
  <si>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</si>
  <si>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</si>
  <si>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</si>
  <si>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</si>
  <si>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</si>
  <si>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</si>
  <si>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</si>
  <si>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</si>
  <si>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</si>
  <si>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</si>
  <si>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</si>
  <si>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</si>
  <si>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</si>
  <si>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</si>
  <si>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</si>
  <si>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</si>
  <si>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</si>
  <si>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</si>
  <si>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</si>
  <si>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</si>
  <si>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</si>
  <si>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</si>
  <si>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</si>
  <si>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</si>
  <si>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</si>
  <si>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</si>
  <si>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</si>
  <si>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</si>
  <si>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</si>
  <si>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</si>
  <si>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</si>
  <si>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</si>
  <si>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</si>
  <si>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</si>
  <si>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</si>
  <si>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</si>
  <si>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</si>
  <si>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</si>
  <si>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</si>
  <si>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</si>
  <si>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</si>
  <si>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</si>
  <si>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</si>
  <si>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</si>
  <si>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</si>
  <si>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</si>
  <si>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</si>
  <si>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</si>
  <si>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</si>
  <si>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</si>
  <si>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</si>
  <si>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</si>
  <si>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</si>
  <si>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</si>
  <si>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</si>
  <si>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</si>
  <si>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</si>
  <si>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</si>
  <si>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</si>
  <si>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</si>
  <si>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</si>
  <si>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</si>
  <si>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</si>
  <si>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</si>
  <si>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</si>
  <si>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</si>
  <si>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</si>
  <si>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</si>
  <si>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</si>
  <si>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</si>
  <si>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</si>
  <si>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</si>
  <si>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</si>
  <si>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</si>
  <si>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</si>
  <si>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</si>
  <si>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</si>
  <si>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</si>
  <si>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</si>
  <si>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</si>
  <si>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</si>
  <si>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</si>
  <si>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</si>
  <si>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</si>
  <si>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</si>
  <si>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</si>
  <si>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</si>
  <si>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</si>
  <si>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</si>
  <si>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</si>
  <si>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</si>
  <si>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</si>
  <si>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</si>
  <si>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</si>
  <si>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</si>
  <si>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</si>
  <si>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</si>
  <si>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</si>
  <si>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</si>
  <si>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</si>
  <si>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</si>
  <si>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</si>
  <si>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</si>
  <si>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</si>
  <si>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</si>
  <si>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</si>
  <si>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</si>
  <si>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</si>
  <si>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</si>
  <si>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</si>
  <si>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</si>
  <si>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</si>
  <si>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</si>
  <si>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</si>
  <si>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</si>
  <si>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</si>
  <si>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</si>
  <si>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</si>
  <si>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</si>
  <si>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</si>
  <si>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</si>
  <si>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</si>
  <si>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</si>
  <si>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</si>
  <si>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</si>
  <si>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</si>
  <si>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</si>
  <si>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</si>
  <si>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</si>
  <si>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</si>
  <si>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</si>
  <si>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</si>
  <si>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</si>
  <si>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</si>
  <si>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</si>
  <si>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</si>
  <si>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</si>
  <si>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</si>
  <si>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</si>
  <si>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</si>
  <si>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</si>
  <si>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</si>
  <si>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</si>
  <si>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</si>
  <si>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</si>
  <si>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</si>
  <si>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</si>
  <si>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</si>
  <si>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</si>
  <si>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</si>
  <si>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</si>
  <si>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</si>
  <si>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</si>
  <si>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</si>
  <si>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</si>
  <si>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</si>
  <si>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</si>
  <si>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</si>
  <si>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</si>
  <si>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</si>
  <si>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</si>
  <si>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</si>
  <si>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</si>
  <si>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</si>
  <si>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</si>
  <si>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</si>
  <si>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</si>
  <si>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</si>
  <si>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</si>
  <si>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</si>
  <si>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</si>
  <si>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</si>
  <si>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</si>
  <si>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</si>
  <si>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</si>
  <si>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</si>
  <si>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</si>
  <si>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</si>
  <si>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</si>
  <si>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</si>
  <si>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</si>
  <si>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</si>
  <si>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</si>
  <si>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</si>
  <si>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</si>
  <si>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</si>
  <si>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</si>
  <si>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</si>
  <si>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</si>
  <si>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</si>
  <si>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</si>
  <si>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</si>
  <si>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</si>
  <si>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</si>
  <si>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</si>
  <si>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</si>
  <si>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</si>
  <si>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</si>
  <si>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</si>
  <si>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</si>
  <si>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</si>
  <si>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</si>
  <si>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</si>
  <si>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</si>
  <si>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</si>
  <si>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</si>
  <si>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</si>
  <si>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</si>
  <si>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</si>
  <si>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</si>
  <si>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</si>
  <si>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</si>
  <si>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</si>
  <si>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</si>
  <si>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</si>
  <si>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</si>
  <si>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</si>
  <si>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</si>
  <si>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</si>
  <si>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</si>
  <si>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</si>
  <si>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</si>
  <si>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</si>
  <si>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</si>
  <si>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</si>
  <si>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</si>
  <si>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</si>
  <si>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</si>
  <si>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</si>
  <si>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</si>
  <si>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</si>
  <si>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</si>
  <si>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</si>
  <si>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</si>
  <si>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</si>
  <si>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</si>
  <si>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</si>
  <si>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</si>
  <si>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</si>
  <si>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</si>
  <si>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</si>
  <si>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</si>
  <si>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</si>
  <si>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</si>
  <si>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</si>
  <si>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</si>
  <si>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</si>
  <si>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</si>
  <si>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</si>
  <si>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</si>
  <si>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</si>
  <si>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</si>
  <si>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</si>
  <si>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</si>
  <si>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</si>
  <si>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</si>
  <si>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</si>
  <si>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</si>
  <si>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</si>
  <si>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</si>
  <si>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</si>
  <si>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</si>
  <si>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</si>
  <si>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</si>
  <si>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</si>
  <si>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</si>
  <si>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</si>
  <si>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</si>
  <si>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</si>
  <si>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</si>
  <si>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</si>
  <si>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</si>
  <si>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</si>
  <si>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</si>
  <si>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</si>
  <si>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</si>
  <si>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</si>
  <si>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</si>
  <si>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</si>
  <si>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</si>
  <si>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</si>
  <si>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</si>
  <si>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</si>
  <si>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</si>
  <si>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</si>
  <si>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</si>
  <si>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</si>
  <si>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</si>
  <si>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</si>
  <si>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</si>
  <si>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</si>
  <si>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</si>
  <si>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</si>
  <si>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</si>
  <si>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</si>
  <si>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</si>
  <si>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</si>
  <si>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</si>
  <si>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</si>
  <si>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</si>
  <si>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</si>
  <si>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</si>
  <si>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</si>
  <si>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</si>
  <si>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</si>
  <si>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</si>
  <si>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</si>
  <si>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</si>
  <si>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</si>
  <si>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</si>
  <si>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</si>
  <si>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</si>
  <si>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</si>
  <si>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</si>
  <si>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</si>
  <si>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</si>
  <si>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</si>
  <si>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</si>
  <si>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</si>
  <si>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</si>
  <si>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</si>
  <si>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</si>
  <si>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</si>
  <si>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</si>
  <si>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</si>
  <si>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</si>
  <si>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</si>
  <si>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</si>
  <si>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</si>
  <si>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</si>
  <si>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</si>
  <si>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</si>
  <si>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</si>
  <si>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</si>
  <si>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</si>
  <si>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</si>
  <si>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</si>
  <si>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</si>
  <si>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</si>
  <si>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</si>
  <si>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</si>
  <si>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</si>
  <si>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</si>
  <si>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</si>
  <si>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</si>
  <si>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</si>
  <si>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</si>
  <si>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</si>
  <si>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</si>
  <si>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</si>
  <si>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</si>
  <si>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</si>
  <si>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</si>
  <si>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</si>
  <si>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</si>
  <si>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</si>
  <si>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</si>
  <si>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</si>
  <si>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</si>
  <si>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</si>
  <si>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</si>
  <si>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</si>
  <si>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</si>
  <si>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</si>
  <si>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</si>
  <si>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</si>
  <si>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</si>
  <si>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</si>
  <si>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</si>
  <si>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</si>
  <si>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</si>
  <si>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</si>
  <si>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</si>
  <si>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</si>
  <si>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</si>
  <si>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</si>
  <si>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</si>
  <si>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</si>
  <si>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</si>
  <si>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</si>
  <si>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</si>
  <si>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</si>
  <si>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</si>
  <si>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</si>
  <si>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</si>
  <si>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</si>
  <si>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</si>
  <si>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</si>
  <si>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</si>
  <si>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</si>
  <si>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</si>
  <si>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</si>
  <si>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</si>
  <si>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</si>
  <si>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</si>
  <si>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</si>
  <si>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</si>
  <si>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</si>
  <si>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</si>
  <si>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</si>
  <si>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</si>
  <si>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</si>
  <si>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</si>
  <si>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</si>
  <si>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</si>
  <si>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</si>
  <si>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</si>
  <si>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</si>
  <si>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</si>
  <si>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</si>
  <si>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</si>
  <si>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</si>
  <si>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</si>
  <si>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</si>
  <si>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</si>
  <si>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</si>
  <si>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</si>
  <si>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</si>
  <si>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</si>
  <si>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</si>
  <si>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</si>
  <si>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</si>
  <si>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</si>
  <si>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</si>
  <si>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</si>
  <si>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</si>
  <si>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</si>
  <si>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</si>
  <si>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</si>
  <si>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</si>
  <si>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</si>
  <si>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</si>
  <si>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</si>
  <si>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</si>
  <si>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</si>
  <si>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</si>
  <si>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</si>
  <si>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</si>
  <si>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</si>
  <si>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</si>
  <si>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</si>
  <si>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</si>
  <si>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</si>
  <si>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</si>
  <si>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</si>
  <si>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</si>
  <si>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</si>
  <si>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</si>
  <si>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</si>
  <si>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</si>
  <si>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</si>
  <si>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</si>
  <si>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</si>
  <si>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</si>
  <si>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</si>
  <si>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</si>
  <si>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</si>
  <si>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</si>
  <si>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</si>
  <si>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</si>
  <si>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</si>
  <si>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</si>
  <si>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</si>
  <si>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</si>
  <si>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</si>
  <si>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</si>
  <si>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</si>
  <si>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</si>
  <si>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</si>
  <si>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</si>
  <si>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</si>
  <si>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</si>
  <si>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</si>
  <si>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</si>
  <si>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</si>
  <si>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</si>
  <si>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</si>
  <si>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</si>
  <si>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</si>
  <si>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</si>
  <si>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</si>
  <si>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</si>
  <si>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</si>
  <si>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</si>
  <si>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</si>
  <si>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</si>
  <si>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</si>
  <si>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</si>
  <si>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</si>
  <si>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</si>
  <si>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</si>
  <si>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</si>
  <si>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</si>
  <si>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</si>
  <si>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</si>
  <si>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</si>
  <si>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</si>
  <si>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</si>
  <si>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</si>
  <si>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</si>
  <si>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</si>
  <si>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</si>
  <si>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</si>
  <si>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</si>
  <si>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</si>
  <si>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</si>
  <si>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</si>
  <si>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</si>
  <si>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</si>
  <si>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</si>
  <si>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</si>
  <si>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</si>
  <si>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</si>
  <si>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</si>
  <si>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</si>
  <si>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</si>
  <si>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</si>
  <si>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</si>
  <si>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</si>
  <si>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</si>
  <si>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</si>
  <si>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</si>
  <si>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</si>
  <si>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</si>
  <si>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</si>
  <si>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</si>
  <si>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</si>
  <si>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</si>
  <si>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</si>
  <si>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</si>
  <si>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</si>
  <si>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</si>
  <si>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</si>
  <si>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</si>
  <si>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</si>
  <si>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</si>
  <si>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</si>
  <si>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</si>
  <si>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</si>
  <si>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</si>
  <si>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</si>
  <si>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</si>
  <si>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</si>
  <si>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</si>
  <si>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</si>
  <si>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</si>
  <si>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</si>
  <si>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</si>
  <si>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</si>
  <si>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</si>
  <si>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</si>
  <si>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</si>
  <si>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</si>
  <si>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</si>
  <si>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</si>
  <si>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</si>
  <si>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</si>
  <si>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</si>
  <si>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</si>
  <si>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</si>
  <si>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</si>
  <si>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</si>
  <si>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</si>
  <si>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</si>
  <si>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</si>
  <si>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</si>
  <si>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</si>
  <si>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</si>
  <si>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</si>
  <si>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</si>
  <si>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</si>
  <si>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</si>
  <si>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</si>
  <si>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</si>
  <si>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</si>
  <si>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</si>
  <si>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</si>
  <si>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</si>
  <si>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</si>
  <si>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</si>
  <si>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</si>
  <si>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</si>
  <si>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</si>
  <si>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</si>
  <si>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</si>
  <si>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</si>
  <si>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</si>
  <si>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</si>
  <si>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</si>
  <si>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</si>
  <si>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</si>
  <si>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</si>
  <si>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</si>
  <si>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</si>
  <si>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</si>
  <si>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</si>
  <si>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</si>
  <si>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</si>
  <si>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</si>
  <si>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</si>
  <si>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</si>
  <si>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</si>
  <si>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</si>
  <si>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</si>
  <si>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</si>
  <si>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</si>
  <si>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</si>
  <si>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</si>
  <si>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</si>
  <si>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</si>
  <si>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</si>
  <si>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</si>
  <si>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</si>
  <si>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</si>
  <si>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</si>
  <si>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</si>
  <si>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</si>
  <si>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</si>
  <si>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</si>
  <si>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</si>
  <si>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</si>
  <si>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</si>
  <si>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</si>
  <si>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</si>
  <si>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</si>
  <si>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</si>
  <si>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</si>
  <si>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</si>
  <si>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</si>
  <si>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</si>
  <si>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</si>
  <si>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</si>
  <si>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</si>
  <si>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</si>
  <si>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</si>
  <si>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</si>
  <si>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</si>
  <si>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</si>
  <si>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</si>
  <si>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</si>
  <si>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</si>
  <si>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</si>
  <si>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</si>
  <si>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</si>
  <si>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</si>
  <si>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</si>
  <si>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</si>
  <si>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</si>
  <si>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</si>
  <si>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</si>
  <si>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</si>
  <si>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</si>
  <si>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</si>
  <si>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</si>
  <si>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</si>
  <si>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</si>
  <si>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</si>
  <si>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</si>
  <si>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</si>
  <si>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</si>
  <si>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</si>
  <si>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</si>
  <si>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</si>
  <si>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</si>
  <si>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</si>
  <si>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</si>
  <si>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</si>
  <si>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</si>
  <si>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</si>
  <si>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</si>
  <si>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</si>
  <si>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</si>
  <si>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</si>
  <si>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</si>
  <si>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</si>
  <si>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</si>
  <si>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</si>
  <si>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</si>
  <si>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</si>
  <si>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</si>
  <si>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</si>
  <si>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</si>
  <si>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</si>
  <si>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</si>
  <si>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</si>
  <si>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</si>
  <si>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</si>
  <si>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</si>
  <si>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</si>
  <si>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</si>
  <si>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</si>
  <si>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</si>
  <si>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</si>
  <si>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</si>
  <si>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</si>
  <si>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</si>
  <si>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</si>
  <si>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</si>
  <si>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</si>
  <si>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</si>
  <si>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</si>
  <si>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</si>
  <si>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</si>
  <si>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</si>
  <si>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</si>
  <si>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</si>
  <si>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</si>
  <si>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</si>
  <si>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</si>
  <si>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</si>
  <si>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</si>
  <si>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</si>
  <si>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</si>
  <si>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</si>
  <si>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</si>
  <si>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</si>
  <si>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</si>
  <si>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</si>
  <si>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</si>
  <si>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</si>
  <si>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</si>
  <si>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</si>
  <si>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</si>
  <si>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</si>
  <si>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</si>
  <si>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</si>
  <si>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</si>
  <si>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</si>
  <si>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</si>
  <si>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</si>
  <si>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</si>
  <si>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</si>
  <si>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</si>
  <si>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</si>
  <si>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</si>
  <si>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</si>
  <si>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</si>
  <si>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</si>
  <si>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</si>
  <si>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</si>
  <si>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</si>
  <si>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</si>
  <si>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</si>
  <si>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</si>
  <si>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</si>
  <si>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</si>
  <si>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</si>
  <si>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</si>
  <si>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</si>
  <si>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</si>
  <si>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</si>
  <si>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</si>
  <si>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</si>
  <si>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</si>
  <si>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</si>
  <si>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</si>
  <si>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</si>
  <si>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</si>
  <si>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</si>
  <si>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</si>
  <si>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</si>
  <si>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</si>
  <si>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</si>
  <si>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</si>
  <si>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</si>
  <si>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</si>
  <si>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</si>
  <si>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</si>
  <si>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</si>
  <si>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</si>
  <si>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</si>
  <si>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</si>
  <si>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</si>
  <si>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</si>
  <si>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</si>
  <si>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</si>
  <si>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</si>
  <si>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</si>
  <si>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</si>
  <si>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</si>
  <si>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</si>
  <si>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</si>
  <si>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</si>
  <si>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</si>
  <si>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</si>
  <si>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</si>
  <si>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</si>
  <si>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</si>
  <si>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</si>
  <si>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</si>
  <si>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</si>
  <si>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</si>
  <si>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</si>
  <si>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</si>
  <si>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</si>
  <si>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</si>
  <si>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</si>
  <si>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</si>
  <si>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</si>
  <si>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</si>
  <si>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</si>
  <si>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Wayne</t>
  </si>
  <si>
    <t>Route 4 Box 243</t>
  </si>
  <si>
    <t>Fairfield</t>
  </si>
  <si>
    <t>Kemper CPA Group LLP</t>
  </si>
  <si>
    <t>Krista McLaren</t>
  </si>
  <si>
    <t>703 W. Main St, PO Box 447</t>
  </si>
  <si>
    <t>Olney</t>
  </si>
  <si>
    <t>IL</t>
  </si>
  <si>
    <t>618-395-2105</t>
  </si>
  <si>
    <t>618-395-7079</t>
  </si>
  <si>
    <t>kmclaren@kempercpa.com</t>
  </si>
  <si>
    <t>Julie Harrelson</t>
  </si>
  <si>
    <t>jharrelson@gmail.com</t>
  </si>
  <si>
    <t>618-842-3296</t>
  </si>
  <si>
    <t>618-847-7000</t>
  </si>
  <si>
    <t>2013 Series Bond</t>
  </si>
  <si>
    <t>Activity Bus Lease (1)</t>
  </si>
  <si>
    <t>Transportation Bus Lease (3)</t>
  </si>
  <si>
    <t>2019 Series Bond</t>
  </si>
  <si>
    <t>Capital Lease</t>
  </si>
  <si>
    <t>Building - Operation &amp; Maintenance of Plant Services - Building Services</t>
  </si>
  <si>
    <t>Clearwave Communications</t>
  </si>
  <si>
    <t>Building - Operation &amp; Maintenance of Plant Services - Trash Removal</t>
  </si>
  <si>
    <t>Johnston Sanitation</t>
  </si>
  <si>
    <t>Maxitrol Security Systems</t>
  </si>
  <si>
    <t>Education - Regular Programs - Copy Machine Rental Maint</t>
  </si>
  <si>
    <t>US Bancorp</t>
  </si>
  <si>
    <t>Verizon Wireless</t>
  </si>
  <si>
    <t>Education - Regular Programs - Regular Ed Purchased Service</t>
  </si>
  <si>
    <t>IXL Learning</t>
  </si>
  <si>
    <t>Renaissance Learning</t>
  </si>
  <si>
    <t>Education - Food Services - Food/Purchased Service</t>
  </si>
  <si>
    <t>Rodlan Lunch System</t>
  </si>
  <si>
    <t>Specialized Data Systems</t>
  </si>
  <si>
    <t>Wabash and Ohio Valley Special Education (See below)</t>
  </si>
  <si>
    <t>Line 26 - School districts in the Illinois counties of Edwards, Gallatin, Hamilton, Hardin, Pope, Saline, Wabash, Wayne, and White.</t>
  </si>
  <si>
    <t>N/A</t>
  </si>
  <si>
    <t>District personnel do not possess the necessary technical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</si>
  <si>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training, and expertise to draft the footnotes to the financial statements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</si>
  <si>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</si>
  <si>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financail statements in accordance with the financial reporting provisions of the Illinois State Board of Education.</t>
  </si>
  <si>
    <t>The District's personnel have not obtained the necessary knowledge, training, or expertise.</t>
  </si>
  <si>
    <t xml:space="preserve">The District should provide the necessary training to personnel or contract with an outside independent contractor with the knowledge to properly prepare the notes to the financial statements. </t>
  </si>
  <si>
    <t>The District does not intend to correct the finding in the next fiscal year.</t>
  </si>
  <si>
    <t>Lack of segregation of duties over cash receipts and disbursements.</t>
  </si>
  <si>
    <t>The District does not currently employ enough people to adequately segregate duties.</t>
  </si>
  <si>
    <t>The District is limited in its ability to segregate certain duties because of its size and number of employees. There is not enough financial flexibility to employ enough individuals to properly segregate these duties. As such, the functions defined above are all handled by a small group within the District.</t>
  </si>
  <si>
    <t>The District cannot adequately segregate duties.</t>
  </si>
  <si>
    <t>The District does not have sufficient revenues or budget capiacity to employ additional staff to be available full-time to segregate duties over these functions.</t>
  </si>
  <si>
    <t>The District should assess its control environment and work to place compensating controls in place. However, relying solely on compensating controls typically means accepting a certain level of risk in the time it takes to detect a breakdown of internal control rather than preventing it before it happens.</t>
  </si>
  <si>
    <t>The District will work to ensure compensating controls are maintained for these functions.</t>
  </si>
  <si>
    <t>2019-001</t>
  </si>
  <si>
    <t>The District does not currently employ an</t>
  </si>
  <si>
    <t>individual with the necessary knowledge,</t>
  </si>
  <si>
    <t>the financial statements.</t>
  </si>
  <si>
    <t>Repeated as 2020-001</t>
  </si>
  <si>
    <t>2019-002</t>
  </si>
  <si>
    <t>The District does not currently employ enough</t>
  </si>
  <si>
    <t>people to adequately segregate duties.</t>
  </si>
  <si>
    <t>Repeated as 2020-002</t>
  </si>
  <si>
    <t xml:space="preserve">training, and expertise to draft the footnotes to </t>
  </si>
  <si>
    <t>Part C, Number 23: The Auditor's Report contains a qualified opinion because the financial statements do not include disclosures regarding postemployment health insurance benefits required by the financial reporting provisions of the ISBE.</t>
  </si>
  <si>
    <t>Page 10, Line 74: Other Food Service - Other Sales - $49</t>
  </si>
  <si>
    <t>Page 10, Line 107: Other Local Revenues - Other local receipts - $199</t>
  </si>
  <si>
    <t>Page 14, Line 265: Other Restricted Revenue from Federal Sources - REAP Grant - $11,852</t>
  </si>
  <si>
    <t>Operations and Maintenance</t>
  </si>
  <si>
    <t>Page 10, Line 107: Other Local Revenues - Other local receipts - $983</t>
  </si>
  <si>
    <t>Page 18, Line 171: Debt Services - Other - Debt services fees - $200</t>
  </si>
  <si>
    <t>Page 10, Line 107: Other Local Revenues - Other local receipts - $100</t>
  </si>
  <si>
    <t>Page 18, Line 180: Other Support Services - Pupils - Object 100: Salaries Administation - $4,667; Object 200: Benefits</t>
  </si>
  <si>
    <t>Administration - $574</t>
  </si>
  <si>
    <t>Page 19, Line 237: Other Support Services - Pupils - Object 200: Benefit Administration - $79</t>
  </si>
  <si>
    <t>Schedule of Long Term Debt</t>
  </si>
  <si>
    <t>ended June 30, 2020, the District paid down $34,427 in principal ($27,435 for the 3 passenger buses and $6,992 for the activity bus). See</t>
  </si>
  <si>
    <t>Note 7 to the financial statements for more detail.</t>
  </si>
  <si>
    <t>Page 24, Lines 32 and 33: Activity related to capital leases of the Transportation Fund for the purchase of 3 passenger buses and an</t>
  </si>
  <si>
    <t>activity bus. Total capital debt leased is $279,785 ($244,800 for the 3 passenger buses and $34,985 for the activity bus). During the year</t>
  </si>
  <si>
    <t>New Hope CCSD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</si>
</sst>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65" fillId="0" borderId="78" xfId="0" applyFont="1" applyBorder="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2</xdr:row>
          <xdr:rowOff>114300</xdr:rowOff>
        </xdr:from>
        <xdr:to>
          <xdr:col>1</xdr:col>
          <xdr:colOff>847725</xdr:colOff>
          <xdr:row>6</xdr:row>
          <xdr:rowOff>152400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923925</xdr:colOff>
          <xdr:row>2</xdr:row>
          <xdr:rowOff>114300</xdr:rowOff>
        </xdr:from>
        <xdr:to>
          <xdr:col>1</xdr:col>
          <xdr:colOff>1838325</xdr:colOff>
          <xdr:row>6</xdr:row>
          <xdr:rowOff>152400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2</xdr:row>
          <xdr:rowOff>114300</xdr:rowOff>
        </xdr:from>
        <xdr:to>
          <xdr:col>1</xdr:col>
          <xdr:colOff>2838450</xdr:colOff>
          <xdr:row>6</xdr:row>
          <xdr:rowOff>152400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2914650</xdr:colOff>
          <xdr:row>2</xdr:row>
          <xdr:rowOff>114300</xdr:rowOff>
        </xdr:from>
        <xdr:to>
          <xdr:col>1</xdr:col>
          <xdr:colOff>3829050</xdr:colOff>
          <xdr:row>6</xdr:row>
          <xdr:rowOff>152400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2051</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20096006004</v>
      </c>
      <c r="B13" s="2103"/>
      <c r="C13" s="2103"/>
      <c r="D13" s="2103"/>
      <c r="E13" s="2103"/>
      <c r="F13" s="2103"/>
      <c r="G13" s="2103"/>
      <c r="H13" s="2104"/>
      <c r="I13" s="31"/>
      <c r="J13" s="30"/>
      <c r="K13" s="28"/>
      <c r="L13" s="30"/>
      <c r="M13" s="30"/>
      <c r="N13" s="30"/>
      <c r="O13" s="30"/>
      <c r="P13" s="30"/>
      <c r="Q13" s="30"/>
      <c r="R13" s="30"/>
      <c r="S13" s="30"/>
      <c r="T13" s="2108" t="s">
        <v>2055</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2052</v>
      </c>
      <c r="B15" s="2106"/>
      <c r="C15" s="2106"/>
      <c r="D15" s="2106"/>
      <c r="E15" s="2106"/>
      <c r="F15" s="2106"/>
      <c r="G15" s="2106"/>
      <c r="H15" s="2107"/>
      <c r="T15" s="2112" t="s">
        <v>2056</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2129</v>
      </c>
      <c r="B17" s="2076"/>
      <c r="C17" s="2076"/>
      <c r="D17" s="2076"/>
      <c r="E17" s="2076"/>
      <c r="F17" s="2076"/>
      <c r="G17" s="2076"/>
      <c r="H17" s="2101"/>
      <c r="T17" s="2119" t="s">
        <v>2057</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2053</v>
      </c>
      <c r="B19" s="2061"/>
      <c r="C19" s="2061"/>
      <c r="D19" s="2061"/>
      <c r="E19" s="2061"/>
      <c r="F19" s="2061"/>
      <c r="G19" s="2061"/>
      <c r="H19" s="2041"/>
      <c r="I19" s="30"/>
      <c r="J19" s="96"/>
      <c r="K19" s="40"/>
      <c r="L19" s="38"/>
      <c r="M19" s="109" t="s">
        <v>312</v>
      </c>
      <c r="P19" s="27"/>
      <c r="Q19" s="27"/>
      <c r="R19" s="27"/>
      <c r="S19" s="31"/>
      <c r="T19" s="2105" t="s">
        <v>2058</v>
      </c>
      <c r="U19" s="2040"/>
      <c r="V19" s="2040"/>
      <c r="W19" s="2041"/>
      <c r="X19" s="2117" t="s">
        <v>2059</v>
      </c>
      <c r="Y19" s="2118"/>
      <c r="Z19" s="2115">
        <v>62450</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2054</v>
      </c>
      <c r="B21" s="2040"/>
      <c r="C21" s="2040"/>
      <c r="D21" s="2040"/>
      <c r="E21" s="2040"/>
      <c r="F21" s="2040"/>
      <c r="G21" s="2040"/>
      <c r="H21" s="2041"/>
      <c r="I21" s="2095" t="s">
        <v>673</v>
      </c>
      <c r="J21" s="2090"/>
      <c r="K21" s="2090"/>
      <c r="L21" s="2090"/>
      <c r="M21" s="2090"/>
      <c r="N21" s="2090"/>
      <c r="O21" s="2090"/>
      <c r="P21" s="2090"/>
      <c r="Q21" s="2090"/>
      <c r="R21" s="2090"/>
      <c r="S21" s="2096"/>
      <c r="T21" s="2130" t="s">
        <v>2060</v>
      </c>
      <c r="U21" s="2131"/>
      <c r="V21" s="2131"/>
      <c r="W21" s="2131"/>
      <c r="X21" s="2136" t="s">
        <v>2061</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65.032562999999996</v>
      </c>
      <c r="U23" s="2129"/>
      <c r="V23" s="2129"/>
      <c r="W23" s="2129"/>
      <c r="X23" s="2133">
        <v>44469</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62837</v>
      </c>
      <c r="B25" s="2040"/>
      <c r="C25" s="2040"/>
      <c r="D25" s="2040"/>
      <c r="E25" s="2040"/>
      <c r="F25" s="2040"/>
      <c r="G25" s="2040"/>
      <c r="H25" s="2041"/>
      <c r="I25" s="110"/>
      <c r="J25" s="2064"/>
      <c r="K25" s="2064"/>
      <c r="L25" s="2064"/>
      <c r="M25" s="2064"/>
      <c r="N25" s="2064"/>
      <c r="O25" s="2064"/>
      <c r="P25" s="2064"/>
      <c r="Q25" s="2064"/>
      <c r="R25" s="2064"/>
      <c r="S25" s="2065"/>
      <c r="T25" s="2126" t="s">
        <v>2062</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2063</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2064</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2065</v>
      </c>
      <c r="B42" s="2059"/>
      <c r="C42" s="2060"/>
      <c r="D42" s="2058" t="s">
        <v>2066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H13" sqref="H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196833</v>
      </c>
      <c r="C4" s="1722"/>
      <c r="D4" s="1723">
        <f>B4-C4</f>
        <v>196833</v>
      </c>
      <c r="E4" s="1722">
        <v>262373</v>
      </c>
      <c r="F4" s="1723">
        <f>E4-C4</f>
        <v>262373</v>
      </c>
    </row>
    <row r="5" spans="1:8" ht="13.7" customHeight="1" x14ac:dyDescent="0.2">
      <c r="A5" s="579" t="s">
        <v>865</v>
      </c>
      <c r="B5" s="1724">
        <f>'Revenues 9-14'!D5</f>
        <v>53558</v>
      </c>
      <c r="C5" s="1664"/>
      <c r="D5" s="1725">
        <f t="shared" ref="D5:D18" si="0">B5-C5</f>
        <v>53558</v>
      </c>
      <c r="E5" s="1664">
        <v>71297</v>
      </c>
      <c r="F5" s="1725">
        <f>E5-C5</f>
        <v>71297</v>
      </c>
    </row>
    <row r="6" spans="1:8" ht="13.7" customHeight="1" x14ac:dyDescent="0.2">
      <c r="A6" s="579" t="s">
        <v>408</v>
      </c>
      <c r="B6" s="1724">
        <f>'Revenues 9-14'!E5</f>
        <v>60593</v>
      </c>
      <c r="C6" s="1664"/>
      <c r="D6" s="1725">
        <f t="shared" si="0"/>
        <v>60593</v>
      </c>
      <c r="E6" s="1664">
        <v>75398</v>
      </c>
      <c r="F6" s="1725">
        <f t="shared" ref="F6:F18" si="1">E6-C6</f>
        <v>75398</v>
      </c>
    </row>
    <row r="7" spans="1:8" ht="13.7" customHeight="1" x14ac:dyDescent="0.2">
      <c r="A7" s="579" t="s">
        <v>154</v>
      </c>
      <c r="B7" s="1724">
        <f>'Revenues 9-14'!F5</f>
        <v>25708</v>
      </c>
      <c r="C7" s="1664"/>
      <c r="D7" s="1725">
        <f t="shared" si="0"/>
        <v>25708</v>
      </c>
      <c r="E7" s="1664">
        <v>34223</v>
      </c>
      <c r="F7" s="1725">
        <f t="shared" si="1"/>
        <v>34223</v>
      </c>
    </row>
    <row r="8" spans="1:8" ht="13.7" customHeight="1" x14ac:dyDescent="0.2">
      <c r="A8" s="579" t="s">
        <v>1169</v>
      </c>
      <c r="B8" s="1724">
        <f>'Revenues 9-14'!G5</f>
        <v>6059</v>
      </c>
      <c r="C8" s="1664"/>
      <c r="D8" s="1725">
        <f t="shared" si="0"/>
        <v>6059</v>
      </c>
      <c r="E8" s="1664">
        <v>6151</v>
      </c>
      <c r="F8" s="1725">
        <f t="shared" si="1"/>
        <v>6151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10712</v>
      </c>
      <c r="C10" s="1664"/>
      <c r="D10" s="1725">
        <f t="shared" si="0"/>
        <v>10712</v>
      </c>
      <c r="E10" s="1664">
        <v>14259</v>
      </c>
      <c r="F10" s="1725">
        <f t="shared" si="1"/>
        <v>14259</v>
      </c>
    </row>
    <row r="11" spans="1:8" x14ac:dyDescent="0.2">
      <c r="A11" s="579" t="s">
        <v>406</v>
      </c>
      <c r="B11" s="1724">
        <f>'Revenues 9-14'!J5</f>
        <v>127654</v>
      </c>
      <c r="C11" s="1664"/>
      <c r="D11" s="1725">
        <f t="shared" si="0"/>
        <v>127654</v>
      </c>
      <c r="E11" s="1664">
        <v>172208</v>
      </c>
      <c r="F11" s="1725">
        <f t="shared" si="1"/>
        <v>172208</v>
      </c>
    </row>
    <row r="12" spans="1:8" ht="13.7" customHeight="1" x14ac:dyDescent="0.2">
      <c r="A12" s="579" t="s">
        <v>156</v>
      </c>
      <c r="B12" s="1724">
        <f>'Revenues 9-14'!K5</f>
        <v>10712</v>
      </c>
      <c r="C12" s="1664"/>
      <c r="D12" s="1725">
        <f t="shared" si="0"/>
        <v>10712</v>
      </c>
      <c r="E12" s="1664">
        <v>14259</v>
      </c>
      <c r="F12" s="1725">
        <f t="shared" si="1"/>
        <v>14259</v>
      </c>
    </row>
    <row r="13" spans="1:8" ht="13.7" customHeight="1" x14ac:dyDescent="0.2">
      <c r="A13" s="579" t="s">
        <v>930</v>
      </c>
      <c r="B13" s="1724">
        <f>SUM('Revenues 9-14'!C6:D6)</f>
        <v>10712</v>
      </c>
      <c r="C13" s="1664"/>
      <c r="D13" s="1725">
        <f t="shared" si="0"/>
        <v>10712</v>
      </c>
      <c r="E13" s="1664">
        <v>14259</v>
      </c>
      <c r="F13" s="1725">
        <f t="shared" si="1"/>
        <v>14259</v>
      </c>
    </row>
    <row r="14" spans="1:8" ht="13.7" customHeight="1" x14ac:dyDescent="0.2">
      <c r="A14" s="579" t="s">
        <v>407</v>
      </c>
      <c r="B14" s="1724">
        <f>SUM('Revenues 9-14'!C7:D7,'Revenues 9-14'!F7:H7)</f>
        <v>4285</v>
      </c>
      <c r="C14" s="1664"/>
      <c r="D14" s="1725">
        <f t="shared" si="0"/>
        <v>4285</v>
      </c>
      <c r="E14" s="1664">
        <v>5704</v>
      </c>
      <c r="F14" s="1725">
        <f t="shared" si="1"/>
        <v>5704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6059</v>
      </c>
      <c r="C16" s="1664"/>
      <c r="D16" s="1725">
        <f t="shared" si="0"/>
        <v>6059</v>
      </c>
      <c r="E16" s="1664">
        <v>6151</v>
      </c>
      <c r="F16" s="1725">
        <f t="shared" si="1"/>
        <v>6151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512885</v>
      </c>
      <c r="C19" s="1726">
        <f>SUM(C4:C18)</f>
        <v>0</v>
      </c>
      <c r="D19" s="1726">
        <f>SUM(D4:D18)</f>
        <v>512885</v>
      </c>
      <c r="E19" s="1726">
        <f>SUM(E4:E18)</f>
        <v>676282</v>
      </c>
      <c r="F19" s="1726">
        <f>SUM(F4:F18)</f>
        <v>676282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41609</v>
      </c>
      <c r="C31" s="1734">
        <v>200000</v>
      </c>
      <c r="D31" s="1735">
        <v>4</v>
      </c>
      <c r="E31" s="1734">
        <v>38000</v>
      </c>
      <c r="F31" s="1734"/>
      <c r="G31" s="1734"/>
      <c r="H31" s="1734">
        <v>38000</v>
      </c>
      <c r="I31" s="1736">
        <f>((E31+F31)-H31)+G31</f>
        <v>0</v>
      </c>
      <c r="J31" s="1734">
        <f>I31</f>
        <v>0</v>
      </c>
      <c r="K31" s="596"/>
    </row>
    <row r="32" spans="1:11" ht="12" customHeight="1" x14ac:dyDescent="0.2">
      <c r="A32" s="594" t="s">
        <v>2068</v>
      </c>
      <c r="B32" s="595">
        <v>42569</v>
      </c>
      <c r="C32" s="1734">
        <v>34985</v>
      </c>
      <c r="D32" s="1735">
        <v>7</v>
      </c>
      <c r="E32" s="1734">
        <v>14181</v>
      </c>
      <c r="F32" s="1734"/>
      <c r="G32" s="1734">
        <v>-6992</v>
      </c>
      <c r="H32" s="1734"/>
      <c r="I32" s="1736">
        <f>((E32+F32)-H32)+G32</f>
        <v>7189</v>
      </c>
      <c r="J32" s="1734">
        <f>I32</f>
        <v>7189</v>
      </c>
      <c r="K32" s="596"/>
    </row>
    <row r="33" spans="1:11" ht="12" customHeight="1" x14ac:dyDescent="0.2">
      <c r="A33" s="594" t="s">
        <v>2069</v>
      </c>
      <c r="B33" s="595">
        <v>42569</v>
      </c>
      <c r="C33" s="1734">
        <v>244800</v>
      </c>
      <c r="D33" s="1735">
        <v>7</v>
      </c>
      <c r="E33" s="1734">
        <v>160190</v>
      </c>
      <c r="F33" s="1734"/>
      <c r="G33" s="1734">
        <v>-27435</v>
      </c>
      <c r="H33" s="1734"/>
      <c r="I33" s="1736">
        <f t="shared" ref="I33:I48" si="1">((E33+F33)-H33)+G33</f>
        <v>132755</v>
      </c>
      <c r="J33" s="1734">
        <f>I33</f>
        <v>132755</v>
      </c>
      <c r="K33" s="596"/>
    </row>
    <row r="34" spans="1:11" ht="12" customHeight="1" x14ac:dyDescent="0.2">
      <c r="A34" s="594" t="s">
        <v>2070</v>
      </c>
      <c r="B34" s="595">
        <v>43495</v>
      </c>
      <c r="C34" s="1734">
        <v>330000</v>
      </c>
      <c r="D34" s="1735">
        <v>4</v>
      </c>
      <c r="E34" s="1734">
        <v>330000</v>
      </c>
      <c r="F34" s="1734"/>
      <c r="G34" s="1734"/>
      <c r="H34" s="1734">
        <v>8600</v>
      </c>
      <c r="I34" s="1736">
        <f t="shared" si="1"/>
        <v>321400</v>
      </c>
      <c r="J34" s="1734">
        <f>I34-'Assets-Liab 5-6'!E4</f>
        <v>257817</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809785</v>
      </c>
      <c r="D49" s="1742"/>
      <c r="E49" s="1736">
        <f t="shared" ref="E49:J49" si="2">SUM(E31:E48)</f>
        <v>542371</v>
      </c>
      <c r="F49" s="1736">
        <f t="shared" si="2"/>
        <v>0</v>
      </c>
      <c r="G49" s="1736">
        <f t="shared" si="2"/>
        <v>-34427</v>
      </c>
      <c r="H49" s="1736">
        <f t="shared" si="2"/>
        <v>46600</v>
      </c>
      <c r="I49" s="1736">
        <f t="shared" si="2"/>
        <v>461344</v>
      </c>
      <c r="J49" s="1736">
        <f t="shared" si="2"/>
        <v>397761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t="s">
        <v>2071</v>
      </c>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5"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49" sqref="K4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v>24910</v>
      </c>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4285</v>
      </c>
      <c r="I5" s="1750"/>
      <c r="J5" s="1751"/>
      <c r="K5" s="1751"/>
    </row>
    <row r="6" spans="1:11" x14ac:dyDescent="0.2">
      <c r="A6" s="625" t="s">
        <v>715</v>
      </c>
      <c r="B6" s="626"/>
      <c r="C6" s="626"/>
      <c r="D6" s="626"/>
      <c r="E6" s="627"/>
      <c r="F6" s="628" t="s">
        <v>844</v>
      </c>
      <c r="G6" s="1744"/>
      <c r="H6" s="1744"/>
      <c r="I6" s="1744"/>
      <c r="J6" s="1745">
        <v>21</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16373</v>
      </c>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4285</v>
      </c>
      <c r="I12" s="1755">
        <f>SUM(I5:I11)</f>
        <v>0</v>
      </c>
      <c r="J12" s="1755">
        <f>SUM(J5:J11)</f>
        <v>16394</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4285</v>
      </c>
      <c r="I14" s="1749"/>
      <c r="J14" s="1751"/>
      <c r="K14" s="1745"/>
    </row>
    <row r="15" spans="1:11" x14ac:dyDescent="0.2">
      <c r="A15" s="2325" t="s">
        <v>4</v>
      </c>
      <c r="B15" s="2325"/>
      <c r="C15" s="2325"/>
      <c r="D15" s="2325"/>
      <c r="E15" s="2326"/>
      <c r="F15" s="635" t="s">
        <v>850</v>
      </c>
      <c r="G15" s="1749"/>
      <c r="H15" s="1744"/>
      <c r="I15" s="1744"/>
      <c r="J15" s="1745">
        <v>39173</v>
      </c>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4285</v>
      </c>
      <c r="I23" s="1755">
        <f>SUM(I14:I16,I21,I22)</f>
        <v>0</v>
      </c>
      <c r="J23" s="1755">
        <f>SUM(J14:J16,J21,J22)</f>
        <v>39173</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2131</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2131</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Q27" sqref="Q2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15515</v>
      </c>
      <c r="D5" s="1770"/>
      <c r="E5" s="1770"/>
      <c r="F5" s="1765">
        <f>(C5+D5)-E5</f>
        <v>15515</v>
      </c>
      <c r="G5" s="676"/>
      <c r="H5" s="680"/>
      <c r="I5" s="680"/>
      <c r="J5" s="680"/>
      <c r="K5" s="637"/>
      <c r="L5" s="1442">
        <f>F5-K5</f>
        <v>15515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4136679</v>
      </c>
      <c r="D8" s="1771"/>
      <c r="E8" s="1771"/>
      <c r="F8" s="1765">
        <f>(C8+D8)-E8</f>
        <v>4136679</v>
      </c>
      <c r="G8" s="681">
        <v>50</v>
      </c>
      <c r="H8" s="619">
        <v>1558695</v>
      </c>
      <c r="I8" s="619">
        <v>82734</v>
      </c>
      <c r="J8" s="619"/>
      <c r="K8" s="1442">
        <f>(H8+I8)-J8</f>
        <v>1641429</v>
      </c>
      <c r="L8" s="1442">
        <f>F8-K8</f>
        <v>2495250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213517</v>
      </c>
      <c r="D10" s="1772"/>
      <c r="E10" s="1772"/>
      <c r="F10" s="1773">
        <f>(C10+D10)-E10</f>
        <v>213517</v>
      </c>
      <c r="G10" s="681">
        <v>20</v>
      </c>
      <c r="H10" s="683">
        <v>102050</v>
      </c>
      <c r="I10" s="683">
        <v>10676</v>
      </c>
      <c r="J10" s="683"/>
      <c r="K10" s="1442">
        <f>(H10+I10)-J10</f>
        <v>112726</v>
      </c>
      <c r="L10" s="1442">
        <f>F10-K10</f>
        <v>100791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148543</v>
      </c>
      <c r="D12" s="1771">
        <v>2982</v>
      </c>
      <c r="E12" s="1771">
        <v>32903</v>
      </c>
      <c r="F12" s="1765">
        <f>(C12+D12)-E12</f>
        <v>118622</v>
      </c>
      <c r="G12" s="681">
        <v>10</v>
      </c>
      <c r="H12" s="619">
        <v>78598</v>
      </c>
      <c r="I12" s="619">
        <v>15147</v>
      </c>
      <c r="J12" s="619">
        <v>32903</v>
      </c>
      <c r="K12" s="1442">
        <f>(H12+I12)-J12</f>
        <v>60842</v>
      </c>
      <c r="L12" s="1442">
        <f>F12-K12</f>
        <v>57780</v>
      </c>
    </row>
    <row r="13" spans="1:14" ht="14.25" thickTop="1" thickBot="1" x14ac:dyDescent="0.25">
      <c r="A13" s="684" t="s">
        <v>1112</v>
      </c>
      <c r="B13" s="679">
        <v>252</v>
      </c>
      <c r="C13" s="1771">
        <v>279785</v>
      </c>
      <c r="D13" s="1771"/>
      <c r="E13" s="1771"/>
      <c r="F13" s="1765">
        <f>(C13+D13)-E13</f>
        <v>279785</v>
      </c>
      <c r="G13" s="681">
        <v>5</v>
      </c>
      <c r="H13" s="619">
        <v>150328</v>
      </c>
      <c r="I13" s="619">
        <v>55957</v>
      </c>
      <c r="J13" s="619"/>
      <c r="K13" s="1442">
        <f>(H13+I13)-J13</f>
        <v>206285</v>
      </c>
      <c r="L13" s="1442">
        <f>F13-K13</f>
        <v>73500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0</v>
      </c>
      <c r="D15" s="1771">
        <v>187580</v>
      </c>
      <c r="E15" s="1771"/>
      <c r="F15" s="1765">
        <f>(C15+D15)-E15</f>
        <v>187580</v>
      </c>
      <c r="G15" s="685" t="s">
        <v>857</v>
      </c>
      <c r="H15" s="632"/>
      <c r="I15" s="632"/>
      <c r="J15" s="632"/>
      <c r="K15" s="632"/>
      <c r="L15" s="1442">
        <f>F15-K15</f>
        <v>187580</v>
      </c>
    </row>
    <row r="16" spans="1:14" ht="15" customHeight="1" thickTop="1" thickBot="1" x14ac:dyDescent="0.25">
      <c r="A16" s="1438" t="s">
        <v>638</v>
      </c>
      <c r="B16" s="1439">
        <v>200</v>
      </c>
      <c r="C16" s="1765">
        <f>SUM(C3,C5:C6,C8:C10,C12:C15)</f>
        <v>4794039</v>
      </c>
      <c r="D16" s="1765">
        <f>SUM(D3,D5:D6,D8:D10,D12:D15)</f>
        <v>190562</v>
      </c>
      <c r="E16" s="1765">
        <f>SUM(E3,E5:E6,E8:E10,E12:E15)</f>
        <v>32903</v>
      </c>
      <c r="F16" s="1765">
        <f>SUM(F3,F5:F6,F8:F10,F12:F15)</f>
        <v>4951698</v>
      </c>
      <c r="G16" s="681"/>
      <c r="H16" s="1435">
        <f>SUM(H3,H6,H8:H10,H12:H14,)</f>
        <v>1889671</v>
      </c>
      <c r="I16" s="1435">
        <f>SUM(I3,I6,I8:I10,I12:I14,)</f>
        <v>164514</v>
      </c>
      <c r="J16" s="1435">
        <f>SUM(J3,J6,J8:J10,J12:J14,)</f>
        <v>32903</v>
      </c>
      <c r="K16" s="1435">
        <f>(H16+I16)-J16</f>
        <v>2021282</v>
      </c>
      <c r="L16" s="1435">
        <f>F16-K16</f>
        <v>2930416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164514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58" colorId="8" zoomScale="110" zoomScaleNormal="110" workbookViewId="0">
      <selection activeCell="I80" sqref="I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1250445</v>
      </c>
      <c r="G8" s="701"/>
    </row>
    <row r="9" spans="1:9" x14ac:dyDescent="0.2">
      <c r="A9" s="705" t="s">
        <v>457</v>
      </c>
      <c r="B9" s="706" t="s">
        <v>1848</v>
      </c>
      <c r="C9" s="707"/>
      <c r="D9" s="705" t="s">
        <v>498</v>
      </c>
      <c r="E9" s="704"/>
      <c r="F9" s="1775">
        <f>'Expenditures 15-22'!K151</f>
        <v>68965</v>
      </c>
      <c r="G9" s="708"/>
    </row>
    <row r="10" spans="1:9" x14ac:dyDescent="0.2">
      <c r="A10" s="705" t="s">
        <v>496</v>
      </c>
      <c r="B10" s="706" t="s">
        <v>1849</v>
      </c>
      <c r="C10" s="707"/>
      <c r="D10" s="705" t="s">
        <v>498</v>
      </c>
      <c r="E10" s="704"/>
      <c r="F10" s="1775">
        <f>'Expenditures 15-22'!K174</f>
        <v>60062</v>
      </c>
      <c r="G10" s="708"/>
    </row>
    <row r="11" spans="1:9" x14ac:dyDescent="0.2">
      <c r="A11" s="705" t="s">
        <v>458</v>
      </c>
      <c r="B11" s="706" t="s">
        <v>1850</v>
      </c>
      <c r="C11" s="707"/>
      <c r="D11" s="705" t="s">
        <v>498</v>
      </c>
      <c r="E11" s="704"/>
      <c r="F11" s="1775">
        <f>'Expenditures 15-22'!K210</f>
        <v>98755</v>
      </c>
      <c r="G11" s="708"/>
    </row>
    <row r="12" spans="1:9" x14ac:dyDescent="0.2">
      <c r="A12" s="705" t="s">
        <v>459</v>
      </c>
      <c r="B12" s="706" t="s">
        <v>1851</v>
      </c>
      <c r="C12" s="707"/>
      <c r="D12" s="705" t="s">
        <v>498</v>
      </c>
      <c r="E12" s="704"/>
      <c r="F12" s="1775">
        <f>'Expenditures 15-22'!K295</f>
        <v>47645</v>
      </c>
      <c r="G12" s="708"/>
    </row>
    <row r="13" spans="1:9" x14ac:dyDescent="0.2">
      <c r="A13" s="705" t="s">
        <v>106</v>
      </c>
      <c r="B13" s="706" t="s">
        <v>1852</v>
      </c>
      <c r="C13" s="707"/>
      <c r="D13" s="705" t="s">
        <v>498</v>
      </c>
      <c r="E13" s="704"/>
      <c r="F13" s="1775">
        <f>'Expenditures 15-22'!K342</f>
        <v>135560</v>
      </c>
      <c r="G13" s="709"/>
    </row>
    <row r="14" spans="1:9" ht="12" customHeight="1" thickBot="1" x14ac:dyDescent="0.25">
      <c r="A14" s="1443"/>
      <c r="B14" s="1444"/>
      <c r="C14" s="1445"/>
      <c r="D14" s="1446" t="s">
        <v>498</v>
      </c>
      <c r="E14" s="1447" t="s">
        <v>952</v>
      </c>
      <c r="F14" s="1776">
        <f>SUM(F8:F13)</f>
        <v>1661432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486</v>
      </c>
      <c r="G52" s="701"/>
    </row>
    <row r="53" spans="1:7" x14ac:dyDescent="0.2">
      <c r="A53" s="705" t="s">
        <v>456</v>
      </c>
      <c r="B53" s="705" t="s">
        <v>1458</v>
      </c>
      <c r="C53" s="724">
        <f>'Expenditures 15-22'!B102</f>
        <v>4000</v>
      </c>
      <c r="D53" s="723" t="str">
        <f>'Expenditures 15-22'!A102</f>
        <v>Total Payments to Other Govt Units</v>
      </c>
      <c r="E53" s="704"/>
      <c r="F53" s="1782">
        <f>'Expenditures 15-22'!K102</f>
        <v>33993</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2982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46600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34426</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23736</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142223</v>
      </c>
      <c r="G77" s="701"/>
    </row>
    <row r="78" spans="1:9" s="728" customFormat="1" ht="12" customHeight="1" thickTop="1" thickBot="1" x14ac:dyDescent="0.25">
      <c r="A78" s="1450"/>
      <c r="B78" s="1448"/>
      <c r="C78" s="1445"/>
      <c r="D78" s="1449" t="s">
        <v>2012</v>
      </c>
      <c r="E78" s="1447"/>
      <c r="F78" s="1788">
        <f>(F14-F77)</f>
        <v>1519209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175.2</v>
      </c>
      <c r="G79" s="733"/>
      <c r="H79" s="705"/>
      <c r="I79" s="705"/>
    </row>
    <row r="80" spans="1:9" s="728" customFormat="1" ht="12" customHeight="1" thickBot="1" x14ac:dyDescent="0.25">
      <c r="A80" s="1452"/>
      <c r="B80" s="1448"/>
      <c r="C80" s="1445"/>
      <c r="D80" s="1449" t="s">
        <v>2013</v>
      </c>
      <c r="E80" s="1447" t="s">
        <v>952</v>
      </c>
      <c r="F80" s="1790">
        <f>IF(F79&gt;0,F78/F79," Complete Line 79")</f>
        <v>8671.2842465753438</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34235</v>
      </c>
      <c r="G95" s="745"/>
    </row>
    <row r="96" spans="1:7" x14ac:dyDescent="0.2">
      <c r="A96" s="741" t="s">
        <v>139</v>
      </c>
      <c r="B96" s="741" t="s">
        <v>174</v>
      </c>
      <c r="C96" s="743">
        <v>1700</v>
      </c>
      <c r="D96" s="751" t="str">
        <f>'Revenues 9-14'!A82</f>
        <v>Total District/School Activity Income</v>
      </c>
      <c r="E96" s="739"/>
      <c r="F96" s="1793">
        <f>SUM('Revenues 9-14'!C82,'Revenues 9-14'!D82)</f>
        <v>17282</v>
      </c>
      <c r="G96" s="745"/>
    </row>
    <row r="97" spans="1:7" x14ac:dyDescent="0.2">
      <c r="A97" s="741" t="s">
        <v>456</v>
      </c>
      <c r="B97" s="741" t="s">
        <v>175</v>
      </c>
      <c r="C97" s="743">
        <f>'Revenues 9-14'!B84</f>
        <v>1811</v>
      </c>
      <c r="D97" s="744" t="str">
        <f>'Revenues 9-14'!A84</f>
        <v>Rentals - Regular Textbooks</v>
      </c>
      <c r="E97" s="739"/>
      <c r="F97" s="1793">
        <f>'Revenues 9-14'!C84</f>
        <v>3220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32</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28399</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405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52277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31796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43896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16596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1000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2266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4885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11852</v>
      </c>
      <c r="G171" s="760"/>
    </row>
    <row r="172" spans="1:7" x14ac:dyDescent="0.2">
      <c r="A172" s="1529" t="s">
        <v>5</v>
      </c>
      <c r="B172" s="1530" t="s">
        <v>1885</v>
      </c>
      <c r="C172" s="1531">
        <v>3100</v>
      </c>
      <c r="D172" s="1532" t="s">
        <v>1887</v>
      </c>
      <c r="E172" s="739"/>
      <c r="F172" s="1794">
        <v>50659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349366</v>
      </c>
    </row>
    <row r="176" spans="1:7" ht="12" customHeight="1" x14ac:dyDescent="0.2">
      <c r="A176" s="1443"/>
      <c r="B176" s="1453"/>
      <c r="C176" s="1454"/>
      <c r="D176" s="1455" t="s">
        <v>2014</v>
      </c>
      <c r="E176" s="1456"/>
      <c r="F176" s="1793">
        <f>'PCTC-OEPP 27-28'!F78-F175</f>
        <v>1169843</v>
      </c>
    </row>
    <row r="177" spans="1:9" ht="12" customHeight="1" x14ac:dyDescent="0.2">
      <c r="A177" s="1443"/>
      <c r="B177" s="1453"/>
      <c r="C177" s="1454"/>
      <c r="D177" s="1455" t="s">
        <v>1794</v>
      </c>
      <c r="E177" s="1456"/>
      <c r="F177" s="1793">
        <f>'Cap Outlay Deprec 26'!I18</f>
        <v>164514</v>
      </c>
    </row>
    <row r="178" spans="1:9" ht="12" customHeight="1" x14ac:dyDescent="0.2">
      <c r="A178" s="1443"/>
      <c r="B178" s="1453"/>
      <c r="C178" s="1454"/>
      <c r="D178" s="1455" t="s">
        <v>2015</v>
      </c>
      <c r="E178" s="1456"/>
      <c r="F178" s="1793">
        <f>F176+F177</f>
        <v>1334357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175.2</v>
      </c>
      <c r="G179" s="763"/>
      <c r="I179" s="701"/>
    </row>
    <row r="180" spans="1:9" ht="12" customHeight="1" thickBot="1" x14ac:dyDescent="0.25">
      <c r="A180" s="1443"/>
      <c r="B180" s="1457"/>
      <c r="C180" s="1454"/>
      <c r="D180" s="1455" t="s">
        <v>2017</v>
      </c>
      <c r="E180" s="1456" t="s">
        <v>1528</v>
      </c>
      <c r="F180" s="1798">
        <f>F178/F179</f>
        <v>7616.1929223744301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A27" sqref="A27"/>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6" t="s">
        <v>2072</v>
      </c>
      <c r="B18" s="1908">
        <v>202540300</v>
      </c>
      <c r="C18" s="2037" t="s">
        <v>2073</v>
      </c>
      <c r="D18" s="1886">
        <v>3900</v>
      </c>
      <c r="E18" s="1906">
        <f t="shared" ref="E18:E81" si="0">IF(D18&lt;25000,D18,"25,000")</f>
        <v>3900</v>
      </c>
      <c r="F18" s="1906" t="str">
        <f t="shared" ref="F18:F81" si="1">IF(D18&gt;=25000,(D18-E18),"0")</f>
        <v>0</v>
      </c>
      <c r="G18" s="1887"/>
    </row>
    <row r="19" spans="1:7" ht="30" x14ac:dyDescent="0.25">
      <c r="A19" s="2036" t="s">
        <v>2074</v>
      </c>
      <c r="B19" s="1908">
        <v>202540300</v>
      </c>
      <c r="C19" s="2037" t="s">
        <v>2075</v>
      </c>
      <c r="D19" s="1886">
        <v>1440</v>
      </c>
      <c r="E19" s="1906">
        <f t="shared" si="0"/>
        <v>1440</v>
      </c>
      <c r="F19" s="1906" t="str">
        <f t="shared" si="1"/>
        <v>0</v>
      </c>
    </row>
    <row r="20" spans="1:7" ht="30" x14ac:dyDescent="0.25">
      <c r="A20" s="2036" t="s">
        <v>2072</v>
      </c>
      <c r="B20" s="1908">
        <v>202540300</v>
      </c>
      <c r="C20" s="2037" t="s">
        <v>2076</v>
      </c>
      <c r="D20" s="1886">
        <v>3490</v>
      </c>
      <c r="E20" s="1906">
        <f t="shared" si="0"/>
        <v>3490</v>
      </c>
      <c r="F20" s="1906" t="str">
        <f t="shared" si="1"/>
        <v>0</v>
      </c>
    </row>
    <row r="21" spans="1:7" ht="30" x14ac:dyDescent="0.25">
      <c r="A21" s="2036" t="s">
        <v>2077</v>
      </c>
      <c r="B21" s="1908">
        <v>101000300</v>
      </c>
      <c r="C21" s="2037" t="s">
        <v>2078</v>
      </c>
      <c r="D21" s="1886">
        <v>9406</v>
      </c>
      <c r="E21" s="1906">
        <f t="shared" si="0"/>
        <v>9406</v>
      </c>
      <c r="F21" s="1906" t="str">
        <f t="shared" si="1"/>
        <v>0</v>
      </c>
    </row>
    <row r="22" spans="1:7" ht="30" x14ac:dyDescent="0.25">
      <c r="A22" s="2036" t="s">
        <v>2072</v>
      </c>
      <c r="B22" s="1908">
        <v>202540300</v>
      </c>
      <c r="C22" s="2037" t="s">
        <v>2079</v>
      </c>
      <c r="D22" s="1886">
        <v>1764</v>
      </c>
      <c r="E22" s="1906">
        <f t="shared" si="0"/>
        <v>1764</v>
      </c>
      <c r="F22" s="1906" t="str">
        <f t="shared" si="1"/>
        <v>0</v>
      </c>
    </row>
    <row r="23" spans="1:7" ht="30" x14ac:dyDescent="0.25">
      <c r="A23" s="2036" t="s">
        <v>2080</v>
      </c>
      <c r="B23" s="1908">
        <v>101000300</v>
      </c>
      <c r="C23" s="2037" t="s">
        <v>2081</v>
      </c>
      <c r="D23" s="1886">
        <v>3225</v>
      </c>
      <c r="E23" s="1906">
        <f t="shared" si="0"/>
        <v>3225</v>
      </c>
      <c r="F23" s="1906" t="str">
        <f t="shared" si="1"/>
        <v>0</v>
      </c>
    </row>
    <row r="24" spans="1:7" ht="30" x14ac:dyDescent="0.25">
      <c r="A24" s="2036" t="s">
        <v>2080</v>
      </c>
      <c r="B24" s="1908">
        <v>101000300</v>
      </c>
      <c r="C24" s="2037" t="s">
        <v>2082</v>
      </c>
      <c r="D24" s="1886">
        <v>4225</v>
      </c>
      <c r="E24" s="1906">
        <f t="shared" si="0"/>
        <v>4225</v>
      </c>
      <c r="F24" s="1906" t="str">
        <f t="shared" si="1"/>
        <v>0</v>
      </c>
    </row>
    <row r="25" spans="1:7" x14ac:dyDescent="0.25">
      <c r="A25" s="2036" t="s">
        <v>2083</v>
      </c>
      <c r="B25" s="1908">
        <v>102560300</v>
      </c>
      <c r="C25" s="2037" t="s">
        <v>2084</v>
      </c>
      <c r="D25" s="1886">
        <v>325</v>
      </c>
      <c r="E25" s="1906">
        <f t="shared" si="0"/>
        <v>325</v>
      </c>
      <c r="F25" s="1906" t="str">
        <f t="shared" si="1"/>
        <v>0</v>
      </c>
    </row>
    <row r="26" spans="1:7" ht="30" x14ac:dyDescent="0.25">
      <c r="A26" s="2036" t="s">
        <v>2080</v>
      </c>
      <c r="B26" s="1908">
        <v>101000300</v>
      </c>
      <c r="C26" s="2037" t="s">
        <v>2085</v>
      </c>
      <c r="D26" s="1886">
        <v>6080</v>
      </c>
      <c r="E26" s="1906">
        <f t="shared" si="0"/>
        <v>6080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33855</v>
      </c>
      <c r="E142" s="1893">
        <f>SUM(E18:E141)</f>
        <v>33855</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31796</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8833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872461</v>
      </c>
      <c r="F19" s="1802"/>
      <c r="G19" s="1804">
        <f>'Expenditures 15-22'!K33-SUM('Expenditures 15-22'!G33,'Expenditures 15-22'!I33)+'Expenditures 15-22'!D229</f>
        <v>872461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64729</v>
      </c>
      <c r="F21" s="1805"/>
      <c r="G21" s="1808">
        <f>'Expenditures 15-22'!K42-SUM('Expenditures 15-22'!G42,'Expenditures 15-22'!I42)+'Expenditures 15-22'!K120-SUM('Expenditures 15-22'!G120,'Expenditures 15-22'!I120)+'Expenditures 15-22'!K180-SUM('Expenditures 15-22'!G180,'Expenditures 15-22'!I180)+'Expenditures 15-22'!D238</f>
        <v>64729</v>
      </c>
      <c r="H21" s="817"/>
      <c r="I21" s="157"/>
    </row>
    <row r="22" spans="1:9" s="542" customFormat="1" ht="12" customHeight="1" x14ac:dyDescent="0.2">
      <c r="A22" s="824" t="s">
        <v>560</v>
      </c>
      <c r="B22" s="825"/>
      <c r="C22" s="823">
        <v>2200</v>
      </c>
      <c r="D22" s="1805"/>
      <c r="E22" s="1807">
        <f>'Expenditures 15-22'!K47-SUM('Expenditures 15-22'!G47,'Expenditures 15-22'!I47)+'Expenditures 15-22'!D243</f>
        <v>12438</v>
      </c>
      <c r="F22" s="1805"/>
      <c r="G22" s="1808">
        <f>'Expenditures 15-22'!K47-SUM('Expenditures 15-22'!G47,'Expenditures 15-22'!I47)+'Expenditures 15-22'!D243</f>
        <v>12438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178414</v>
      </c>
      <c r="F23" s="1805"/>
      <c r="G23" s="1807">
        <f>'Expenditures 15-22'!K53-SUM('Expenditures 15-22'!G53,'Expenditures 15-22'!I53)+'Expenditures 15-22'!D257+'Expenditures 15-22'!K330-SUM('Expenditures 15-22'!G330,'Expenditures 15-22'!I330)</f>
        <v>178414</v>
      </c>
      <c r="H23" s="817"/>
      <c r="I23" s="157"/>
    </row>
    <row r="24" spans="1:9" s="542" customFormat="1" ht="12" customHeight="1" x14ac:dyDescent="0.2">
      <c r="A24" s="824" t="s">
        <v>562</v>
      </c>
      <c r="B24" s="825"/>
      <c r="C24" s="823">
        <v>2400</v>
      </c>
      <c r="D24" s="1805"/>
      <c r="E24" s="1807">
        <f>'Expenditures 15-22'!K57-SUM('Expenditures 15-22'!G57,'Expenditures 15-22'!I57)+'Expenditures 15-22'!D261</f>
        <v>58586</v>
      </c>
      <c r="F24" s="1805"/>
      <c r="G24" s="1808">
        <f>'Expenditures 15-22'!K57-SUM('Expenditures 15-22'!G57,'Expenditures 15-22'!I57)+'Expenditures 15-22'!D261</f>
        <v>58586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61107</v>
      </c>
      <c r="E27" s="1807">
        <f>E8</f>
        <v>0</v>
      </c>
      <c r="F27" s="1807">
        <f>'Expenditures 15-22'!K60-SUM('Expenditures 15-22'!G60,'Expenditures 15-22'!I60)+'Expenditures 15-22'!D264-E8</f>
        <v>61107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116176</v>
      </c>
      <c r="F28" s="1809">
        <f>'Expenditures 15-22'!K61-SUM('Expenditures 15-22'!G61,'Expenditures 15-22'!I61)+'Expenditures 15-22'!K124-SUM('Expenditures 15-22'!G124,'Expenditures 15-22'!I124)+'Expenditures 15-22'!D266-E9</f>
        <v>116176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58310</v>
      </c>
      <c r="F29" s="1805"/>
      <c r="G29" s="1808">
        <f>'Expenditures 15-22'!K62-SUM('Expenditures 15-22'!G62,'Expenditures 15-22'!I62)+'Expenditures 15-22'!K125-SUM('Expenditures 15-22'!G125,'Expenditures 15-22'!I125)+'Expenditures 15-22'!K182-SUM('Expenditures 15-22'!G182,'Expenditures 15-22'!I182)+'Expenditures 15-22'!D267</f>
        <v>58310</v>
      </c>
      <c r="H29" s="815"/>
    </row>
    <row r="30" spans="1:9" ht="12" customHeight="1" x14ac:dyDescent="0.2">
      <c r="A30" s="824" t="s">
        <v>100</v>
      </c>
      <c r="B30" s="827"/>
      <c r="C30" s="823">
        <v>2560</v>
      </c>
      <c r="D30" s="1805"/>
      <c r="E30" s="1807">
        <f>'Expenditures 15-22'!K63-SUM('Expenditures 15-22'!G63,'Expenditures 15-22'!I63)+'Expenditures 15-22'!D268-E10</f>
        <v>46760</v>
      </c>
      <c r="F30" s="1805"/>
      <c r="G30" s="1807">
        <f>'Expenditures 15-22'!K63-SUM('Expenditures 15-22'!G63,'Expenditures 15-22'!I63)+'Expenditures 15-22'!D268-E10</f>
        <v>46760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486</v>
      </c>
      <c r="F39" s="1805"/>
      <c r="G39" s="1807">
        <f>'Expenditures 15-22'!K75-SUM('Expenditures 15-22'!G75,'Expenditures 15-22'!I75)+'Expenditures 15-22'!K130-SUM('Expenditures 15-22'!G130,'Expenditures 15-22'!I130)+'Expenditures 15-22'!K185-SUM('Expenditures 15-22'!G185,'Expenditures 15-22'!I185)+'Expenditures 15-22'!D280</f>
        <v>486</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61107</v>
      </c>
      <c r="E41" s="1809">
        <f>SUM(E19:E40)</f>
        <v>1408360</v>
      </c>
      <c r="F41" s="1809">
        <f>SUM(F19:F39)</f>
        <v>177283</v>
      </c>
      <c r="G41" s="1809">
        <f>SUM(G19:G40)</f>
        <v>1292184</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61107</v>
      </c>
      <c r="F43" s="1458" t="s">
        <v>470</v>
      </c>
      <c r="G43" s="1810">
        <f>F41</f>
        <v>177283</v>
      </c>
    </row>
    <row r="44" spans="1:7" ht="12" customHeight="1" x14ac:dyDescent="0.2">
      <c r="A44" s="817"/>
      <c r="B44" s="157"/>
      <c r="C44" s="831"/>
      <c r="D44" s="1458" t="s">
        <v>471</v>
      </c>
      <c r="E44" s="1810">
        <f>E41</f>
        <v>1408360</v>
      </c>
      <c r="F44" s="1458" t="s">
        <v>471</v>
      </c>
      <c r="G44" s="1810">
        <f>G41</f>
        <v>1292184</v>
      </c>
    </row>
    <row r="45" spans="1:7" ht="12" customHeight="1" x14ac:dyDescent="0.2">
      <c r="A45" s="817"/>
      <c r="B45" s="157"/>
      <c r="C45" s="157"/>
      <c r="D45" s="1459" t="s">
        <v>999</v>
      </c>
      <c r="E45" s="1811">
        <f>(E43/E44)</f>
        <v>4.3388764236416827E-2</v>
      </c>
      <c r="F45" s="1459" t="s">
        <v>999</v>
      </c>
      <c r="G45" s="1811">
        <f>(G43/G44)</f>
        <v>0.13719640546547551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topLeftCell="A7" zoomScale="110" zoomScaleNormal="110" workbookViewId="0">
      <selection activeCell="A36" sqref="A36:F3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New Hope CCSD 6</v>
      </c>
      <c r="D6" s="2418"/>
      <c r="E6" s="2418"/>
      <c r="F6" s="1482"/>
      <c r="G6" s="1507"/>
      <c r="L6" s="1507"/>
      <c r="M6" s="1855"/>
      <c r="N6" s="1855"/>
      <c r="O6" s="1855"/>
    </row>
    <row r="7" spans="1:15" ht="11.25" customHeight="1" thickBot="1" x14ac:dyDescent="0.3">
      <c r="A7" s="1480"/>
      <c r="B7" s="1481"/>
      <c r="C7" s="2419">
        <f>COVER!A13</f>
        <v>20096006004</v>
      </c>
      <c r="D7" s="2419"/>
      <c r="E7" s="2419"/>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2086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20"/>
      <c r="D35" s="2420"/>
      <c r="E35" s="2420"/>
      <c r="F35" s="2421"/>
    </row>
    <row r="36" spans="1:15" ht="12" customHeight="1" x14ac:dyDescent="0.2">
      <c r="A36" s="2413" t="s">
        <v>2087</v>
      </c>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1" zoomScaleNormal="100" workbookViewId="0">
      <selection activeCell="L56" sqref="L5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0" t="str">
        <f>COVER!A17</f>
        <v>New Hope CCSD 6</v>
      </c>
      <c r="K6" s="2440"/>
      <c r="L6" s="2454"/>
      <c r="M6" s="838"/>
      <c r="N6" s="1998"/>
    </row>
    <row r="7" spans="1:14" x14ac:dyDescent="0.2">
      <c r="A7" s="2455" t="s">
        <v>864</v>
      </c>
      <c r="B7" s="2456"/>
      <c r="C7" s="2456"/>
      <c r="D7" s="2456"/>
      <c r="E7" s="2457"/>
      <c r="F7" s="839"/>
      <c r="G7" s="838"/>
      <c r="H7" s="838"/>
      <c r="I7" s="1924" t="s">
        <v>369</v>
      </c>
      <c r="J7" s="2442">
        <f>COVER!A13</f>
        <v>20096006004</v>
      </c>
      <c r="K7" s="2442"/>
      <c r="L7" s="2442"/>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8" t="s">
        <v>478</v>
      </c>
      <c r="B11" s="2459"/>
      <c r="C11" s="2460"/>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44960</v>
      </c>
      <c r="F12" s="1942"/>
      <c r="G12" s="1968">
        <f>G68</f>
        <v>15059</v>
      </c>
      <c r="H12" s="1944">
        <f t="shared" ref="H12:H18" si="0">SUM(E12:G12)</f>
        <v>60019</v>
      </c>
      <c r="I12" s="1943">
        <v>59000</v>
      </c>
      <c r="J12" s="1942"/>
      <c r="K12" s="1943">
        <v>11721</v>
      </c>
      <c r="L12" s="1944">
        <f t="shared" ref="L12:L18" si="1">SUM(I12:K12)</f>
        <v>70721</v>
      </c>
      <c r="M12" s="838"/>
      <c r="N12" s="1998"/>
    </row>
    <row r="13" spans="1:14" x14ac:dyDescent="0.2">
      <c r="A13" s="2003">
        <v>2</v>
      </c>
      <c r="B13" s="1940" t="s">
        <v>42</v>
      </c>
      <c r="C13" s="842"/>
      <c r="D13" s="1941">
        <v>2330</v>
      </c>
      <c r="E13" s="1944">
        <f>'Expenditures 15-22'!K51</f>
        <v>9252</v>
      </c>
      <c r="F13" s="1942"/>
      <c r="G13" s="1968">
        <f>H68</f>
        <v>0</v>
      </c>
      <c r="H13" s="1944">
        <f t="shared" si="0"/>
        <v>9252</v>
      </c>
      <c r="I13" s="1943">
        <v>2000</v>
      </c>
      <c r="J13" s="1942"/>
      <c r="K13" s="1943"/>
      <c r="L13" s="1944">
        <f t="shared" si="1"/>
        <v>2000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1" t="s">
        <v>7</v>
      </c>
      <c r="C18" s="2462"/>
      <c r="D18" s="246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54212</v>
      </c>
      <c r="F19" s="1950">
        <f t="shared" si="2"/>
        <v>0</v>
      </c>
      <c r="G19" s="1950">
        <f t="shared" ref="G19" si="3">SUM(G12:G17)-G18</f>
        <v>15059</v>
      </c>
      <c r="H19" s="1950">
        <f t="shared" si="2"/>
        <v>69271</v>
      </c>
      <c r="I19" s="1950">
        <f t="shared" si="2"/>
        <v>61000</v>
      </c>
      <c r="J19" s="1950">
        <f t="shared" si="2"/>
        <v>0</v>
      </c>
      <c r="K19" s="1950">
        <f t="shared" si="2"/>
        <v>11721</v>
      </c>
      <c r="L19" s="1950">
        <f t="shared" si="2"/>
        <v>72721</v>
      </c>
      <c r="M19" s="838"/>
      <c r="N19" s="1998"/>
    </row>
    <row r="20" spans="1:14" ht="13.5" thickTop="1" x14ac:dyDescent="0.2">
      <c r="A20" s="2003">
        <v>9</v>
      </c>
      <c r="B20" s="2464" t="s">
        <v>2021</v>
      </c>
      <c r="C20" s="2464"/>
      <c r="D20" s="2465"/>
      <c r="E20" s="1951"/>
      <c r="F20" s="1951"/>
      <c r="G20" s="1951"/>
      <c r="H20" s="1951"/>
      <c r="I20" s="1951"/>
      <c r="J20" s="1951"/>
      <c r="K20" s="1951"/>
      <c r="L20" s="1952">
        <f>IF(AND(H19&gt;0,L19&gt;0),(((L19-H19)/H19)),"Enter Budget Data")</f>
        <v>4.9804391448080729E-2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6"/>
      <c r="D27" s="2466"/>
      <c r="E27" s="843"/>
      <c r="F27" s="2467"/>
      <c r="G27" s="2467"/>
      <c r="H27" s="2467"/>
      <c r="I27" s="838"/>
      <c r="J27" s="838"/>
      <c r="K27" s="838"/>
      <c r="L27" s="838"/>
      <c r="M27" s="838"/>
      <c r="N27" s="1998"/>
    </row>
    <row r="28" spans="1:14" x14ac:dyDescent="0.2">
      <c r="A28" s="1997"/>
      <c r="B28" s="2007"/>
      <c r="C28" s="1957" t="s">
        <v>1026</v>
      </c>
      <c r="D28" s="844"/>
      <c r="E28" s="1958"/>
      <c r="F28" s="2468" t="s">
        <v>1492</v>
      </c>
      <c r="G28" s="2468"/>
      <c r="H28" s="2468"/>
      <c r="I28" s="838"/>
      <c r="J28" s="838"/>
      <c r="K28" s="838"/>
      <c r="L28" s="838"/>
      <c r="M28" s="838"/>
      <c r="N28" s="1998"/>
    </row>
    <row r="29" spans="1:14" x14ac:dyDescent="0.2">
      <c r="A29" s="1997"/>
      <c r="B29" s="2007"/>
      <c r="C29" s="2469" t="s">
        <v>2063</v>
      </c>
      <c r="D29" s="2469"/>
      <c r="E29" s="845"/>
      <c r="F29" s="2469" t="s">
        <v>2065</v>
      </c>
      <c r="G29" s="2469"/>
      <c r="H29" s="2469"/>
      <c r="I29" s="838"/>
      <c r="J29" s="838"/>
      <c r="K29" s="838"/>
      <c r="L29" s="838"/>
      <c r="M29" s="838"/>
      <c r="N29" s="1998"/>
    </row>
    <row r="30" spans="1:14" x14ac:dyDescent="0.2">
      <c r="A30" s="1997"/>
      <c r="B30" s="2007"/>
      <c r="C30" s="1960" t="s">
        <v>1544</v>
      </c>
      <c r="D30" s="838"/>
      <c r="E30" s="1959"/>
      <c r="F30" s="2453" t="s">
        <v>1493</v>
      </c>
      <c r="G30" s="2453"/>
      <c r="H30" s="2453"/>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0" t="s">
        <v>2024</v>
      </c>
      <c r="D34" s="2431"/>
      <c r="E34" s="2431"/>
      <c r="F34" s="2431"/>
      <c r="G34" s="2431"/>
      <c r="H34" s="2431"/>
      <c r="I34" s="2431"/>
      <c r="J34" s="2431"/>
      <c r="K34" s="2016"/>
      <c r="L34" s="838"/>
      <c r="M34" s="838"/>
      <c r="N34" s="1998"/>
    </row>
    <row r="35" spans="1:14" x14ac:dyDescent="0.2">
      <c r="A35" s="1997"/>
      <c r="B35" s="838"/>
      <c r="C35" s="2431"/>
      <c r="D35" s="2431"/>
      <c r="E35" s="2431"/>
      <c r="F35" s="2431"/>
      <c r="G35" s="2431"/>
      <c r="H35" s="2431"/>
      <c r="I35" s="2431"/>
      <c r="J35" s="243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0" t="s">
        <v>2025</v>
      </c>
      <c r="D37" s="2431"/>
      <c r="E37" s="2431"/>
      <c r="F37" s="2431"/>
      <c r="G37" s="2431"/>
      <c r="H37" s="2431"/>
      <c r="I37" s="2431"/>
      <c r="J37" s="2431"/>
      <c r="K37" s="2016"/>
      <c r="L37" s="2018"/>
      <c r="M37" s="838"/>
      <c r="N37" s="1998"/>
    </row>
    <row r="38" spans="1:14" x14ac:dyDescent="0.2">
      <c r="A38" s="1997"/>
      <c r="B38" s="838"/>
      <c r="C38" s="2431"/>
      <c r="D38" s="2431"/>
      <c r="E38" s="2431"/>
      <c r="F38" s="2431"/>
      <c r="G38" s="2431"/>
      <c r="H38" s="2431"/>
      <c r="I38" s="2431"/>
      <c r="J38" s="243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2" t="s">
        <v>2026</v>
      </c>
      <c r="D40" s="2433"/>
      <c r="E40" s="2433"/>
      <c r="F40" s="2433"/>
      <c r="G40" s="2433"/>
      <c r="H40" s="2433"/>
      <c r="I40" s="2433"/>
      <c r="J40" s="243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4" t="s">
        <v>2027</v>
      </c>
      <c r="B43" s="2435"/>
      <c r="C43" s="2435"/>
      <c r="D43" s="2435"/>
      <c r="E43" s="2435"/>
      <c r="F43" s="2435"/>
      <c r="G43" s="2435"/>
      <c r="H43" s="2435"/>
      <c r="I43" s="2435"/>
      <c r="J43" s="2435"/>
      <c r="K43" s="2435"/>
      <c r="L43" s="2435"/>
      <c r="M43" s="2435"/>
      <c r="N43" s="243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7" t="s">
        <v>2029</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0" t="str">
        <f>J6</f>
        <v>New Hope CCSD 6</v>
      </c>
      <c r="M52" s="2440"/>
      <c r="N52" s="2441"/>
    </row>
    <row r="53" spans="1:14" x14ac:dyDescent="0.2">
      <c r="A53" s="1982"/>
      <c r="B53" s="1983"/>
      <c r="C53" s="1983"/>
      <c r="D53" s="1983"/>
      <c r="E53" s="1983"/>
      <c r="F53" s="1983"/>
      <c r="G53" s="1983"/>
      <c r="H53" s="1983"/>
      <c r="I53" s="1983"/>
      <c r="J53" s="1983"/>
      <c r="K53" s="1924" t="s">
        <v>369</v>
      </c>
      <c r="L53" s="2442">
        <f>J7</f>
        <v>20096006004</v>
      </c>
      <c r="M53" s="2442"/>
      <c r="N53" s="244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4"/>
      <c r="B55" s="2445"/>
      <c r="C55" s="2445"/>
      <c r="D55" s="1970"/>
      <c r="E55" s="1970"/>
      <c r="F55" s="1970"/>
      <c r="G55" s="2446" t="s">
        <v>2030</v>
      </c>
      <c r="H55" s="2446"/>
      <c r="I55" s="2446"/>
      <c r="J55" s="2446"/>
      <c r="K55" s="2446"/>
      <c r="L55" s="2446"/>
      <c r="M55" s="2446"/>
      <c r="N55" s="2447"/>
    </row>
    <row r="56" spans="1:14" ht="63.75" x14ac:dyDescent="0.2">
      <c r="A56" s="2448" t="s">
        <v>2031</v>
      </c>
      <c r="B56" s="2449"/>
      <c r="C56" s="2450"/>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1" t="s">
        <v>296</v>
      </c>
      <c r="B57" s="2452"/>
      <c r="C57" s="245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8" t="s">
        <v>2041</v>
      </c>
      <c r="B58" s="2429"/>
      <c r="C58" s="2429"/>
      <c r="D58" s="1967">
        <v>2362</v>
      </c>
      <c r="E58" s="1977">
        <f>'Expenditures 15-22'!K320</f>
        <v>6056</v>
      </c>
      <c r="F58" s="1972"/>
      <c r="G58" s="2031"/>
      <c r="H58" s="2032"/>
      <c r="I58" s="2032"/>
      <c r="J58" s="2032"/>
      <c r="K58" s="2032"/>
      <c r="L58" s="2032"/>
      <c r="M58" s="2032">
        <v>6056</v>
      </c>
      <c r="N58" s="1975">
        <f>IF((SUM(G58:M58))=E58,SUM(G58:M58),"Column N does not agree with Column E")</f>
        <v>6056</v>
      </c>
    </row>
    <row r="59" spans="1:14" ht="24.75" customHeight="1" x14ac:dyDescent="0.2">
      <c r="A59" s="2422" t="s">
        <v>297</v>
      </c>
      <c r="B59" s="2423"/>
      <c r="C59" s="2423"/>
      <c r="D59" s="1967">
        <v>2363</v>
      </c>
      <c r="E59" s="1977">
        <f>'Expenditures 15-22'!K321</f>
        <v>2013</v>
      </c>
      <c r="F59" s="1972"/>
      <c r="G59" s="2031"/>
      <c r="H59" s="2032"/>
      <c r="I59" s="2032"/>
      <c r="J59" s="2032"/>
      <c r="K59" s="2032"/>
      <c r="L59" s="2032"/>
      <c r="M59" s="2032">
        <v>2013</v>
      </c>
      <c r="N59" s="1975">
        <f>IF((SUM(G59:M59))=E59,SUM(G59:M59),"Column N does not agree with Column E")</f>
        <v>2013</v>
      </c>
    </row>
    <row r="60" spans="1:14" ht="24" customHeight="1" x14ac:dyDescent="0.2">
      <c r="A60" s="2422" t="s">
        <v>236</v>
      </c>
      <c r="B60" s="2423"/>
      <c r="C60" s="2423"/>
      <c r="D60" s="1967">
        <v>2364</v>
      </c>
      <c r="E60" s="1977">
        <f>'Expenditures 15-22'!K322</f>
        <v>22250</v>
      </c>
      <c r="F60" s="1972"/>
      <c r="G60" s="2031"/>
      <c r="H60" s="2032"/>
      <c r="I60" s="2032"/>
      <c r="J60" s="2032"/>
      <c r="K60" s="2032"/>
      <c r="L60" s="2032"/>
      <c r="M60" s="2032">
        <v>22250</v>
      </c>
      <c r="N60" s="1975">
        <f t="shared" ref="N60:N67" si="4">IF((SUM(G60:M60))=E60,SUM(G60:M60),"Column N does not agree with Column E")</f>
        <v>22250</v>
      </c>
    </row>
    <row r="61" spans="1:14" ht="24.75" customHeight="1" x14ac:dyDescent="0.2">
      <c r="A61" s="2422" t="s">
        <v>697</v>
      </c>
      <c r="B61" s="2423"/>
      <c r="C61" s="2423"/>
      <c r="D61" s="1967">
        <v>2365</v>
      </c>
      <c r="E61" s="1977">
        <f>'Expenditures 15-22'!K323</f>
        <v>80530</v>
      </c>
      <c r="F61" s="1972"/>
      <c r="G61" s="2031">
        <v>15059</v>
      </c>
      <c r="H61" s="2032"/>
      <c r="I61" s="2032"/>
      <c r="J61" s="2032"/>
      <c r="K61" s="2032"/>
      <c r="L61" s="2032"/>
      <c r="M61" s="2032">
        <v>65471</v>
      </c>
      <c r="N61" s="1975">
        <f t="shared" si="4"/>
        <v>80530</v>
      </c>
    </row>
    <row r="62" spans="1:14" ht="24" customHeight="1" x14ac:dyDescent="0.2">
      <c r="A62" s="2422" t="s">
        <v>237</v>
      </c>
      <c r="B62" s="2423"/>
      <c r="C62" s="2423"/>
      <c r="D62" s="1967">
        <v>2366</v>
      </c>
      <c r="E62" s="1977">
        <f>'Expenditures 15-22'!K324</f>
        <v>0</v>
      </c>
      <c r="F62" s="1972"/>
      <c r="G62" s="2031"/>
      <c r="H62" s="2032"/>
      <c r="I62" s="2032"/>
      <c r="J62" s="2032"/>
      <c r="K62" s="2032"/>
      <c r="L62" s="2032"/>
      <c r="M62" s="2032"/>
      <c r="N62" s="1975">
        <f t="shared" si="4"/>
        <v>0</v>
      </c>
    </row>
    <row r="63" spans="1:14" ht="24" customHeight="1" x14ac:dyDescent="0.2">
      <c r="A63" s="2428" t="s">
        <v>1022</v>
      </c>
      <c r="B63" s="2429"/>
      <c r="C63" s="2429"/>
      <c r="D63" s="1967">
        <v>2367</v>
      </c>
      <c r="E63" s="1977">
        <f>'Expenditures 15-22'!K325</f>
        <v>23736</v>
      </c>
      <c r="F63" s="1972"/>
      <c r="G63" s="2031"/>
      <c r="H63" s="2032"/>
      <c r="I63" s="2032"/>
      <c r="J63" s="2032"/>
      <c r="K63" s="2032"/>
      <c r="L63" s="2032"/>
      <c r="M63" s="2032">
        <v>23736</v>
      </c>
      <c r="N63" s="1975">
        <f t="shared" si="4"/>
        <v>23736</v>
      </c>
    </row>
    <row r="64" spans="1:14" ht="24" customHeight="1" x14ac:dyDescent="0.2">
      <c r="A64" s="2422" t="s">
        <v>1023</v>
      </c>
      <c r="B64" s="2423"/>
      <c r="C64" s="2423"/>
      <c r="D64" s="1967">
        <v>2368</v>
      </c>
      <c r="E64" s="1977">
        <f>'Expenditures 15-22'!K326</f>
        <v>0</v>
      </c>
      <c r="F64" s="1972"/>
      <c r="G64" s="2031"/>
      <c r="H64" s="2032"/>
      <c r="I64" s="2032"/>
      <c r="J64" s="2032"/>
      <c r="K64" s="2032"/>
      <c r="L64" s="2032"/>
      <c r="M64" s="2032"/>
      <c r="N64" s="1975">
        <f t="shared" si="4"/>
        <v>0</v>
      </c>
    </row>
    <row r="65" spans="1:14" ht="24" customHeight="1" x14ac:dyDescent="0.2">
      <c r="A65" s="2422" t="s">
        <v>965</v>
      </c>
      <c r="B65" s="2423"/>
      <c r="C65" s="2423"/>
      <c r="D65" s="1967">
        <v>2369</v>
      </c>
      <c r="E65" s="1977">
        <f>'Expenditures 15-22'!K327</f>
        <v>975</v>
      </c>
      <c r="F65" s="1972"/>
      <c r="G65" s="2031"/>
      <c r="H65" s="2032"/>
      <c r="I65" s="2032"/>
      <c r="J65" s="2032"/>
      <c r="K65" s="2032"/>
      <c r="L65" s="2032"/>
      <c r="M65" s="2032">
        <v>975</v>
      </c>
      <c r="N65" s="1975">
        <f t="shared" si="4"/>
        <v>975</v>
      </c>
    </row>
    <row r="66" spans="1:14" ht="24" customHeight="1" x14ac:dyDescent="0.2">
      <c r="A66" s="2422" t="s">
        <v>469</v>
      </c>
      <c r="B66" s="2423"/>
      <c r="C66" s="2423"/>
      <c r="D66" s="1967">
        <v>2371</v>
      </c>
      <c r="E66" s="1977">
        <f>'Expenditures 15-22'!K328</f>
        <v>0</v>
      </c>
      <c r="F66" s="1972"/>
      <c r="G66" s="2031"/>
      <c r="H66" s="2032"/>
      <c r="I66" s="2032"/>
      <c r="J66" s="2032"/>
      <c r="K66" s="2032"/>
      <c r="L66" s="2032"/>
      <c r="M66" s="2032"/>
      <c r="N66" s="1975">
        <f t="shared" si="4"/>
        <v>0</v>
      </c>
    </row>
    <row r="67" spans="1:14" ht="24.75" customHeight="1" x14ac:dyDescent="0.2">
      <c r="A67" s="2424" t="s">
        <v>2042</v>
      </c>
      <c r="B67" s="2425"/>
      <c r="C67" s="2425"/>
      <c r="D67" s="1969">
        <v>2372</v>
      </c>
      <c r="E67" s="1978">
        <f>'Expenditures 15-22'!K329</f>
        <v>0</v>
      </c>
      <c r="F67" s="1972"/>
      <c r="G67" s="2033"/>
      <c r="H67" s="2034"/>
      <c r="I67" s="2034"/>
      <c r="J67" s="2034"/>
      <c r="K67" s="2034"/>
      <c r="L67" s="2034"/>
      <c r="M67" s="2034"/>
      <c r="N67" s="1975">
        <f t="shared" si="4"/>
        <v>0</v>
      </c>
    </row>
    <row r="68" spans="1:14" x14ac:dyDescent="0.2">
      <c r="A68" s="2426" t="s">
        <v>1151</v>
      </c>
      <c r="B68" s="2427"/>
      <c r="C68" s="2427"/>
      <c r="D68" s="1970"/>
      <c r="E68" s="1974">
        <f>SUM(E57:E67)</f>
        <v>135560</v>
      </c>
      <c r="F68" s="1973"/>
      <c r="G68" s="1974">
        <f t="shared" ref="G68:N68" si="5">SUM(G57:G67)</f>
        <v>15059</v>
      </c>
      <c r="H68" s="1974">
        <f t="shared" si="5"/>
        <v>0</v>
      </c>
      <c r="I68" s="1974">
        <f t="shared" si="5"/>
        <v>0</v>
      </c>
      <c r="J68" s="1974">
        <f t="shared" si="5"/>
        <v>0</v>
      </c>
      <c r="K68" s="1974">
        <f t="shared" si="5"/>
        <v>0</v>
      </c>
      <c r="L68" s="1974">
        <f t="shared" si="5"/>
        <v>0</v>
      </c>
      <c r="M68" s="1974">
        <f t="shared" si="5"/>
        <v>120501</v>
      </c>
      <c r="N68" s="1988">
        <f t="shared" si="5"/>
        <v>135560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26" sqref="B2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8" t="s">
        <v>1145</v>
      </c>
    </row>
    <row r="5" spans="1:2" x14ac:dyDescent="0.2">
      <c r="A5" s="847">
        <v>1</v>
      </c>
      <c r="B5" s="307" t="s">
        <v>2114</v>
      </c>
    </row>
    <row r="6" spans="1:2" x14ac:dyDescent="0.2">
      <c r="A6" s="847">
        <v>2</v>
      </c>
      <c r="B6" s="307" t="s">
        <v>2115</v>
      </c>
    </row>
    <row r="7" spans="1:2" x14ac:dyDescent="0.2">
      <c r="A7" s="847">
        <v>3</v>
      </c>
      <c r="B7" s="307" t="s">
        <v>2116</v>
      </c>
    </row>
    <row r="8" spans="1:2" x14ac:dyDescent="0.2">
      <c r="A8" s="847"/>
    </row>
    <row r="9" spans="1:2" x14ac:dyDescent="0.2">
      <c r="A9" s="848"/>
      <c r="B9" s="2038" t="s">
        <v>2117</v>
      </c>
    </row>
    <row r="10" spans="1:2" x14ac:dyDescent="0.2">
      <c r="A10" s="848">
        <v>1</v>
      </c>
      <c r="B10" s="307" t="s">
        <v>2118</v>
      </c>
    </row>
    <row r="11" spans="1:2" x14ac:dyDescent="0.2">
      <c r="A11" s="848"/>
    </row>
    <row r="12" spans="1:2" x14ac:dyDescent="0.2">
      <c r="A12" s="848"/>
      <c r="B12" s="2038" t="s">
        <v>435</v>
      </c>
    </row>
    <row r="13" spans="1:2" x14ac:dyDescent="0.2">
      <c r="A13" s="848">
        <v>1</v>
      </c>
      <c r="B13" s="307" t="s">
        <v>2119</v>
      </c>
    </row>
    <row r="14" spans="1:2" x14ac:dyDescent="0.2">
      <c r="A14" s="848"/>
    </row>
    <row r="15" spans="1:2" x14ac:dyDescent="0.2">
      <c r="A15" s="848"/>
      <c r="B15" s="2038" t="s">
        <v>154</v>
      </c>
    </row>
    <row r="16" spans="1:2" x14ac:dyDescent="0.2">
      <c r="A16" s="848">
        <v>1</v>
      </c>
      <c r="B16" s="307" t="s">
        <v>2120</v>
      </c>
    </row>
    <row r="17" spans="1:2" x14ac:dyDescent="0.2">
      <c r="A17" s="848">
        <v>2</v>
      </c>
      <c r="B17" s="307" t="s">
        <v>2121</v>
      </c>
    </row>
    <row r="18" spans="1:2" x14ac:dyDescent="0.2">
      <c r="A18" s="848"/>
      <c r="B18" s="307" t="s">
        <v>2122</v>
      </c>
    </row>
    <row r="19" spans="1:2" x14ac:dyDescent="0.2">
      <c r="A19" s="848"/>
    </row>
    <row r="20" spans="1:2" x14ac:dyDescent="0.2">
      <c r="A20" s="848"/>
      <c r="B20" s="2038" t="s">
        <v>1169</v>
      </c>
    </row>
    <row r="21" spans="1:2" x14ac:dyDescent="0.2">
      <c r="A21" s="848">
        <v>1</v>
      </c>
      <c r="B21" s="307" t="s">
        <v>2123</v>
      </c>
    </row>
    <row r="22" spans="1:2" x14ac:dyDescent="0.2">
      <c r="A22" s="848"/>
    </row>
    <row r="23" spans="1:2" x14ac:dyDescent="0.2">
      <c r="A23" s="848"/>
      <c r="B23" s="2038" t="s">
        <v>2124</v>
      </c>
    </row>
    <row r="24" spans="1:2" x14ac:dyDescent="0.2">
      <c r="A24" s="848">
        <v>1</v>
      </c>
      <c r="B24" s="307" t="s">
        <v>2127</v>
      </c>
    </row>
    <row r="25" spans="1:2" x14ac:dyDescent="0.2">
      <c r="A25" s="848"/>
      <c r="B25" s="307" t="s">
        <v>2128</v>
      </c>
    </row>
    <row r="26" spans="1:2" x14ac:dyDescent="0.2">
      <c r="A26" s="848"/>
      <c r="B26" s="307" t="s">
        <v>2125</v>
      </c>
    </row>
    <row r="27" spans="1:2" x14ac:dyDescent="0.2">
      <c r="A27" s="848"/>
      <c r="B27" s="307" t="s">
        <v>2126</v>
      </c>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New Hope CCSD 6</v>
      </c>
    </row>
    <row r="65" spans="2:2" x14ac:dyDescent="0.2">
      <c r="B65" s="849">
        <f>COVER!A13</f>
        <v>20096006004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6"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K31" sqref="K3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57150</xdr:colOff>
                <xdr:row>2</xdr:row>
                <xdr:rowOff>114300</xdr:rowOff>
              </from>
              <to>
                <xdr:col>1</xdr:col>
                <xdr:colOff>847725</xdr:colOff>
                <xdr:row>6</xdr:row>
                <xdr:rowOff>152400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923925</xdr:colOff>
                <xdr:row>2</xdr:row>
                <xdr:rowOff>114300</xdr:rowOff>
              </from>
              <to>
                <xdr:col>1</xdr:col>
                <xdr:colOff>1838325</xdr:colOff>
                <xdr:row>6</xdr:row>
                <xdr:rowOff>152400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1924050</xdr:colOff>
                <xdr:row>2</xdr:row>
                <xdr:rowOff>114300</xdr:rowOff>
              </from>
              <to>
                <xdr:col>1</xdr:col>
                <xdr:colOff>2838450</xdr:colOff>
                <xdr:row>6</xdr:row>
                <xdr:rowOff>152400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2914650</xdr:colOff>
                <xdr:row>2</xdr:row>
                <xdr:rowOff>114300</xdr:rowOff>
              </from>
              <to>
                <xdr:col>1</xdr:col>
                <xdr:colOff>3829050</xdr:colOff>
                <xdr:row>6</xdr:row>
                <xdr:rowOff>152400</xdr:rowOff>
              </to>
            </anchor>
          </objectPr>
        </oleObject>
      </mc:Choice>
      <mc:Fallback>
        <oleObject progId="Acrobat Document" dvAspect="DVASPECT_ICON" shapeId="4403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1307833</v>
      </c>
      <c r="C8" s="1813">
        <f>'Acct Summary 7-8'!D8</f>
        <v>135469</v>
      </c>
      <c r="D8" s="1813">
        <f>'Acct Summary 7-8'!F8</f>
        <v>108338</v>
      </c>
      <c r="E8" s="1813">
        <f>'Acct Summary 7-8'!I8</f>
        <v>10797</v>
      </c>
      <c r="F8" s="1813">
        <f>SUM(B8:E8)</f>
        <v>1562437</v>
      </c>
    </row>
    <row r="9" spans="1:8" s="858" customFormat="1" ht="14.25" customHeight="1" thickBot="1" x14ac:dyDescent="0.25">
      <c r="A9" s="857" t="s">
        <v>1353</v>
      </c>
      <c r="B9" s="1814">
        <f>'Acct Summary 7-8'!C17</f>
        <v>1250445</v>
      </c>
      <c r="C9" s="1814">
        <f>'Acct Summary 7-8'!D17</f>
        <v>68965</v>
      </c>
      <c r="D9" s="1814">
        <f>'Acct Summary 7-8'!F17</f>
        <v>98755</v>
      </c>
      <c r="E9" s="1813"/>
      <c r="F9" s="1813">
        <f>SUM(B9:E9)</f>
        <v>1418165</v>
      </c>
    </row>
    <row r="10" spans="1:8" s="858" customFormat="1" ht="14.25" thickTop="1" thickBot="1" x14ac:dyDescent="0.25">
      <c r="A10" s="859" t="s">
        <v>1354</v>
      </c>
      <c r="B10" s="1815">
        <f>(B8-B9)</f>
        <v>57388</v>
      </c>
      <c r="C10" s="1815">
        <f>(C8-C9)</f>
        <v>66504</v>
      </c>
      <c r="D10" s="1815">
        <f>(D8-D9)</f>
        <v>9583</v>
      </c>
      <c r="E10" s="1814">
        <f>(E8-E9)</f>
        <v>10797</v>
      </c>
      <c r="F10" s="1816">
        <f>SUM(F8-F9)</f>
        <v>144272</v>
      </c>
    </row>
    <row r="11" spans="1:8" s="858" customFormat="1" ht="14.25" thickTop="1" thickBot="1" x14ac:dyDescent="0.25">
      <c r="A11" s="860" t="s">
        <v>1903</v>
      </c>
      <c r="B11" s="1817">
        <f>'Acct Summary 7-8'!C81</f>
        <v>1001573</v>
      </c>
      <c r="C11" s="1817">
        <f>'Acct Summary 7-8'!D81</f>
        <v>226419</v>
      </c>
      <c r="D11" s="1817">
        <f>'Acct Summary 7-8'!F81</f>
        <v>112743</v>
      </c>
      <c r="E11" s="1817">
        <f>'Acct Summary 7-8'!I81</f>
        <v>0</v>
      </c>
      <c r="F11" s="1818">
        <f>SUM(B11:E11)</f>
        <v>1340735</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20096006004</v>
      </c>
      <c r="E2" s="1542">
        <v>2020</v>
      </c>
      <c r="F2" s="1542">
        <v>1</v>
      </c>
      <c r="G2" s="1899">
        <v>101000300</v>
      </c>
    </row>
    <row r="3" spans="1:7" ht="15" x14ac:dyDescent="0.25">
      <c r="A3" t="s">
        <v>950</v>
      </c>
      <c r="B3" s="135" t="str">
        <f>COVER!A15</f>
        <v>Wayne</v>
      </c>
      <c r="E3" s="1830" t="s">
        <v>1971</v>
      </c>
      <c r="F3" s="1830" t="s">
        <v>1970</v>
      </c>
      <c r="G3" s="1899">
        <v>101000400</v>
      </c>
    </row>
    <row r="4" spans="1:7" ht="15" x14ac:dyDescent="0.25">
      <c r="A4" t="s">
        <v>1000</v>
      </c>
      <c r="B4" s="135" t="str">
        <f>COVER!A17</f>
        <v>New Hope CCSD 6</v>
      </c>
      <c r="E4" s="1828">
        <v>44119</v>
      </c>
      <c r="F4" s="1829">
        <v>44151</v>
      </c>
      <c r="G4" s="1899">
        <v>101000600</v>
      </c>
    </row>
    <row r="5" spans="1:7" ht="15" x14ac:dyDescent="0.25">
      <c r="A5" t="s">
        <v>699</v>
      </c>
      <c r="B5" s="135" t="str">
        <f>COVER!A38</f>
        <v>Julie Harrelson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f>COVER!T23</f>
        <v>65.032562999999996</v>
      </c>
      <c r="G15" s="1899">
        <v>402100400</v>
      </c>
    </row>
    <row r="16" spans="1:7" ht="15" x14ac:dyDescent="0.25">
      <c r="A16" t="s">
        <v>419</v>
      </c>
      <c r="B16" s="135" t="str">
        <f>COVER!T13</f>
        <v>Kemper CPA Group LLP</v>
      </c>
      <c r="G16" s="1899">
        <v>402100600</v>
      </c>
    </row>
    <row r="17" spans="1:7" ht="15" x14ac:dyDescent="0.25">
      <c r="A17" t="s">
        <v>878</v>
      </c>
      <c r="B17" s="135" t="str">
        <f>COVER!T15</f>
        <v>Krista McLaren</v>
      </c>
      <c r="G17" s="1899">
        <v>402100800</v>
      </c>
    </row>
    <row r="18" spans="1:7" ht="15" x14ac:dyDescent="0.25">
      <c r="A18" t="s">
        <v>1140</v>
      </c>
      <c r="B18" s="135" t="str">
        <f>COVER!T17</f>
        <v>703 W. Main St, PO Box 447</v>
      </c>
      <c r="G18" s="1899">
        <v>102200300</v>
      </c>
    </row>
    <row r="19" spans="1:7" ht="15" x14ac:dyDescent="0.25">
      <c r="A19" t="s">
        <v>880</v>
      </c>
      <c r="B19" s="135" t="str">
        <f>COVER!T25</f>
        <v>kmclaren@kempercpa.com</v>
      </c>
      <c r="G19" s="1899">
        <v>102200400</v>
      </c>
    </row>
    <row r="20" spans="1:7" ht="15" x14ac:dyDescent="0.25">
      <c r="A20" t="s">
        <v>881</v>
      </c>
      <c r="B20" s="135" t="str">
        <f>COVER!T19</f>
        <v>Olney</v>
      </c>
      <c r="G20" s="1899">
        <v>102200600</v>
      </c>
    </row>
    <row r="21" spans="1:7" ht="15" x14ac:dyDescent="0.25">
      <c r="A21" t="s">
        <v>476</v>
      </c>
      <c r="B21" s="135" t="str">
        <f>COVER!X19</f>
        <v>IL</v>
      </c>
      <c r="G21" s="1899">
        <v>102200800</v>
      </c>
    </row>
    <row r="22" spans="1:7" ht="15" x14ac:dyDescent="0.25">
      <c r="A22" t="s">
        <v>882</v>
      </c>
      <c r="B22" s="135">
        <f>COVER!Z19</f>
        <v>62450</v>
      </c>
      <c r="G22" s="1899">
        <v>102300300</v>
      </c>
    </row>
    <row r="23" spans="1:7" ht="15" x14ac:dyDescent="0.25">
      <c r="A23" t="s">
        <v>1142</v>
      </c>
      <c r="B23" s="135" t="str">
        <f>COVER!T21</f>
        <v>618-395-2105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330215</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1001573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1000620</v>
      </c>
      <c r="D92" s="2" t="str">
        <f t="shared" si="0"/>
        <v>Error?</v>
      </c>
      <c r="G92" s="1899">
        <v>102640600</v>
      </c>
    </row>
    <row r="93" spans="1:7" ht="15" x14ac:dyDescent="0.25">
      <c r="A93" s="5">
        <v>32</v>
      </c>
      <c r="B93" s="1832">
        <f>'Assets-Liab 5-6'!C41</f>
        <v>1001573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226419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218919</v>
      </c>
      <c r="D123" s="2" t="str">
        <f t="shared" si="0"/>
        <v>Error?</v>
      </c>
      <c r="G123" s="1899">
        <v>203000400</v>
      </c>
    </row>
    <row r="124" spans="1:7" ht="15" x14ac:dyDescent="0.25">
      <c r="A124" s="5">
        <v>63</v>
      </c>
      <c r="B124" s="1832">
        <f>'Assets-Liab 5-6'!D41</f>
        <v>226419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63583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63583</v>
      </c>
      <c r="D140" s="2" t="str">
        <f t="shared" si="1"/>
        <v>Error?</v>
      </c>
    </row>
    <row r="141" spans="1:7" x14ac:dyDescent="0.2">
      <c r="A141" s="5">
        <v>80</v>
      </c>
      <c r="B141" s="1832">
        <f>'Assets-Liab 5-6'!E41</f>
        <v>63583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112743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112743</v>
      </c>
      <c r="D170" s="2" t="str">
        <f t="shared" si="1"/>
        <v>Error?</v>
      </c>
    </row>
    <row r="171" spans="1:4" x14ac:dyDescent="0.2">
      <c r="A171" s="5">
        <v>110</v>
      </c>
      <c r="B171" s="1832">
        <f>'Assets-Liab 5-6'!F41</f>
        <v>112743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207560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143002</v>
      </c>
      <c r="D189" s="2" t="str">
        <f t="shared" si="1"/>
        <v>Error?</v>
      </c>
    </row>
    <row r="190" spans="1:4" x14ac:dyDescent="0.2">
      <c r="A190" s="5">
        <v>129</v>
      </c>
      <c r="B190" s="1832">
        <f>'Assets-Liab 5-6'!G41</f>
        <v>207560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2131</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2131</v>
      </c>
      <c r="D212" s="2" t="str">
        <f t="shared" si="2"/>
        <v>Error?</v>
      </c>
    </row>
    <row r="213" spans="1:4" x14ac:dyDescent="0.2">
      <c r="A213" s="12">
        <v>152</v>
      </c>
      <c r="B213" s="1832">
        <f>'Assets-Liab 5-6'!H41</f>
        <v>2131</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15515</v>
      </c>
      <c r="D273" s="2" t="str">
        <f t="shared" si="3"/>
        <v>Error?</v>
      </c>
    </row>
    <row r="274" spans="1:4" x14ac:dyDescent="0.2">
      <c r="A274" s="5">
        <v>213</v>
      </c>
      <c r="B274" s="1832">
        <f>'Assets-Liab 5-6'!M17</f>
        <v>4136679</v>
      </c>
      <c r="D274" s="2" t="str">
        <f t="shared" si="3"/>
        <v>Error?</v>
      </c>
    </row>
    <row r="275" spans="1:4" x14ac:dyDescent="0.2">
      <c r="A275" s="5">
        <v>214</v>
      </c>
      <c r="B275" s="1832">
        <f>'Assets-Liab 5-6'!M18</f>
        <v>213517</v>
      </c>
      <c r="D275" s="2" t="str">
        <f t="shared" si="3"/>
        <v>Error?</v>
      </c>
    </row>
    <row r="276" spans="1:4" x14ac:dyDescent="0.2">
      <c r="A276" s="5">
        <v>215</v>
      </c>
      <c r="B276" s="1832">
        <f>'Assets-Liab 5-6'!M19</f>
        <v>398407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4951698</v>
      </c>
      <c r="C279" s="2" t="s">
        <v>569</v>
      </c>
      <c r="D279" s="2" t="str">
        <f t="shared" si="3"/>
        <v>Error?</v>
      </c>
    </row>
    <row r="280" spans="1:4" x14ac:dyDescent="0.2">
      <c r="A280" s="5">
        <v>219</v>
      </c>
      <c r="B280" s="1832">
        <f>'Assets-Liab 5-6'!M40</f>
        <v>4951698</v>
      </c>
      <c r="D280" s="2" t="str">
        <f t="shared" si="3"/>
        <v>Error?</v>
      </c>
    </row>
    <row r="281" spans="1:4" x14ac:dyDescent="0.2">
      <c r="A281" s="5">
        <v>220</v>
      </c>
      <c r="B281" s="1832">
        <f>'Assets-Liab 5-6'!M41</f>
        <v>4951698</v>
      </c>
      <c r="C281" s="2" t="s">
        <v>569</v>
      </c>
      <c r="D281" s="2" t="str">
        <f t="shared" si="3"/>
        <v>Error?</v>
      </c>
    </row>
    <row r="282" spans="1:4" x14ac:dyDescent="0.2">
      <c r="A282" s="5">
        <v>221</v>
      </c>
      <c r="B282" s="1832">
        <f>'Assets-Liab 5-6'!N21</f>
        <v>63583</v>
      </c>
      <c r="D282" s="2" t="str">
        <f t="shared" si="3"/>
        <v>Error?</v>
      </c>
    </row>
    <row r="283" spans="1:4" x14ac:dyDescent="0.2">
      <c r="A283" s="5">
        <v>222</v>
      </c>
      <c r="B283" s="1832">
        <f>'Assets-Liab 5-6'!N22</f>
        <v>397761</v>
      </c>
      <c r="D283" s="2" t="str">
        <f t="shared" si="3"/>
        <v>Error?</v>
      </c>
    </row>
    <row r="284" spans="1:4" x14ac:dyDescent="0.2">
      <c r="A284" s="5">
        <v>223</v>
      </c>
      <c r="B284" s="1832">
        <f>'Assets-Liab 5-6'!N23</f>
        <v>461344</v>
      </c>
      <c r="C284" s="2" t="s">
        <v>569</v>
      </c>
      <c r="D284" s="2" t="str">
        <f t="shared" si="3"/>
        <v>Error?</v>
      </c>
    </row>
    <row r="285" spans="1:4" x14ac:dyDescent="0.2">
      <c r="A285" s="5">
        <v>224</v>
      </c>
      <c r="B285" s="1832">
        <f>'Assets-Liab 5-6'!N36</f>
        <v>461344</v>
      </c>
      <c r="D285" s="2" t="str">
        <f t="shared" si="3"/>
        <v>Error?</v>
      </c>
    </row>
    <row r="286" spans="1:4" x14ac:dyDescent="0.2">
      <c r="A286" s="10">
        <v>225</v>
      </c>
      <c r="B286" s="1832"/>
      <c r="D286" s="2" t="str">
        <f t="shared" si="3"/>
        <v>OK</v>
      </c>
    </row>
    <row r="287" spans="1:4" x14ac:dyDescent="0.2">
      <c r="A287" s="5">
        <v>226</v>
      </c>
      <c r="B287" s="1832">
        <f>'Assets-Liab 5-6'!N37</f>
        <v>461344</v>
      </c>
      <c r="C287" s="2" t="s">
        <v>569</v>
      </c>
      <c r="D287" s="2" t="str">
        <f t="shared" si="3"/>
        <v>Error?</v>
      </c>
    </row>
    <row r="288" spans="1:4" x14ac:dyDescent="0.2">
      <c r="A288" s="5">
        <v>227</v>
      </c>
      <c r="B288" s="1832">
        <f>'Assets-Liab 5-6'!N41</f>
        <v>461344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10797</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574930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15545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652908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50356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50356</v>
      </c>
      <c r="C727" s="2" t="s">
        <v>569</v>
      </c>
      <c r="D727" s="2" t="str">
        <f t="shared" si="10"/>
        <v>Error?</v>
      </c>
    </row>
    <row r="728" spans="1:4" x14ac:dyDescent="0.2">
      <c r="A728" s="5">
        <v>667</v>
      </c>
      <c r="B728" s="1832">
        <f>'Expenditures 15-22'!C44</f>
        <v>2000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2000</v>
      </c>
      <c r="C731" s="2" t="s">
        <v>569</v>
      </c>
      <c r="D731" s="2" t="str">
        <f t="shared" si="10"/>
        <v>Error?</v>
      </c>
    </row>
    <row r="732" spans="1:4" x14ac:dyDescent="0.2">
      <c r="A732" s="5">
        <v>671</v>
      </c>
      <c r="B732" s="1832">
        <f>'Expenditures 15-22'!C49</f>
        <v>2000</v>
      </c>
      <c r="D732" s="2" t="str">
        <f t="shared" si="10"/>
        <v>Error?</v>
      </c>
    </row>
    <row r="733" spans="1:4" x14ac:dyDescent="0.2">
      <c r="A733" s="5">
        <v>672</v>
      </c>
      <c r="B733" s="1832">
        <f>'Expenditures 15-22'!C50</f>
        <v>37324</v>
      </c>
      <c r="D733" s="2" t="str">
        <f t="shared" si="10"/>
        <v>Error?</v>
      </c>
    </row>
    <row r="734" spans="1:4" x14ac:dyDescent="0.2">
      <c r="A734" s="5">
        <v>673</v>
      </c>
      <c r="B734" s="1832">
        <f>'Expenditures 15-22'!C53</f>
        <v>47324</v>
      </c>
      <c r="C734" s="2" t="s">
        <v>569</v>
      </c>
      <c r="D734" s="2" t="str">
        <f t="shared" si="10"/>
        <v>Error?</v>
      </c>
    </row>
    <row r="735" spans="1:4" x14ac:dyDescent="0.2">
      <c r="A735" s="5">
        <v>674</v>
      </c>
      <c r="B735" s="1832">
        <f>'Expenditures 15-22'!C55</f>
        <v>49209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49209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45369</v>
      </c>
      <c r="D739" s="2" t="str">
        <f t="shared" si="10"/>
        <v>Error?</v>
      </c>
    </row>
    <row r="740" spans="1:4" x14ac:dyDescent="0.2">
      <c r="A740" s="5">
        <v>679</v>
      </c>
      <c r="B740" s="1832">
        <f>'Expenditures 15-22'!C61</f>
        <v>39429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30062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114860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263749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916657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87929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882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94302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6674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6674</v>
      </c>
      <c r="C785" s="2" t="s">
        <v>569</v>
      </c>
      <c r="D785" s="2" t="str">
        <f t="shared" si="11"/>
        <v>Error?</v>
      </c>
    </row>
    <row r="786" spans="1:4" x14ac:dyDescent="0.2">
      <c r="A786" s="5">
        <v>725</v>
      </c>
      <c r="B786" s="1832">
        <f>'Expenditures 15-22'!D44</f>
        <v>558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558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4673</v>
      </c>
      <c r="D791" s="2" t="str">
        <f t="shared" si="11"/>
        <v>Error?</v>
      </c>
    </row>
    <row r="792" spans="1:4" x14ac:dyDescent="0.2">
      <c r="A792" s="5">
        <v>731</v>
      </c>
      <c r="B792" s="1832">
        <f>'Expenditures 15-22'!D53</f>
        <v>5925</v>
      </c>
      <c r="C792" s="2" t="s">
        <v>569</v>
      </c>
      <c r="D792" s="2" t="str">
        <f t="shared" si="11"/>
        <v>Error?</v>
      </c>
    </row>
    <row r="793" spans="1:4" x14ac:dyDescent="0.2">
      <c r="A793" s="5">
        <v>732</v>
      </c>
      <c r="B793" s="1832">
        <f>'Expenditures 15-22'!D55</f>
        <v>5778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5778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3728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3728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22663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116965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26398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6240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64214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562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291</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853</v>
      </c>
      <c r="C843" s="2" t="s">
        <v>569</v>
      </c>
      <c r="D843" s="2" t="str">
        <f t="shared" si="12"/>
        <v>Error?</v>
      </c>
    </row>
    <row r="844" spans="1:4" x14ac:dyDescent="0.2">
      <c r="A844" s="5">
        <v>783</v>
      </c>
      <c r="B844" s="1832">
        <f>'Expenditures 15-22'!E44</f>
        <v>500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500</v>
      </c>
      <c r="C847" s="2" t="s">
        <v>569</v>
      </c>
      <c r="D847" s="2" t="str">
        <f t="shared" si="12"/>
        <v>Error?</v>
      </c>
    </row>
    <row r="848" spans="1:4" x14ac:dyDescent="0.2">
      <c r="A848" s="5">
        <v>787</v>
      </c>
      <c r="B848" s="1832">
        <f>'Expenditures 15-22'!E49</f>
        <v>7162</v>
      </c>
      <c r="D848" s="2" t="str">
        <f t="shared" si="12"/>
        <v>Error?</v>
      </c>
    </row>
    <row r="849" spans="1:4" x14ac:dyDescent="0.2">
      <c r="A849" s="5">
        <v>788</v>
      </c>
      <c r="B849" s="1832">
        <f>'Expenditures 15-22'!E50</f>
        <v>2908</v>
      </c>
      <c r="D849" s="2" t="str">
        <f t="shared" si="12"/>
        <v>Error?</v>
      </c>
    </row>
    <row r="850" spans="1:4" x14ac:dyDescent="0.2">
      <c r="A850" s="5">
        <v>789</v>
      </c>
      <c r="B850" s="1832">
        <f>'Expenditures 15-22'!E53</f>
        <v>10070</v>
      </c>
      <c r="C850" s="2" t="s">
        <v>569</v>
      </c>
      <c r="D850" s="2" t="str">
        <f t="shared" si="12"/>
        <v>Error?</v>
      </c>
    </row>
    <row r="851" spans="1:4" x14ac:dyDescent="0.2">
      <c r="A851" s="5">
        <v>790</v>
      </c>
      <c r="B851" s="1832">
        <f>'Expenditures 15-22'!E55</f>
        <v>2805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2805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6394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625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7019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21247</v>
      </c>
      <c r="C871" s="2" t="s">
        <v>569</v>
      </c>
      <c r="D871" s="2" t="str">
        <f t="shared" si="12"/>
        <v>Error?</v>
      </c>
    </row>
    <row r="872" spans="1:4" x14ac:dyDescent="0.2">
      <c r="A872" s="5">
        <v>811</v>
      </c>
      <c r="B872" s="1832">
        <f>'Expenditures 15-22'!E75</f>
        <v>486</v>
      </c>
      <c r="D872" s="2" t="str">
        <f t="shared" si="12"/>
        <v>Error?</v>
      </c>
    </row>
    <row r="873" spans="1:4" x14ac:dyDescent="0.2">
      <c r="A873" s="5">
        <v>812</v>
      </c>
      <c r="B873" s="1832">
        <f>'Expenditures 15-22'!E114</f>
        <v>103694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21473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4723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41438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675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743</v>
      </c>
      <c r="C901" s="2" t="s">
        <v>569</v>
      </c>
      <c r="D901" s="2" t="str">
        <f t="shared" si="13"/>
        <v>Error?</v>
      </c>
    </row>
    <row r="902" spans="1:4" x14ac:dyDescent="0.2">
      <c r="A902" s="5">
        <v>841</v>
      </c>
      <c r="B902" s="1832">
        <f>'Expenditures 15-22'!F44</f>
        <v>9352</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9352</v>
      </c>
      <c r="C905" s="2" t="s">
        <v>569</v>
      </c>
      <c r="D905" s="2" t="str">
        <f t="shared" si="13"/>
        <v>Error?</v>
      </c>
    </row>
    <row r="906" spans="1:4" x14ac:dyDescent="0.2">
      <c r="A906" s="5">
        <v>845</v>
      </c>
      <c r="B906" s="1832">
        <f>'Expenditures 15-22'!F49</f>
        <v>495</v>
      </c>
      <c r="D906" s="2" t="str">
        <f t="shared" si="13"/>
        <v>Error?</v>
      </c>
    </row>
    <row r="907" spans="1:4" x14ac:dyDescent="0.2">
      <c r="A907" s="5">
        <v>846</v>
      </c>
      <c r="B907" s="1832">
        <f>'Expenditures 15-22'!F50</f>
        <v>55</v>
      </c>
      <c r="D907" s="2" t="str">
        <f t="shared" si="13"/>
        <v>Error?</v>
      </c>
    </row>
    <row r="908" spans="1:4" x14ac:dyDescent="0.2">
      <c r="A908" s="5">
        <v>847</v>
      </c>
      <c r="B908" s="1832">
        <f>'Expenditures 15-22'!F53</f>
        <v>550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693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42002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42695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53340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94778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290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290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1815</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1815</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1815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16246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18351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710730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27680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853152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630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57996</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58626</v>
      </c>
      <c r="C1115" s="2" t="s">
        <v>569</v>
      </c>
      <c r="D1115" s="2" t="str">
        <f t="shared" si="16"/>
        <v>Error?</v>
      </c>
    </row>
    <row r="1116" spans="1:4" x14ac:dyDescent="0.2">
      <c r="A1116" s="5">
        <v>1055</v>
      </c>
      <c r="B1116" s="1832">
        <f>'Expenditures 15-22'!K44</f>
        <v>12410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12410</v>
      </c>
      <c r="C1119" s="2" t="s">
        <v>569</v>
      </c>
      <c r="D1119" s="2" t="str">
        <f t="shared" si="16"/>
        <v>Error?</v>
      </c>
    </row>
    <row r="1120" spans="1:4" x14ac:dyDescent="0.2">
      <c r="A1120" s="5">
        <v>1059</v>
      </c>
      <c r="B1120" s="1832">
        <f>'Expenditures 15-22'!K49</f>
        <v>11472</v>
      </c>
      <c r="C1120" s="2" t="s">
        <v>569</v>
      </c>
      <c r="D1120" s="2" t="str">
        <f t="shared" si="16"/>
        <v>Error?</v>
      </c>
    </row>
    <row r="1121" spans="1:4" x14ac:dyDescent="0.2">
      <c r="A1121" s="5">
        <v>1060</v>
      </c>
      <c r="B1121" s="1832">
        <f>'Expenditures 15-22'!K50</f>
        <v>44960</v>
      </c>
      <c r="C1121" s="2" t="s">
        <v>569</v>
      </c>
      <c r="D1121" s="2" t="str">
        <f t="shared" si="16"/>
        <v>Error?</v>
      </c>
    </row>
    <row r="1122" spans="1:4" x14ac:dyDescent="0.2">
      <c r="A1122" s="5">
        <v>1061</v>
      </c>
      <c r="B1122" s="1832">
        <f>'Expenditures 15-22'!K53</f>
        <v>65684</v>
      </c>
      <c r="C1122" s="2" t="s">
        <v>569</v>
      </c>
      <c r="D1122" s="2" t="str">
        <f t="shared" si="16"/>
        <v>Error?</v>
      </c>
    </row>
    <row r="1123" spans="1:4" x14ac:dyDescent="0.2">
      <c r="A1123" s="5">
        <v>1062</v>
      </c>
      <c r="B1123" s="1832">
        <f>'Expenditures 15-22'!K55</f>
        <v>57792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57792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52456</v>
      </c>
      <c r="C1127" s="2" t="s">
        <v>569</v>
      </c>
      <c r="D1127" s="2" t="str">
        <f t="shared" si="16"/>
        <v>Error?</v>
      </c>
    </row>
    <row r="1128" spans="1:4" x14ac:dyDescent="0.2">
      <c r="A1128" s="5">
        <v>1067</v>
      </c>
      <c r="B1128" s="1832">
        <f>'Expenditures 15-22'!K61</f>
        <v>43157</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72689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168302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362814</v>
      </c>
      <c r="C1143" s="2" t="s">
        <v>569</v>
      </c>
      <c r="D1143" s="2" t="str">
        <f t="shared" si="16"/>
        <v>Error?</v>
      </c>
    </row>
    <row r="1144" spans="1:4" x14ac:dyDescent="0.2">
      <c r="A1144" s="5">
        <v>1083</v>
      </c>
      <c r="B1144" s="1832">
        <f>'Expenditures 15-22'!K75</f>
        <v>486</v>
      </c>
      <c r="C1144" s="2" t="s">
        <v>569</v>
      </c>
      <c r="D1144" s="2" t="str">
        <f t="shared" si="16"/>
        <v>Error?</v>
      </c>
    </row>
    <row r="1145" spans="1:4" x14ac:dyDescent="0.2">
      <c r="A1145" s="5">
        <v>1084</v>
      </c>
      <c r="B1145" s="1832">
        <f>'Expenditures 15-22'!K102</f>
        <v>33993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1250445</v>
      </c>
      <c r="C1152" s="2" t="s">
        <v>569</v>
      </c>
      <c r="D1152" s="2" t="str">
        <f t="shared" si="17"/>
        <v>Error?</v>
      </c>
    </row>
    <row r="1153" spans="1:4" x14ac:dyDescent="0.2">
      <c r="A1153" s="5">
        <v>1092</v>
      </c>
      <c r="B1153" s="1832">
        <f>'Expenditures 15-22'!K115</f>
        <v>57388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22531</v>
      </c>
      <c r="D1237" s="2" t="str">
        <f t="shared" si="18"/>
        <v>Error?</v>
      </c>
    </row>
    <row r="1238" spans="1:4" x14ac:dyDescent="0.2">
      <c r="A1238" s="10">
        <v>1177</v>
      </c>
      <c r="B1238" s="1832"/>
      <c r="D1238" s="2" t="str">
        <f t="shared" si="18"/>
        <v>OK</v>
      </c>
    </row>
    <row r="1239" spans="1:4" x14ac:dyDescent="0.2">
      <c r="A1239" s="5">
        <v>1178</v>
      </c>
      <c r="B1239" s="1832">
        <f>'Expenditures 15-22'!E127</f>
        <v>22531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22531</v>
      </c>
      <c r="C1241" s="2" t="s">
        <v>569</v>
      </c>
      <c r="D1241" s="2" t="str">
        <f t="shared" si="18"/>
        <v>Error?</v>
      </c>
    </row>
    <row r="1242" spans="1:4" x14ac:dyDescent="0.2">
      <c r="A1242" s="5">
        <v>1181</v>
      </c>
      <c r="B1242" s="1832">
        <f>'Expenditures 15-22'!E151</f>
        <v>22531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43452</v>
      </c>
      <c r="D1245" s="2" t="str">
        <f t="shared" si="18"/>
        <v>Error?</v>
      </c>
    </row>
    <row r="1246" spans="1:4" x14ac:dyDescent="0.2">
      <c r="A1246" s="10">
        <v>1185</v>
      </c>
      <c r="B1246" s="1832"/>
      <c r="D1246" s="2" t="str">
        <f t="shared" si="18"/>
        <v>OK</v>
      </c>
    </row>
    <row r="1247" spans="1:4" x14ac:dyDescent="0.2">
      <c r="A1247" s="5">
        <v>1186</v>
      </c>
      <c r="B1247" s="1832">
        <f>'Expenditures 15-22'!F127</f>
        <v>43452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43452</v>
      </c>
      <c r="C1249" s="2" t="s">
        <v>569</v>
      </c>
      <c r="D1249" s="2" t="str">
        <f t="shared" si="18"/>
        <v>Error?</v>
      </c>
    </row>
    <row r="1250" spans="1:4" x14ac:dyDescent="0.2">
      <c r="A1250" s="5">
        <v>1189</v>
      </c>
      <c r="B1250" s="1832">
        <f>'Expenditures 15-22'!F151</f>
        <v>43452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2982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2982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2982</v>
      </c>
      <c r="C1258" s="2" t="s">
        <v>569</v>
      </c>
      <c r="D1258" s="2" t="str">
        <f t="shared" si="18"/>
        <v>Error?</v>
      </c>
    </row>
    <row r="1259" spans="1:4" x14ac:dyDescent="0.2">
      <c r="A1259" s="5">
        <v>1198</v>
      </c>
      <c r="B1259" s="1832">
        <f>'Expenditures 15-22'!G151</f>
        <v>2982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68965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68965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68965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68965</v>
      </c>
      <c r="C1288" s="2" t="s">
        <v>569</v>
      </c>
      <c r="D1288" s="2" t="str">
        <f t="shared" si="19"/>
        <v>Error?</v>
      </c>
    </row>
    <row r="1289" spans="1:4" x14ac:dyDescent="0.2">
      <c r="A1289" s="5">
        <v>1228</v>
      </c>
      <c r="B1289" s="1832">
        <f>'Expenditures 15-22'!K152</f>
        <v>66504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13262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46600</v>
      </c>
      <c r="D1315" s="2" t="str">
        <f t="shared" si="19"/>
        <v>Error?</v>
      </c>
    </row>
    <row r="1316" spans="1:4" x14ac:dyDescent="0.2">
      <c r="A1316" s="5">
        <v>1255</v>
      </c>
      <c r="B1316" s="1832">
        <f>'Expenditures 15-22'!H171</f>
        <v>200</v>
      </c>
      <c r="D1316" s="2" t="str">
        <f t="shared" si="19"/>
        <v>Error?</v>
      </c>
    </row>
    <row r="1317" spans="1:4" x14ac:dyDescent="0.2">
      <c r="A1317" s="5">
        <v>1256</v>
      </c>
      <c r="B1317" s="1832">
        <f>'Expenditures 15-22'!H172</f>
        <v>60062</v>
      </c>
      <c r="C1317" s="2" t="s">
        <v>569</v>
      </c>
      <c r="D1317" s="2" t="str">
        <f t="shared" si="19"/>
        <v>Error?</v>
      </c>
    </row>
    <row r="1318" spans="1:4" x14ac:dyDescent="0.2">
      <c r="A1318" s="5">
        <v>1257</v>
      </c>
      <c r="B1318" s="1832">
        <f>'Expenditures 15-22'!H174</f>
        <v>60062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13262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46600</v>
      </c>
      <c r="C1329" s="2" t="s">
        <v>569</v>
      </c>
      <c r="D1329" s="2" t="str">
        <f t="shared" si="19"/>
        <v>Error?</v>
      </c>
    </row>
    <row r="1330" spans="1:4" x14ac:dyDescent="0.2">
      <c r="A1330" s="5">
        <v>1269</v>
      </c>
      <c r="B1330" s="1832">
        <f>'Expenditures 15-22'!K171</f>
        <v>200</v>
      </c>
      <c r="C1330" s="2" t="s">
        <v>569</v>
      </c>
      <c r="D1330" s="2" t="str">
        <f t="shared" si="19"/>
        <v>Error?</v>
      </c>
    </row>
    <row r="1331" spans="1:4" x14ac:dyDescent="0.2">
      <c r="A1331" s="5">
        <v>1270</v>
      </c>
      <c r="B1331" s="1832">
        <f>'Expenditures 15-22'!K172</f>
        <v>60062</v>
      </c>
      <c r="C1331" s="2" t="s">
        <v>569</v>
      </c>
      <c r="D1331" s="2" t="str">
        <f t="shared" si="19"/>
        <v>Error?</v>
      </c>
    </row>
    <row r="1332" spans="1:4" x14ac:dyDescent="0.2">
      <c r="A1332" s="5">
        <v>1271</v>
      </c>
      <c r="B1332" s="1832">
        <f>'Expenditures 15-22'!K174</f>
        <v>60062</v>
      </c>
      <c r="C1332" s="2" t="s">
        <v>569</v>
      </c>
      <c r="D1332" s="2" t="str">
        <f t="shared" si="19"/>
        <v>Error?</v>
      </c>
    </row>
    <row r="1333" spans="1:4" x14ac:dyDescent="0.2">
      <c r="A1333" s="5">
        <v>1272</v>
      </c>
      <c r="B1333" s="1832">
        <f>'Expenditures 15-22'!K175</f>
        <v>1141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31771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36438</v>
      </c>
      <c r="C1339" s="2" t="s">
        <v>569</v>
      </c>
      <c r="D1339" s="2" t="str">
        <f t="shared" si="19"/>
        <v>Error?</v>
      </c>
    </row>
    <row r="1340" spans="1:4" x14ac:dyDescent="0.2">
      <c r="A1340" s="5">
        <v>1279</v>
      </c>
      <c r="B1340" s="1832">
        <f>'Expenditures 15-22'!C210</f>
        <v>36438</v>
      </c>
      <c r="C1340" s="2" t="s">
        <v>569</v>
      </c>
      <c r="D1340" s="2" t="str">
        <f t="shared" si="19"/>
        <v>Error?</v>
      </c>
    </row>
    <row r="1341" spans="1:4" x14ac:dyDescent="0.2">
      <c r="A1341" s="5">
        <v>1280</v>
      </c>
      <c r="B1341" s="1832">
        <f>'Expenditures 15-22'!D182</f>
        <v>306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880</v>
      </c>
      <c r="C1345" s="2" t="s">
        <v>569</v>
      </c>
      <c r="D1345" s="2" t="str">
        <f t="shared" si="20"/>
        <v>Error?</v>
      </c>
    </row>
    <row r="1346" spans="1:4" x14ac:dyDescent="0.2">
      <c r="A1346" s="5">
        <v>1285</v>
      </c>
      <c r="B1346" s="1832">
        <f>'Expenditures 15-22'!D210</f>
        <v>880</v>
      </c>
      <c r="C1346" s="2" t="s">
        <v>569</v>
      </c>
      <c r="D1346" s="2" t="str">
        <f t="shared" si="20"/>
        <v>Error?</v>
      </c>
    </row>
    <row r="1347" spans="1:4" x14ac:dyDescent="0.2">
      <c r="A1347" s="5">
        <v>1286</v>
      </c>
      <c r="B1347" s="1832">
        <f>'Expenditures 15-22'!E182</f>
        <v>10972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10972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10972</v>
      </c>
      <c r="C1353" s="2" t="s">
        <v>569</v>
      </c>
      <c r="D1353" s="2" t="str">
        <f t="shared" si="20"/>
        <v>Error?</v>
      </c>
    </row>
    <row r="1354" spans="1:4" x14ac:dyDescent="0.2">
      <c r="A1354" s="5">
        <v>1293</v>
      </c>
      <c r="B1354" s="1832">
        <f>'Expenditures 15-22'!F182</f>
        <v>11069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11069</v>
      </c>
      <c r="C1358" s="2" t="s">
        <v>569</v>
      </c>
      <c r="D1358" s="2" t="str">
        <f t="shared" si="20"/>
        <v>Error?</v>
      </c>
    </row>
    <row r="1359" spans="1:4" x14ac:dyDescent="0.2">
      <c r="A1359" s="5">
        <v>1298</v>
      </c>
      <c r="B1359" s="1832">
        <f>'Expenditures 15-22'!F210</f>
        <v>11069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39396</v>
      </c>
      <c r="C1375" s="2" t="s">
        <v>569</v>
      </c>
      <c r="D1375" s="2" t="str">
        <f t="shared" si="20"/>
        <v>Error?</v>
      </c>
    </row>
    <row r="1376" spans="1:4" x14ac:dyDescent="0.2">
      <c r="A1376" s="5">
        <v>1315</v>
      </c>
      <c r="B1376" s="1832">
        <f>'Expenditures 15-22'!H210</f>
        <v>39396</v>
      </c>
      <c r="C1376" s="2" t="s">
        <v>569</v>
      </c>
      <c r="D1376" s="2" t="str">
        <f t="shared" si="20"/>
        <v>Error?</v>
      </c>
    </row>
    <row r="1377" spans="1:4" x14ac:dyDescent="0.2">
      <c r="A1377" s="5">
        <v>1316</v>
      </c>
      <c r="B1377" s="1832">
        <f>'Expenditures 15-22'!K182</f>
        <v>54118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59359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39396</v>
      </c>
      <c r="C1387" s="2" t="s">
        <v>569</v>
      </c>
      <c r="D1387" s="2" t="str">
        <f t="shared" si="20"/>
        <v>Error?</v>
      </c>
    </row>
    <row r="1388" spans="1:4" x14ac:dyDescent="0.2">
      <c r="A1388" s="5">
        <v>1327</v>
      </c>
      <c r="B1388" s="1832">
        <f>'Expenditures 15-22'!K210</f>
        <v>98755</v>
      </c>
      <c r="C1388" s="2" t="s">
        <v>569</v>
      </c>
      <c r="D1388" s="2" t="str">
        <f t="shared" si="20"/>
        <v>Error?</v>
      </c>
    </row>
    <row r="1389" spans="1:4" x14ac:dyDescent="0.2">
      <c r="A1389" s="5">
        <v>1328</v>
      </c>
      <c r="B1389" s="1832">
        <f>'Expenditures 15-22'!K211</f>
        <v>9583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876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19309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783</v>
      </c>
      <c r="D1415" s="2" t="str">
        <f t="shared" si="21"/>
        <v>Error?</v>
      </c>
    </row>
    <row r="1416" spans="1:4" x14ac:dyDescent="0.2">
      <c r="A1416" s="5">
        <v>1355</v>
      </c>
      <c r="B1416" s="1832">
        <f>'Expenditures 15-22'!D237</f>
        <v>79</v>
      </c>
      <c r="D1416" s="2" t="str">
        <f t="shared" si="21"/>
        <v>Error?</v>
      </c>
    </row>
    <row r="1417" spans="1:4" x14ac:dyDescent="0.2">
      <c r="A1417" s="5">
        <v>1356</v>
      </c>
      <c r="B1417" s="1832">
        <f>'Expenditures 15-22'!D238</f>
        <v>862</v>
      </c>
      <c r="C1417" s="2" t="s">
        <v>569</v>
      </c>
      <c r="D1417" s="2" t="str">
        <f t="shared" si="21"/>
        <v>Error?</v>
      </c>
    </row>
    <row r="1418" spans="1:4" x14ac:dyDescent="0.2">
      <c r="A1418" s="5">
        <v>1357</v>
      </c>
      <c r="B1418" s="1832">
        <f>'Expenditures 15-22'!D240</f>
        <v>28</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28</v>
      </c>
      <c r="C1421" s="2" t="s">
        <v>569</v>
      </c>
      <c r="D1421" s="2" t="str">
        <f t="shared" si="21"/>
        <v>Error?</v>
      </c>
    </row>
    <row r="1422" spans="1:4" x14ac:dyDescent="0.2">
      <c r="A1422" s="5">
        <v>1361</v>
      </c>
      <c r="B1422" s="1832">
        <f>'Expenditures 15-22'!D245</f>
        <v>153</v>
      </c>
      <c r="D1422" s="2" t="str">
        <f t="shared" si="21"/>
        <v>Error?</v>
      </c>
    </row>
    <row r="1423" spans="1:4" x14ac:dyDescent="0.2">
      <c r="A1423" s="5">
        <v>1362</v>
      </c>
      <c r="B1423" s="1832">
        <f>'Expenditures 15-22'!D246</f>
        <v>639</v>
      </c>
      <c r="D1423" s="2" t="str">
        <f t="shared" si="21"/>
        <v>Error?</v>
      </c>
    </row>
    <row r="1424" spans="1:4" x14ac:dyDescent="0.2">
      <c r="A1424" s="5">
        <v>1363</v>
      </c>
      <c r="B1424" s="1832">
        <f>'Expenditures 15-22'!D257</f>
        <v>906</v>
      </c>
      <c r="C1424" s="2" t="s">
        <v>569</v>
      </c>
      <c r="D1424" s="2" t="str">
        <f t="shared" si="21"/>
        <v>Error?</v>
      </c>
    </row>
    <row r="1425" spans="1:4" x14ac:dyDescent="0.2">
      <c r="A1425" s="5">
        <v>1364</v>
      </c>
      <c r="B1425" s="1832">
        <f>'Expenditures 15-22'!D259</f>
        <v>794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794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8651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7036</v>
      </c>
      <c r="D1431" s="2" t="str">
        <f t="shared" si="21"/>
        <v>Error?</v>
      </c>
    </row>
    <row r="1432" spans="1:4" x14ac:dyDescent="0.2">
      <c r="A1432" s="5">
        <v>1371</v>
      </c>
      <c r="B1432" s="1832">
        <f>'Expenditures 15-22'!D267</f>
        <v>4192</v>
      </c>
      <c r="D1432" s="2" t="str">
        <f t="shared" si="21"/>
        <v>Error?</v>
      </c>
    </row>
    <row r="1433" spans="1:4" x14ac:dyDescent="0.2">
      <c r="A1433" s="5">
        <v>1372</v>
      </c>
      <c r="B1433" s="1832">
        <f>'Expenditures 15-22'!D268</f>
        <v>5867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25746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28336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47645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876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19309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783</v>
      </c>
      <c r="C1479" s="2" t="s">
        <v>569</v>
      </c>
      <c r="D1479" s="2" t="str">
        <f t="shared" si="22"/>
        <v>Error?</v>
      </c>
    </row>
    <row r="1480" spans="1:4" x14ac:dyDescent="0.2">
      <c r="A1480" s="5">
        <v>1419</v>
      </c>
      <c r="B1480" s="1832">
        <f>'Expenditures 15-22'!K237</f>
        <v>79</v>
      </c>
      <c r="C1480" s="2" t="s">
        <v>569</v>
      </c>
      <c r="D1480" s="2" t="str">
        <f t="shared" si="22"/>
        <v>Error?</v>
      </c>
    </row>
    <row r="1481" spans="1:4" x14ac:dyDescent="0.2">
      <c r="A1481" s="5">
        <v>1420</v>
      </c>
      <c r="B1481" s="1832">
        <f>'Expenditures 15-22'!K238</f>
        <v>862</v>
      </c>
      <c r="C1481" s="2" t="s">
        <v>569</v>
      </c>
      <c r="D1481" s="2" t="str">
        <f t="shared" si="22"/>
        <v>Error?</v>
      </c>
    </row>
    <row r="1482" spans="1:4" x14ac:dyDescent="0.2">
      <c r="A1482" s="5">
        <v>1421</v>
      </c>
      <c r="B1482" s="1832">
        <f>'Expenditures 15-22'!K240</f>
        <v>28</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28</v>
      </c>
      <c r="C1485" s="2" t="s">
        <v>569</v>
      </c>
      <c r="D1485" s="2" t="str">
        <f t="shared" si="22"/>
        <v>Error?</v>
      </c>
    </row>
    <row r="1486" spans="1:4" x14ac:dyDescent="0.2">
      <c r="A1486" s="5">
        <v>1425</v>
      </c>
      <c r="B1486" s="1832">
        <f>'Expenditures 15-22'!K245</f>
        <v>153</v>
      </c>
      <c r="C1486" s="2" t="s">
        <v>569</v>
      </c>
      <c r="D1486" s="2" t="str">
        <f t="shared" si="22"/>
        <v>Error?</v>
      </c>
    </row>
    <row r="1487" spans="1:4" x14ac:dyDescent="0.2">
      <c r="A1487" s="5">
        <v>1426</v>
      </c>
      <c r="B1487" s="1832">
        <f>'Expenditures 15-22'!K246</f>
        <v>639</v>
      </c>
      <c r="C1487" s="2" t="s">
        <v>569</v>
      </c>
      <c r="D1487" s="2" t="str">
        <f t="shared" si="22"/>
        <v>Error?</v>
      </c>
    </row>
    <row r="1488" spans="1:4" x14ac:dyDescent="0.2">
      <c r="A1488" s="5">
        <v>1427</v>
      </c>
      <c r="B1488" s="1832">
        <f>'Expenditures 15-22'!K257</f>
        <v>906</v>
      </c>
      <c r="C1488" s="2" t="s">
        <v>569</v>
      </c>
      <c r="D1488" s="2" t="str">
        <f t="shared" si="22"/>
        <v>Error?</v>
      </c>
    </row>
    <row r="1489" spans="1:4" x14ac:dyDescent="0.2">
      <c r="A1489" s="5">
        <v>1428</v>
      </c>
      <c r="B1489" s="1832">
        <f>'Expenditures 15-22'!K259</f>
        <v>794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794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8651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7036</v>
      </c>
      <c r="C1495" s="2" t="s">
        <v>569</v>
      </c>
      <c r="D1495" s="2" t="str">
        <f t="shared" si="22"/>
        <v>Error?</v>
      </c>
    </row>
    <row r="1496" spans="1:4" x14ac:dyDescent="0.2">
      <c r="A1496" s="5">
        <v>1435</v>
      </c>
      <c r="B1496" s="1832">
        <f>'Expenditures 15-22'!K267</f>
        <v>4192</v>
      </c>
      <c r="C1496" s="2" t="s">
        <v>569</v>
      </c>
      <c r="D1496" s="2" t="str">
        <f t="shared" si="22"/>
        <v>Error?</v>
      </c>
    </row>
    <row r="1497" spans="1:4" x14ac:dyDescent="0.2">
      <c r="A1497" s="5">
        <v>1436</v>
      </c>
      <c r="B1497" s="1832">
        <f>'Expenditures 15-22'!K268</f>
        <v>5867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25746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28336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47645</v>
      </c>
      <c r="C1517" s="2" t="s">
        <v>569</v>
      </c>
      <c r="D1517" s="2" t="str">
        <f t="shared" si="22"/>
        <v>Error?</v>
      </c>
    </row>
    <row r="1518" spans="1:4" x14ac:dyDescent="0.2">
      <c r="A1518" s="5">
        <v>1457</v>
      </c>
      <c r="B1518" s="1832">
        <f>'Expenditures 15-22'!K296</f>
        <v>-34609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39173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39173</v>
      </c>
      <c r="C1547" s="2" t="s">
        <v>569</v>
      </c>
      <c r="D1547" s="2" t="str">
        <f t="shared" si="23"/>
        <v>Error?</v>
      </c>
    </row>
    <row r="1548" spans="1:4" x14ac:dyDescent="0.2">
      <c r="A1548" s="5">
        <v>1487</v>
      </c>
      <c r="B1548" s="1832">
        <f>'Expenditures 15-22'!G312</f>
        <v>39173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39173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39173</v>
      </c>
      <c r="C1559" s="2" t="s">
        <v>569</v>
      </c>
      <c r="D1559" s="2" t="str">
        <f t="shared" si="23"/>
        <v>Error?</v>
      </c>
    </row>
    <row r="1560" spans="1:4" x14ac:dyDescent="0.2">
      <c r="A1560" s="5">
        <v>1499</v>
      </c>
      <c r="B1560" s="1832">
        <f>'Expenditures 15-22'!K312</f>
        <v>39173</v>
      </c>
      <c r="C1560" s="2" t="s">
        <v>569</v>
      </c>
      <c r="D1560" s="2" t="str">
        <f t="shared" si="23"/>
        <v>Error?</v>
      </c>
    </row>
    <row r="1561" spans="1:4" x14ac:dyDescent="0.2">
      <c r="A1561" s="5">
        <v>1500</v>
      </c>
      <c r="B1561" s="1832">
        <f>'Expenditures 15-22'!K313</f>
        <v>-22779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933388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1001573</v>
      </c>
      <c r="C1630" s="2" t="s">
        <v>569</v>
      </c>
      <c r="D1630" s="2" t="str">
        <f t="shared" si="24"/>
        <v>Error?</v>
      </c>
    </row>
    <row r="1631" spans="1:4" x14ac:dyDescent="0.2">
      <c r="A1631" s="5">
        <v>1570</v>
      </c>
      <c r="B1631" s="1832">
        <f>'Acct Summary 7-8'!D79</f>
        <v>159915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226419</v>
      </c>
      <c r="C1644" s="2" t="s">
        <v>569</v>
      </c>
      <c r="D1644" s="2" t="str">
        <f t="shared" si="24"/>
        <v>Error?</v>
      </c>
    </row>
    <row r="1645" spans="1:4" x14ac:dyDescent="0.2">
      <c r="A1645" s="5">
        <v>1584</v>
      </c>
      <c r="B1645" s="1832">
        <f>'Acct Summary 7-8'!E79</f>
        <v>62442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63583</v>
      </c>
      <c r="C1658" s="2" t="s">
        <v>569</v>
      </c>
      <c r="D1658" s="2" t="str">
        <f t="shared" si="24"/>
        <v>Error?</v>
      </c>
    </row>
    <row r="1659" spans="1:4" x14ac:dyDescent="0.2">
      <c r="A1659" s="5">
        <v>1598</v>
      </c>
      <c r="B1659" s="1832">
        <f>'Acct Summary 7-8'!F79</f>
        <v>103160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112743</v>
      </c>
      <c r="C1672" s="2" t="s">
        <v>569</v>
      </c>
      <c r="D1672" s="2" t="str">
        <f t="shared" si="25"/>
        <v>Error?</v>
      </c>
    </row>
    <row r="1673" spans="1:4" x14ac:dyDescent="0.2">
      <c r="A1673" s="5">
        <v>1612</v>
      </c>
      <c r="B1673" s="1832">
        <f>'Acct Summary 7-8'!G79</f>
        <v>242169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207560</v>
      </c>
      <c r="C1686" s="2" t="s">
        <v>569</v>
      </c>
      <c r="D1686" s="2" t="str">
        <f t="shared" si="25"/>
        <v>Error?</v>
      </c>
    </row>
    <row r="1687" spans="1:4" x14ac:dyDescent="0.2">
      <c r="A1687" s="5">
        <v>1626</v>
      </c>
      <c r="B1687" s="1832">
        <f>'Acct Summary 7-8'!H79</f>
        <v>24910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2131</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196833</v>
      </c>
      <c r="C1744" s="2" t="s">
        <v>569</v>
      </c>
      <c r="D1744" s="2" t="str">
        <f t="shared" si="26"/>
        <v>Error?</v>
      </c>
    </row>
    <row r="1745" spans="1:5" x14ac:dyDescent="0.2">
      <c r="A1745" s="5">
        <v>1684</v>
      </c>
      <c r="B1745" s="1832">
        <f>'Tax Sched 23'!B5</f>
        <v>53558</v>
      </c>
      <c r="C1745" s="2" t="s">
        <v>569</v>
      </c>
      <c r="D1745" s="2" t="str">
        <f t="shared" si="26"/>
        <v>Error?</v>
      </c>
    </row>
    <row r="1746" spans="1:5" x14ac:dyDescent="0.2">
      <c r="A1746" s="5">
        <v>1685</v>
      </c>
      <c r="B1746" s="1832">
        <f>'Tax Sched 23'!B6</f>
        <v>60593</v>
      </c>
      <c r="C1746" s="2" t="s">
        <v>569</v>
      </c>
      <c r="D1746" s="2" t="str">
        <f t="shared" si="26"/>
        <v>Error?</v>
      </c>
    </row>
    <row r="1747" spans="1:5" x14ac:dyDescent="0.2">
      <c r="A1747" s="5">
        <v>1686</v>
      </c>
      <c r="B1747" s="1832">
        <f>'Tax Sched 23'!B7</f>
        <v>25708</v>
      </c>
      <c r="C1747" s="2" t="s">
        <v>569</v>
      </c>
      <c r="D1747" s="2" t="str">
        <f t="shared" si="26"/>
        <v>Error?</v>
      </c>
    </row>
    <row r="1748" spans="1:5" x14ac:dyDescent="0.2">
      <c r="A1748" s="5">
        <v>1687</v>
      </c>
      <c r="B1748" s="1832">
        <f>'Tax Sched 23'!B8</f>
        <v>6059</v>
      </c>
      <c r="C1748" s="2" t="s">
        <v>569</v>
      </c>
      <c r="D1748" s="2" t="str">
        <f t="shared" si="26"/>
        <v>Error?</v>
      </c>
    </row>
    <row r="1749" spans="1:5" x14ac:dyDescent="0.2">
      <c r="A1749" s="5">
        <v>1688</v>
      </c>
      <c r="B1749" s="1832">
        <f>'Tax Sched 23'!B10</f>
        <v>10712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127654</v>
      </c>
      <c r="C1752" s="2" t="s">
        <v>569</v>
      </c>
      <c r="D1752" s="2" t="str">
        <f t="shared" si="26"/>
        <v>Error?</v>
      </c>
    </row>
    <row r="1753" spans="1:5" x14ac:dyDescent="0.2">
      <c r="A1753" s="5">
        <v>1692</v>
      </c>
      <c r="B1753" s="1832">
        <f>'Tax Sched 23'!B12</f>
        <v>10712</v>
      </c>
      <c r="C1753" s="2" t="s">
        <v>569</v>
      </c>
      <c r="D1753" s="2" t="str">
        <f t="shared" si="26"/>
        <v>Error?</v>
      </c>
    </row>
    <row r="1754" spans="1:5" x14ac:dyDescent="0.2">
      <c r="A1754" s="5">
        <v>1693</v>
      </c>
      <c r="B1754" s="1832">
        <f>'Tax Sched 23'!B14</f>
        <v>4285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512885</v>
      </c>
      <c r="C1759" s="2" t="s">
        <v>569</v>
      </c>
      <c r="D1759" s="2" t="str">
        <f t="shared" si="26"/>
        <v>Error?</v>
      </c>
    </row>
    <row r="1760" spans="1:5" x14ac:dyDescent="0.2">
      <c r="A1760" s="5">
        <v>1699</v>
      </c>
      <c r="B1760" s="1832">
        <f>'Tax Sched 23'!D4</f>
        <v>196833</v>
      </c>
      <c r="C1760" s="2" t="s">
        <v>569</v>
      </c>
      <c r="D1760" s="2" t="str">
        <f t="shared" si="26"/>
        <v>Error?</v>
      </c>
    </row>
    <row r="1761" spans="1:7" x14ac:dyDescent="0.2">
      <c r="A1761" s="5">
        <v>1700</v>
      </c>
      <c r="B1761" s="1832">
        <f>'Tax Sched 23'!D5</f>
        <v>53558</v>
      </c>
      <c r="C1761" s="2" t="s">
        <v>569</v>
      </c>
      <c r="D1761" s="2" t="str">
        <f t="shared" si="26"/>
        <v>Error?</v>
      </c>
    </row>
    <row r="1762" spans="1:7" s="8" customFormat="1" x14ac:dyDescent="0.2">
      <c r="A1762" s="5">
        <v>1701</v>
      </c>
      <c r="B1762" s="1832">
        <f>'Tax Sched 23'!D6</f>
        <v>60593</v>
      </c>
      <c r="C1762" s="2" t="s">
        <v>569</v>
      </c>
      <c r="D1762" s="2" t="str">
        <f t="shared" si="26"/>
        <v>Error?</v>
      </c>
      <c r="E1762" s="9"/>
      <c r="G1762"/>
    </row>
    <row r="1763" spans="1:7" x14ac:dyDescent="0.2">
      <c r="A1763" s="5">
        <v>1702</v>
      </c>
      <c r="B1763" s="1832">
        <f>'Tax Sched 23'!D7</f>
        <v>25708</v>
      </c>
      <c r="C1763" s="2" t="s">
        <v>569</v>
      </c>
      <c r="D1763" s="2" t="str">
        <f t="shared" si="26"/>
        <v>Error?</v>
      </c>
    </row>
    <row r="1764" spans="1:7" x14ac:dyDescent="0.2">
      <c r="A1764" s="5">
        <v>1703</v>
      </c>
      <c r="B1764" s="1832">
        <f>'Tax Sched 23'!D8</f>
        <v>6059</v>
      </c>
      <c r="C1764" s="2" t="s">
        <v>569</v>
      </c>
      <c r="D1764" s="2" t="str">
        <f t="shared" si="26"/>
        <v>Error?</v>
      </c>
    </row>
    <row r="1765" spans="1:7" x14ac:dyDescent="0.2">
      <c r="A1765" s="5">
        <v>1704</v>
      </c>
      <c r="B1765" s="1832">
        <f>'Tax Sched 23'!D10</f>
        <v>10712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127654</v>
      </c>
      <c r="C1768" s="2" t="s">
        <v>569</v>
      </c>
      <c r="D1768" s="2" t="str">
        <f t="shared" si="26"/>
        <v>Error?</v>
      </c>
    </row>
    <row r="1769" spans="1:7" x14ac:dyDescent="0.2">
      <c r="A1769" s="5">
        <v>1708</v>
      </c>
      <c r="B1769" s="1832">
        <f>'Tax Sched 23'!D12</f>
        <v>10712</v>
      </c>
      <c r="C1769" s="2" t="s">
        <v>569</v>
      </c>
      <c r="D1769" s="2" t="str">
        <f t="shared" si="26"/>
        <v>Error?</v>
      </c>
    </row>
    <row r="1770" spans="1:7" x14ac:dyDescent="0.2">
      <c r="A1770" s="5">
        <v>1709</v>
      </c>
      <c r="B1770" s="1832">
        <f>'Tax Sched 23'!D14</f>
        <v>4285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512885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262373</v>
      </c>
      <c r="C1792" s="2" t="s">
        <v>569</v>
      </c>
      <c r="D1792" s="2" t="str">
        <f t="shared" si="27"/>
        <v>Error?</v>
      </c>
    </row>
    <row r="1793" spans="1:4" x14ac:dyDescent="0.2">
      <c r="A1793" s="5">
        <v>1732</v>
      </c>
      <c r="B1793" s="1832">
        <f>'Tax Sched 23'!F5</f>
        <v>71297</v>
      </c>
      <c r="C1793" s="2" t="s">
        <v>569</v>
      </c>
      <c r="D1793" s="2" t="str">
        <f t="shared" si="27"/>
        <v>Error?</v>
      </c>
    </row>
    <row r="1794" spans="1:4" x14ac:dyDescent="0.2">
      <c r="A1794" s="5">
        <v>1733</v>
      </c>
      <c r="B1794" s="1832">
        <f>'Tax Sched 23'!F6</f>
        <v>75398</v>
      </c>
      <c r="C1794" s="2" t="s">
        <v>569</v>
      </c>
      <c r="D1794" s="2" t="str">
        <f t="shared" si="27"/>
        <v>Error?</v>
      </c>
    </row>
    <row r="1795" spans="1:4" x14ac:dyDescent="0.2">
      <c r="A1795" s="5">
        <v>1734</v>
      </c>
      <c r="B1795" s="1832">
        <f>'Tax Sched 23'!F7</f>
        <v>34223</v>
      </c>
      <c r="C1795" s="2" t="s">
        <v>569</v>
      </c>
      <c r="D1795" s="2" t="str">
        <f t="shared" si="27"/>
        <v>Error?</v>
      </c>
    </row>
    <row r="1796" spans="1:4" x14ac:dyDescent="0.2">
      <c r="A1796" s="5">
        <v>1735</v>
      </c>
      <c r="B1796" s="1832">
        <f>'Tax Sched 23'!F8</f>
        <v>6151</v>
      </c>
      <c r="C1796" s="2" t="s">
        <v>569</v>
      </c>
      <c r="D1796" s="2" t="str">
        <f t="shared" si="27"/>
        <v>Error?</v>
      </c>
    </row>
    <row r="1797" spans="1:4" x14ac:dyDescent="0.2">
      <c r="A1797" s="5">
        <v>1736</v>
      </c>
      <c r="B1797" s="1832">
        <f>'Tax Sched 23'!F10</f>
        <v>14259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172208</v>
      </c>
      <c r="C1800" s="2" t="s">
        <v>569</v>
      </c>
      <c r="D1800" s="2" t="str">
        <f t="shared" si="27"/>
        <v>Error?</v>
      </c>
    </row>
    <row r="1801" spans="1:4" x14ac:dyDescent="0.2">
      <c r="A1801" s="5">
        <v>1740</v>
      </c>
      <c r="B1801" s="1832">
        <f>'Tax Sched 23'!F12</f>
        <v>14259</v>
      </c>
      <c r="C1801" s="2" t="s">
        <v>569</v>
      </c>
      <c r="D1801" s="2" t="str">
        <f t="shared" si="27"/>
        <v>Error?</v>
      </c>
    </row>
    <row r="1802" spans="1:4" x14ac:dyDescent="0.2">
      <c r="A1802" s="5">
        <v>1741</v>
      </c>
      <c r="B1802" s="1832">
        <f>'Tax Sched 23'!F14</f>
        <v>5704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676282</v>
      </c>
      <c r="C1807" s="2" t="s">
        <v>569</v>
      </c>
      <c r="D1807" s="2" t="str">
        <f t="shared" si="27"/>
        <v>Error?</v>
      </c>
    </row>
    <row r="1808" spans="1:4" x14ac:dyDescent="0.2">
      <c r="A1808" s="5">
        <v>1747</v>
      </c>
      <c r="B1808" s="1832">
        <f>'Tax Sched 23'!E4</f>
        <v>262373</v>
      </c>
      <c r="D1808" s="2" t="str">
        <f t="shared" si="27"/>
        <v>Error?</v>
      </c>
    </row>
    <row r="1809" spans="1:4" x14ac:dyDescent="0.2">
      <c r="A1809" s="5">
        <v>1748</v>
      </c>
      <c r="B1809" s="1832">
        <f>'Tax Sched 23'!E5</f>
        <v>71297</v>
      </c>
      <c r="D1809" s="2" t="str">
        <f t="shared" si="27"/>
        <v>Error?</v>
      </c>
    </row>
    <row r="1810" spans="1:4" x14ac:dyDescent="0.2">
      <c r="A1810" s="5">
        <v>1749</v>
      </c>
      <c r="B1810" s="1832">
        <f>'Tax Sched 23'!E6</f>
        <v>75398</v>
      </c>
      <c r="D1810" s="2" t="str">
        <f t="shared" si="27"/>
        <v>Error?</v>
      </c>
    </row>
    <row r="1811" spans="1:4" x14ac:dyDescent="0.2">
      <c r="A1811" s="5">
        <v>1750</v>
      </c>
      <c r="B1811" s="1832">
        <f>'Tax Sched 23'!E7</f>
        <v>34223</v>
      </c>
      <c r="D1811" s="2" t="str">
        <f t="shared" si="27"/>
        <v>Error?</v>
      </c>
    </row>
    <row r="1812" spans="1:4" x14ac:dyDescent="0.2">
      <c r="A1812" s="5">
        <v>1751</v>
      </c>
      <c r="B1812" s="1832">
        <f>'Tax Sched 23'!E8</f>
        <v>6151</v>
      </c>
      <c r="D1812" s="2" t="str">
        <f t="shared" si="27"/>
        <v>Error?</v>
      </c>
    </row>
    <row r="1813" spans="1:4" x14ac:dyDescent="0.2">
      <c r="A1813" s="5">
        <v>1752</v>
      </c>
      <c r="B1813" s="1832">
        <f>'Tax Sched 23'!E10</f>
        <v>14259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172208</v>
      </c>
      <c r="D1816" s="2" t="str">
        <f t="shared" si="27"/>
        <v>Error?</v>
      </c>
    </row>
    <row r="1817" spans="1:4" x14ac:dyDescent="0.2">
      <c r="A1817" s="5">
        <v>1756</v>
      </c>
      <c r="B1817" s="1832">
        <f>'Tax Sched 23'!E12</f>
        <v>14259</v>
      </c>
      <c r="D1817" s="2" t="str">
        <f t="shared" si="27"/>
        <v>Error?</v>
      </c>
    </row>
    <row r="1818" spans="1:4" x14ac:dyDescent="0.2">
      <c r="A1818" s="5">
        <v>1757</v>
      </c>
      <c r="B1818" s="1832">
        <f>'Tax Sched 23'!E14</f>
        <v>5704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676282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542371</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4285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4285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4285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15515</v>
      </c>
      <c r="D2008" s="2" t="str">
        <f t="shared" si="30"/>
        <v>Error?</v>
      </c>
    </row>
    <row r="2009" spans="1:4" x14ac:dyDescent="0.2">
      <c r="A2009" s="5">
        <v>1948</v>
      </c>
      <c r="B2009" s="1832">
        <f>'Cap Outlay Deprec 26'!C8</f>
        <v>4136679</v>
      </c>
      <c r="D2009" s="2" t="str">
        <f t="shared" si="30"/>
        <v>Error?</v>
      </c>
    </row>
    <row r="2010" spans="1:4" x14ac:dyDescent="0.2">
      <c r="A2010" s="5">
        <v>1949</v>
      </c>
      <c r="B2010" s="1832">
        <f>'Cap Outlay Deprec 26'!C10</f>
        <v>213517</v>
      </c>
      <c r="D2010" s="2" t="str">
        <f t="shared" si="30"/>
        <v>Error?</v>
      </c>
    </row>
    <row r="2011" spans="1:4" x14ac:dyDescent="0.2">
      <c r="A2011" s="5">
        <v>1950</v>
      </c>
      <c r="B2011" s="1832">
        <f>'Cap Outlay Deprec 26'!C12</f>
        <v>148543</v>
      </c>
      <c r="D2011" s="2" t="str">
        <f t="shared" si="30"/>
        <v>Error?</v>
      </c>
    </row>
    <row r="2012" spans="1:4" x14ac:dyDescent="0.2">
      <c r="A2012" s="5">
        <v>1951</v>
      </c>
      <c r="B2012" s="1832">
        <f>'Cap Outlay Deprec 26'!C13</f>
        <v>279785</v>
      </c>
      <c r="D2012" s="2" t="str">
        <f t="shared" si="30"/>
        <v>Error?</v>
      </c>
    </row>
    <row r="2013" spans="1:4" x14ac:dyDescent="0.2">
      <c r="A2013" s="5">
        <v>1952</v>
      </c>
      <c r="B2013" s="1832">
        <f>'Cap Outlay Deprec 26'!C16</f>
        <v>4794039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2982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190562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32903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32903</v>
      </c>
      <c r="C2025" s="2" t="s">
        <v>569</v>
      </c>
      <c r="D2025" s="2" t="str">
        <f t="shared" si="30"/>
        <v>Error?</v>
      </c>
    </row>
    <row r="2026" spans="1:4" x14ac:dyDescent="0.2">
      <c r="A2026" s="5">
        <v>1965</v>
      </c>
      <c r="B2026" s="1832">
        <f>'Cap Outlay Deprec 26'!F5</f>
        <v>15515</v>
      </c>
      <c r="C2026" s="2" t="s">
        <v>569</v>
      </c>
      <c r="D2026" s="2" t="str">
        <f t="shared" si="30"/>
        <v>Error?</v>
      </c>
    </row>
    <row r="2027" spans="1:4" x14ac:dyDescent="0.2">
      <c r="A2027" s="5">
        <v>1966</v>
      </c>
      <c r="B2027" s="1832">
        <f>'Cap Outlay Deprec 26'!F8</f>
        <v>4136679</v>
      </c>
      <c r="C2027" s="2" t="s">
        <v>569</v>
      </c>
      <c r="D2027" s="2" t="str">
        <f t="shared" si="30"/>
        <v>Error?</v>
      </c>
    </row>
    <row r="2028" spans="1:4" x14ac:dyDescent="0.2">
      <c r="A2028" s="5">
        <v>1967</v>
      </c>
      <c r="B2028" s="1832">
        <f>'Cap Outlay Deprec 26'!F10</f>
        <v>213517</v>
      </c>
      <c r="C2028" s="2" t="s">
        <v>569</v>
      </c>
      <c r="D2028" s="2" t="str">
        <f t="shared" si="30"/>
        <v>Error?</v>
      </c>
    </row>
    <row r="2029" spans="1:4" x14ac:dyDescent="0.2">
      <c r="A2029" s="5">
        <v>1968</v>
      </c>
      <c r="B2029" s="1832">
        <f>'Cap Outlay Deprec 26'!F12</f>
        <v>118622</v>
      </c>
      <c r="C2029" s="2" t="s">
        <v>569</v>
      </c>
      <c r="D2029" s="2" t="str">
        <f t="shared" si="30"/>
        <v>Error?</v>
      </c>
    </row>
    <row r="2030" spans="1:4" x14ac:dyDescent="0.2">
      <c r="A2030" s="5">
        <v>1969</v>
      </c>
      <c r="B2030" s="1832">
        <f>'Cap Outlay Deprec 26'!F13</f>
        <v>279785</v>
      </c>
      <c r="C2030" s="2" t="s">
        <v>569</v>
      </c>
      <c r="D2030" s="2" t="str">
        <f t="shared" si="30"/>
        <v>Error?</v>
      </c>
    </row>
    <row r="2031" spans="1:4" x14ac:dyDescent="0.2">
      <c r="A2031" s="5">
        <v>1970</v>
      </c>
      <c r="B2031" s="1832">
        <f>'Cap Outlay Deprec 26'!F16</f>
        <v>4951698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1558695</v>
      </c>
      <c r="D2033" s="2" t="str">
        <f t="shared" si="30"/>
        <v>Error?</v>
      </c>
    </row>
    <row r="2034" spans="1:4" x14ac:dyDescent="0.2">
      <c r="A2034" s="5">
        <v>1973</v>
      </c>
      <c r="B2034" s="1832">
        <f>'Cap Outlay Deprec 26'!H10</f>
        <v>102050</v>
      </c>
      <c r="D2034" s="2" t="str">
        <f t="shared" si="30"/>
        <v>Error?</v>
      </c>
    </row>
    <row r="2035" spans="1:4" x14ac:dyDescent="0.2">
      <c r="A2035" s="5">
        <v>1974</v>
      </c>
      <c r="B2035" s="1832">
        <f>'Cap Outlay Deprec 26'!H12</f>
        <v>78598</v>
      </c>
      <c r="D2035" s="2" t="str">
        <f t="shared" si="30"/>
        <v>Error?</v>
      </c>
    </row>
    <row r="2036" spans="1:4" x14ac:dyDescent="0.2">
      <c r="A2036" s="5">
        <v>1975</v>
      </c>
      <c r="B2036" s="1832">
        <f>'Cap Outlay Deprec 26'!H13</f>
        <v>150328</v>
      </c>
      <c r="D2036" s="2" t="str">
        <f t="shared" si="30"/>
        <v>Error?</v>
      </c>
    </row>
    <row r="2037" spans="1:4" x14ac:dyDescent="0.2">
      <c r="A2037" s="5">
        <v>1976</v>
      </c>
      <c r="B2037" s="1832">
        <f>'Cap Outlay Deprec 26'!H16</f>
        <v>1889671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82734</v>
      </c>
      <c r="D2039" s="2" t="str">
        <f t="shared" si="30"/>
        <v>Error?</v>
      </c>
    </row>
    <row r="2040" spans="1:4" x14ac:dyDescent="0.2">
      <c r="A2040" s="5">
        <v>1979</v>
      </c>
      <c r="B2040" s="1832">
        <f>'Cap Outlay Deprec 26'!I10</f>
        <v>10676</v>
      </c>
      <c r="D2040" s="2" t="str">
        <f t="shared" si="30"/>
        <v>Error?</v>
      </c>
    </row>
    <row r="2041" spans="1:4" x14ac:dyDescent="0.2">
      <c r="A2041" s="5">
        <v>1980</v>
      </c>
      <c r="B2041" s="1832">
        <f>'Cap Outlay Deprec 26'!I12</f>
        <v>15147</v>
      </c>
      <c r="D2041" s="2" t="str">
        <f t="shared" si="30"/>
        <v>Error?</v>
      </c>
    </row>
    <row r="2042" spans="1:4" x14ac:dyDescent="0.2">
      <c r="A2042" s="5">
        <v>1981</v>
      </c>
      <c r="B2042" s="1832">
        <f>'Cap Outlay Deprec 26'!I13</f>
        <v>55957</v>
      </c>
      <c r="D2042" s="2" t="str">
        <f t="shared" si="30"/>
        <v>Error?</v>
      </c>
    </row>
    <row r="2043" spans="1:4" x14ac:dyDescent="0.2">
      <c r="A2043" s="5">
        <v>1982</v>
      </c>
      <c r="B2043" s="1832">
        <f>'Cap Outlay Deprec 26'!I16</f>
        <v>164514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32903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32903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1641429</v>
      </c>
      <c r="C2051" s="2" t="s">
        <v>569</v>
      </c>
      <c r="D2051" s="2" t="str">
        <f t="shared" si="31"/>
        <v>Error?</v>
      </c>
    </row>
    <row r="2052" spans="1:4" x14ac:dyDescent="0.2">
      <c r="A2052" s="5">
        <v>1991</v>
      </c>
      <c r="B2052" s="1832">
        <f>'Cap Outlay Deprec 26'!K10</f>
        <v>112726</v>
      </c>
      <c r="C2052" s="2" t="s">
        <v>569</v>
      </c>
      <c r="D2052" s="2" t="str">
        <f t="shared" si="31"/>
        <v>Error?</v>
      </c>
    </row>
    <row r="2053" spans="1:4" x14ac:dyDescent="0.2">
      <c r="A2053" s="5">
        <v>1992</v>
      </c>
      <c r="B2053" s="1832">
        <f>'Cap Outlay Deprec 26'!K12</f>
        <v>60842</v>
      </c>
      <c r="C2053" s="2" t="s">
        <v>569</v>
      </c>
      <c r="D2053" s="2" t="str">
        <f t="shared" si="31"/>
        <v>Error?</v>
      </c>
    </row>
    <row r="2054" spans="1:4" x14ac:dyDescent="0.2">
      <c r="A2054" s="5">
        <v>1993</v>
      </c>
      <c r="B2054" s="1832">
        <f>'Cap Outlay Deprec 26'!K13</f>
        <v>206285</v>
      </c>
      <c r="C2054" s="2" t="s">
        <v>569</v>
      </c>
      <c r="D2054" s="2" t="str">
        <f t="shared" si="31"/>
        <v>Error?</v>
      </c>
    </row>
    <row r="2055" spans="1:4" x14ac:dyDescent="0.2">
      <c r="A2055" s="5">
        <v>1994</v>
      </c>
      <c r="B2055" s="1832">
        <f>'Cap Outlay Deprec 26'!K16</f>
        <v>2021282</v>
      </c>
      <c r="C2055" s="2" t="s">
        <v>569</v>
      </c>
      <c r="D2055" s="2" t="str">
        <f t="shared" si="31"/>
        <v>Error?</v>
      </c>
    </row>
    <row r="2056" spans="1:4" x14ac:dyDescent="0.2">
      <c r="A2056" s="5">
        <v>1995</v>
      </c>
      <c r="B2056" s="1832">
        <f>'Cap Outlay Deprec 26'!L5</f>
        <v>15515</v>
      </c>
      <c r="C2056" s="2" t="s">
        <v>569</v>
      </c>
      <c r="D2056" s="2" t="str">
        <f t="shared" si="31"/>
        <v>Error?</v>
      </c>
    </row>
    <row r="2057" spans="1:4" x14ac:dyDescent="0.2">
      <c r="A2057" s="5">
        <v>1996</v>
      </c>
      <c r="B2057" s="1832">
        <f>'Cap Outlay Deprec 26'!L8</f>
        <v>2495250</v>
      </c>
      <c r="C2057" s="2" t="s">
        <v>569</v>
      </c>
      <c r="D2057" s="2" t="str">
        <f t="shared" si="31"/>
        <v>Error?</v>
      </c>
    </row>
    <row r="2058" spans="1:4" x14ac:dyDescent="0.2">
      <c r="A2058" s="5">
        <v>1997</v>
      </c>
      <c r="B2058" s="1832">
        <f>'Cap Outlay Deprec 26'!L10</f>
        <v>100791</v>
      </c>
      <c r="C2058" s="2" t="s">
        <v>569</v>
      </c>
      <c r="D2058" s="2" t="str">
        <f t="shared" si="31"/>
        <v>Error?</v>
      </c>
    </row>
    <row r="2059" spans="1:4" x14ac:dyDescent="0.2">
      <c r="A2059" s="5">
        <v>1998</v>
      </c>
      <c r="B2059" s="1832">
        <f>'Cap Outlay Deprec 26'!L12</f>
        <v>57780</v>
      </c>
      <c r="C2059" s="2" t="s">
        <v>569</v>
      </c>
      <c r="D2059" s="2" t="str">
        <f t="shared" si="31"/>
        <v>Error?</v>
      </c>
    </row>
    <row r="2060" spans="1:4" x14ac:dyDescent="0.2">
      <c r="A2060" s="5">
        <v>1999</v>
      </c>
      <c r="B2060" s="1832">
        <f>'Cap Outlay Deprec 26'!L13</f>
        <v>73500</v>
      </c>
      <c r="C2060" s="2" t="s">
        <v>569</v>
      </c>
      <c r="D2060" s="2" t="str">
        <f t="shared" si="31"/>
        <v>Error?</v>
      </c>
    </row>
    <row r="2061" spans="1:4" x14ac:dyDescent="0.2">
      <c r="A2061" s="5">
        <v>2000</v>
      </c>
      <c r="B2061" s="1832">
        <f>'Cap Outlay Deprec 26'!L16</f>
        <v>2930416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16246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33993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10797</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953</v>
      </c>
      <c r="D2435" s="2" t="str">
        <f t="shared" si="37"/>
        <v>Error?</v>
      </c>
    </row>
    <row r="2436" spans="1:4" x14ac:dyDescent="0.2">
      <c r="A2436" s="10">
        <v>2375</v>
      </c>
      <c r="B2436" s="1832"/>
      <c r="D2436" s="2" t="str">
        <f t="shared" si="37"/>
        <v>OK</v>
      </c>
    </row>
    <row r="2437" spans="1:4" x14ac:dyDescent="0.2">
      <c r="A2437" s="5">
        <v>2376</v>
      </c>
      <c r="B2437" s="1832">
        <f>'Assets-Liab 5-6'!D38</f>
        <v>7500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64558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339799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855743</v>
      </c>
      <c r="C2553" s="2" t="s">
        <v>569</v>
      </c>
      <c r="D2553" s="2" t="str">
        <f t="shared" si="38"/>
        <v>Error?</v>
      </c>
    </row>
    <row r="2554" spans="1:4" x14ac:dyDescent="0.2">
      <c r="A2554" s="5">
        <v>2493</v>
      </c>
      <c r="B2554" s="1832">
        <f>'Acct Summary 7-8'!C7</f>
        <v>112291</v>
      </c>
      <c r="C2554" s="2" t="s">
        <v>569</v>
      </c>
      <c r="D2554" s="2" t="str">
        <f t="shared" si="38"/>
        <v>Error?</v>
      </c>
    </row>
    <row r="2555" spans="1:4" x14ac:dyDescent="0.2">
      <c r="A2555" s="5">
        <v>2494</v>
      </c>
      <c r="B2555" s="1832">
        <f>'Acct Summary 7-8'!C8</f>
        <v>1307833</v>
      </c>
      <c r="C2555" s="2" t="s">
        <v>569</v>
      </c>
      <c r="D2555" s="2" t="str">
        <f t="shared" si="38"/>
        <v>Error?</v>
      </c>
    </row>
    <row r="2556" spans="1:4" x14ac:dyDescent="0.2">
      <c r="A2556" s="5">
        <v>2495</v>
      </c>
      <c r="B2556" s="1832">
        <f>'Acct Summary 7-8'!C12</f>
        <v>853152</v>
      </c>
      <c r="C2556" s="2" t="s">
        <v>569</v>
      </c>
      <c r="D2556" s="2" t="str">
        <f t="shared" si="38"/>
        <v>Error?</v>
      </c>
    </row>
    <row r="2557" spans="1:4" x14ac:dyDescent="0.2">
      <c r="A2557" s="5">
        <v>2496</v>
      </c>
      <c r="B2557" s="1832">
        <f>'Acct Summary 7-8'!C13</f>
        <v>362814</v>
      </c>
      <c r="C2557" s="2" t="s">
        <v>569</v>
      </c>
      <c r="D2557" s="2" t="str">
        <f t="shared" si="38"/>
        <v>Error?</v>
      </c>
    </row>
    <row r="2558" spans="1:4" x14ac:dyDescent="0.2">
      <c r="A2558" s="5">
        <v>2497</v>
      </c>
      <c r="B2558" s="1832">
        <f>'Acct Summary 7-8'!C14</f>
        <v>486</v>
      </c>
      <c r="C2558" s="2" t="s">
        <v>569</v>
      </c>
      <c r="D2558" s="2" t="str">
        <f t="shared" si="38"/>
        <v>Error?</v>
      </c>
    </row>
    <row r="2559" spans="1:4" x14ac:dyDescent="0.2">
      <c r="A2559" s="5">
        <v>2498</v>
      </c>
      <c r="B2559" s="1832">
        <f>'Acct Summary 7-8'!C15</f>
        <v>33993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1250445</v>
      </c>
      <c r="C2561" s="2" t="s">
        <v>569</v>
      </c>
      <c r="D2561" s="2" t="str">
        <f t="shared" si="39"/>
        <v>Error?</v>
      </c>
    </row>
    <row r="2562" spans="1:4" x14ac:dyDescent="0.2">
      <c r="A2562" s="5">
        <v>2501</v>
      </c>
      <c r="B2562" s="1832">
        <f>'Acct Summary 7-8'!C20</f>
        <v>57388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55469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135469</v>
      </c>
      <c r="C2568" s="2" t="s">
        <v>569</v>
      </c>
      <c r="D2568" s="2" t="str">
        <f t="shared" si="39"/>
        <v>Error?</v>
      </c>
    </row>
    <row r="2569" spans="1:4" x14ac:dyDescent="0.2">
      <c r="A2569" s="5">
        <v>2508</v>
      </c>
      <c r="B2569" s="1832">
        <f>'Acct Summary 7-8'!D13</f>
        <v>68965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68965</v>
      </c>
      <c r="C2573" s="2" t="s">
        <v>569</v>
      </c>
      <c r="D2573" s="2" t="str">
        <f t="shared" si="39"/>
        <v>Error?</v>
      </c>
    </row>
    <row r="2574" spans="1:4" x14ac:dyDescent="0.2">
      <c r="A2574" s="5">
        <v>2513</v>
      </c>
      <c r="B2574" s="1832">
        <f>'Acct Summary 7-8'!D20</f>
        <v>66504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26061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82277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108338</v>
      </c>
      <c r="C2595" s="2" t="s">
        <v>569</v>
      </c>
      <c r="D2595" s="2" t="str">
        <f t="shared" si="39"/>
        <v>Error?</v>
      </c>
    </row>
    <row r="2596" spans="1:4" x14ac:dyDescent="0.2">
      <c r="A2596" s="5">
        <v>2535</v>
      </c>
      <c r="B2596" s="1832">
        <f>'Acct Summary 7-8'!F13</f>
        <v>59359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39396</v>
      </c>
      <c r="C2599" s="2" t="s">
        <v>569</v>
      </c>
      <c r="D2599" s="2" t="str">
        <f t="shared" si="39"/>
        <v>Error?</v>
      </c>
    </row>
    <row r="2600" spans="1:4" x14ac:dyDescent="0.2">
      <c r="A2600" s="5">
        <v>2539</v>
      </c>
      <c r="B2600" s="1832">
        <f>'Acct Summary 7-8'!F17</f>
        <v>98755</v>
      </c>
      <c r="C2600" s="2" t="s">
        <v>569</v>
      </c>
      <c r="D2600" s="2" t="str">
        <f t="shared" si="39"/>
        <v>Error?</v>
      </c>
    </row>
    <row r="2601" spans="1:4" x14ac:dyDescent="0.2">
      <c r="A2601" s="5">
        <v>2540</v>
      </c>
      <c r="B2601" s="1832">
        <f>'Acct Summary 7-8'!F20</f>
        <v>9583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13036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13036</v>
      </c>
      <c r="C2606" s="2" t="s">
        <v>569</v>
      </c>
      <c r="D2606" s="2" t="str">
        <f t="shared" si="39"/>
        <v>Error?</v>
      </c>
    </row>
    <row r="2607" spans="1:4" x14ac:dyDescent="0.2">
      <c r="A2607" s="5">
        <v>2546</v>
      </c>
      <c r="B2607" s="1832">
        <f>'Acct Summary 7-8'!G12</f>
        <v>19309</v>
      </c>
      <c r="C2607" s="2" t="s">
        <v>569</v>
      </c>
      <c r="D2607" s="2" t="str">
        <f t="shared" si="39"/>
        <v>Error?</v>
      </c>
    </row>
    <row r="2608" spans="1:4" x14ac:dyDescent="0.2">
      <c r="A2608" s="5">
        <v>2547</v>
      </c>
      <c r="B2608" s="1832">
        <f>'Acct Summary 7-8'!G13</f>
        <v>28336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47645</v>
      </c>
      <c r="C2612" s="2" t="s">
        <v>569</v>
      </c>
      <c r="D2612" s="2" t="str">
        <f t="shared" si="39"/>
        <v>Error?</v>
      </c>
    </row>
    <row r="2613" spans="1:4" x14ac:dyDescent="0.2">
      <c r="A2613" s="5">
        <v>2552</v>
      </c>
      <c r="B2613" s="1832">
        <f>'Acct Summary 7-8'!G20</f>
        <v>-34609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61203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61203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60062</v>
      </c>
      <c r="C2634" s="2" t="s">
        <v>569</v>
      </c>
      <c r="D2634" s="2" t="str">
        <f t="shared" si="40"/>
        <v>Error?</v>
      </c>
    </row>
    <row r="2635" spans="1:4" x14ac:dyDescent="0.2">
      <c r="A2635" s="5">
        <v>2574</v>
      </c>
      <c r="B2635" s="1832">
        <f>'Acct Summary 7-8'!E17</f>
        <v>60062</v>
      </c>
      <c r="C2635" s="2" t="s">
        <v>569</v>
      </c>
      <c r="D2635" s="2" t="str">
        <f t="shared" si="40"/>
        <v>Error?</v>
      </c>
    </row>
    <row r="2636" spans="1:4" x14ac:dyDescent="0.2">
      <c r="A2636" s="5">
        <v>2575</v>
      </c>
      <c r="B2636" s="1832">
        <f>'Acct Summary 7-8'!E20</f>
        <v>1141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16394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16394</v>
      </c>
      <c r="C2658" s="2" t="s">
        <v>569</v>
      </c>
      <c r="D2658" s="2" t="str">
        <f t="shared" si="40"/>
        <v>Error?</v>
      </c>
    </row>
    <row r="2659" spans="1:4" x14ac:dyDescent="0.2">
      <c r="A2659" s="5">
        <v>2598</v>
      </c>
      <c r="B2659" s="1832">
        <f>'Acct Summary 7-8'!H13</f>
        <v>39173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39173</v>
      </c>
      <c r="C2661" s="2" t="s">
        <v>569</v>
      </c>
      <c r="D2661" s="2" t="str">
        <f t="shared" si="40"/>
        <v>Error?</v>
      </c>
    </row>
    <row r="2662" spans="1:4" x14ac:dyDescent="0.2">
      <c r="A2662" s="5">
        <v>2601</v>
      </c>
      <c r="B2662" s="1832">
        <f>'Acct Summary 7-8'!H20</f>
        <v>-22779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8000</v>
      </c>
      <c r="D2718" s="2" t="str">
        <f t="shared" si="41"/>
        <v>Error?</v>
      </c>
    </row>
    <row r="2719" spans="1:4" x14ac:dyDescent="0.2">
      <c r="A2719" s="5">
        <v>2658</v>
      </c>
      <c r="B2719" s="1832">
        <f>'Expenditures 15-22'!D51</f>
        <v>1252</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9252</v>
      </c>
      <c r="C2724" s="2" t="s">
        <v>569</v>
      </c>
      <c r="D2724" s="2" t="str">
        <f t="shared" si="41"/>
        <v>Error?</v>
      </c>
    </row>
    <row r="2725" spans="1:4" x14ac:dyDescent="0.2">
      <c r="A2725" s="5">
        <v>2664</v>
      </c>
      <c r="B2725" s="1832">
        <f>'Expenditures 15-22'!D247</f>
        <v>114</v>
      </c>
      <c r="D2725" s="2" t="str">
        <f t="shared" si="41"/>
        <v>Error?</v>
      </c>
    </row>
    <row r="2726" spans="1:4" x14ac:dyDescent="0.2">
      <c r="A2726" s="5">
        <v>2665</v>
      </c>
      <c r="B2726" s="1832">
        <f>'Expenditures 15-22'!K247</f>
        <v>114</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17747</v>
      </c>
      <c r="C2789" s="2" t="s">
        <v>569</v>
      </c>
      <c r="D2789" s="2" t="str">
        <f t="shared" si="42"/>
        <v>Error?</v>
      </c>
    </row>
    <row r="2790" spans="1:4" x14ac:dyDescent="0.2">
      <c r="A2790" s="5">
        <v>2729</v>
      </c>
      <c r="B2790" s="1832">
        <f>'Expenditures 15-22'!E102</f>
        <v>17747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187580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13944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13944</v>
      </c>
      <c r="D2914" s="2" t="str">
        <f t="shared" si="44"/>
        <v>Error?</v>
      </c>
    </row>
    <row r="2915" spans="1:4" x14ac:dyDescent="0.2">
      <c r="A2915" s="10">
        <v>2854</v>
      </c>
      <c r="B2915" s="1832"/>
      <c r="D2915" s="2" t="str">
        <f t="shared" si="44"/>
        <v>OK</v>
      </c>
    </row>
    <row r="2916" spans="1:4" x14ac:dyDescent="0.2">
      <c r="A2916" s="5">
        <v>2855</v>
      </c>
      <c r="B2916" s="1832">
        <f>'Assets-Liab 5-6'!L34</f>
        <v>13944</v>
      </c>
      <c r="C2916" s="2" t="s">
        <v>569</v>
      </c>
      <c r="D2916" s="2" t="str">
        <f t="shared" si="44"/>
        <v>Error?</v>
      </c>
    </row>
    <row r="2917" spans="1:4" x14ac:dyDescent="0.2">
      <c r="A2917" s="5">
        <v>2856</v>
      </c>
      <c r="B2917" s="1832">
        <f>'Assets-Liab 5-6'!L41</f>
        <v>13944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17747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16246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33993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24638</v>
      </c>
      <c r="D3055" s="2" t="str">
        <f t="shared" si="46"/>
        <v>Error?</v>
      </c>
    </row>
    <row r="3056" spans="1:4" x14ac:dyDescent="0.2">
      <c r="A3056" s="5">
        <v>2995</v>
      </c>
      <c r="B3056" s="1832">
        <f>'Expenditures 15-22'!D10</f>
        <v>557</v>
      </c>
      <c r="D3056" s="2" t="str">
        <f t="shared" si="46"/>
        <v>Error?</v>
      </c>
    </row>
    <row r="3057" spans="1:4" x14ac:dyDescent="0.2">
      <c r="A3057" s="5">
        <v>2996</v>
      </c>
      <c r="B3057" s="1832">
        <f>'Expenditures 15-22'!E10</f>
        <v>5463</v>
      </c>
      <c r="D3057" s="2" t="str">
        <f t="shared" si="46"/>
        <v>Error?</v>
      </c>
    </row>
    <row r="3058" spans="1:4" x14ac:dyDescent="0.2">
      <c r="A3058" s="5">
        <v>2997</v>
      </c>
      <c r="B3058" s="1832">
        <f>'Expenditures 15-22'!F10</f>
        <v>15242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45900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4208</v>
      </c>
      <c r="D3064" s="2" t="str">
        <f t="shared" si="46"/>
        <v>Error?</v>
      </c>
    </row>
    <row r="3065" spans="1:4" x14ac:dyDescent="0.2">
      <c r="A3065" s="5">
        <v>3004</v>
      </c>
      <c r="B3065" s="1832">
        <f>'Expenditures 15-22'!K219</f>
        <v>4208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10797</v>
      </c>
      <c r="C3225" s="2" t="s">
        <v>569</v>
      </c>
      <c r="D3225" s="2" t="str">
        <f t="shared" si="49"/>
        <v>Error?</v>
      </c>
    </row>
    <row r="3226" spans="1:4" x14ac:dyDescent="0.2">
      <c r="A3226" s="5">
        <v>3165</v>
      </c>
      <c r="B3226" s="1832">
        <f>'Acct Summary 7-8'!I8</f>
        <v>10797</v>
      </c>
      <c r="C3226" s="2" t="s">
        <v>569</v>
      </c>
      <c r="D3226" s="2" t="str">
        <f t="shared" si="49"/>
        <v>Error?</v>
      </c>
    </row>
    <row r="3227" spans="1:4" x14ac:dyDescent="0.2">
      <c r="A3227" s="5">
        <v>3166</v>
      </c>
      <c r="B3227" s="1832">
        <f>'Acct Summary 7-8'!I20</f>
        <v>10797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10797</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10797</v>
      </c>
      <c r="C3232" s="2" t="s">
        <v>569</v>
      </c>
      <c r="D3232" s="2" t="str">
        <f t="shared" si="49"/>
        <v>Error?</v>
      </c>
    </row>
    <row r="3233" spans="1:4" x14ac:dyDescent="0.2">
      <c r="A3233" s="5">
        <v>3172</v>
      </c>
      <c r="B3233" s="1832">
        <f>'Acct Summary 7-8'!C78</f>
        <v>68185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66504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9583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-34609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1141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-22779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10797</v>
      </c>
      <c r="C3318" s="2" t="s">
        <v>569</v>
      </c>
      <c r="D3318" s="2" t="str">
        <f t="shared" si="50"/>
        <v>Error?</v>
      </c>
    </row>
    <row r="3319" spans="1:4" x14ac:dyDescent="0.2">
      <c r="A3319" s="5">
        <v>3258</v>
      </c>
      <c r="B3319" s="1832">
        <f>'Acct Summary 7-8'!I77</f>
        <v>-10797</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37795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4934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26113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68842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13611</v>
      </c>
      <c r="D3387" s="2" t="str">
        <f t="shared" si="51"/>
        <v>Error?</v>
      </c>
    </row>
    <row r="3388" spans="1:4" x14ac:dyDescent="0.2">
      <c r="A3388" s="5">
        <v>3327</v>
      </c>
      <c r="B3388" s="1832">
        <f>'Expenditures 15-22'!D217</f>
        <v>614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13611</v>
      </c>
      <c r="C3390" s="2" t="s">
        <v>569</v>
      </c>
      <c r="D3390" s="2" t="str">
        <f t="shared" si="51"/>
        <v>Error?</v>
      </c>
    </row>
    <row r="3391" spans="1:4" x14ac:dyDescent="0.2">
      <c r="A3391" s="5">
        <v>3330</v>
      </c>
      <c r="B3391" s="1832">
        <f>'Expenditures 15-22'!K217</f>
        <v>614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671358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226419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63583</v>
      </c>
      <c r="D3417" s="2" t="str">
        <f t="shared" si="52"/>
        <v>Error?</v>
      </c>
    </row>
    <row r="3418" spans="1:4" x14ac:dyDescent="0.2">
      <c r="A3418" s="10">
        <v>3357</v>
      </c>
      <c r="B3418" s="1832"/>
      <c r="D3418" s="2" t="str">
        <f t="shared" si="52"/>
        <v>OK</v>
      </c>
    </row>
    <row r="3419" spans="1:4" x14ac:dyDescent="0.2">
      <c r="A3419" s="5">
        <v>3358</v>
      </c>
      <c r="B3419" s="1832">
        <f>'Assets-Liab 5-6'!F4</f>
        <v>112743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207560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2131</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13944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6059</v>
      </c>
      <c r="C3446" s="2" t="s">
        <v>569</v>
      </c>
      <c r="D3446" s="2" t="str">
        <f t="shared" si="52"/>
        <v>Error?</v>
      </c>
    </row>
    <row r="3447" spans="1:4" x14ac:dyDescent="0.2">
      <c r="A3447" s="5">
        <v>3386</v>
      </c>
      <c r="B3447" s="1832">
        <f>'Tax Sched 23'!D16</f>
        <v>6059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6151</v>
      </c>
      <c r="C3449" s="2" t="s">
        <v>569</v>
      </c>
      <c r="D3449" s="2" t="str">
        <f t="shared" si="52"/>
        <v>Error?</v>
      </c>
    </row>
    <row r="3450" spans="1:4" x14ac:dyDescent="0.2">
      <c r="A3450" s="5">
        <v>3389</v>
      </c>
      <c r="B3450" s="1832">
        <f>'Tax Sched 23'!E16</f>
        <v>6151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187580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187580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187580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366433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366433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366433</v>
      </c>
      <c r="D3567" s="2" t="str">
        <f t="shared" si="54"/>
        <v>Error?</v>
      </c>
    </row>
    <row r="3568" spans="1:4" x14ac:dyDescent="0.2">
      <c r="A3568" s="5">
        <v>3507</v>
      </c>
      <c r="B3568" s="1832">
        <f>'Assets-Liab 5-6'!K41</f>
        <v>366433</v>
      </c>
      <c r="C3568" s="2" t="s">
        <v>569</v>
      </c>
      <c r="D3568" s="2" t="str">
        <f t="shared" si="54"/>
        <v>Error?</v>
      </c>
    </row>
    <row r="3569" spans="1:4" x14ac:dyDescent="0.2">
      <c r="A3569" s="5">
        <v>3508</v>
      </c>
      <c r="B3569" s="1832">
        <f>'Acct Summary 7-8'!K4</f>
        <v>12136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12136</v>
      </c>
      <c r="C3571" s="2" t="s">
        <v>569</v>
      </c>
      <c r="D3571" s="2" t="str">
        <f t="shared" si="54"/>
        <v>Error?</v>
      </c>
    </row>
    <row r="3572" spans="1:4" x14ac:dyDescent="0.2">
      <c r="A3572" s="5">
        <v>3511</v>
      </c>
      <c r="B3572" s="1832">
        <f>'Acct Summary 7-8'!K13</f>
        <v>124671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124671</v>
      </c>
      <c r="C3575" s="2" t="s">
        <v>569</v>
      </c>
      <c r="D3575" s="2" t="str">
        <f t="shared" si="54"/>
        <v>Error?</v>
      </c>
    </row>
    <row r="3576" spans="1:4" x14ac:dyDescent="0.2">
      <c r="A3576" s="5">
        <v>3515</v>
      </c>
      <c r="B3576" s="1832">
        <f>'Acct Summary 7-8'!K20</f>
        <v>-112535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-112535</v>
      </c>
      <c r="C3588" s="2" t="s">
        <v>569</v>
      </c>
      <c r="D3588" s="2" t="str">
        <f t="shared" si="55"/>
        <v>Error?</v>
      </c>
    </row>
    <row r="3589" spans="1:4" x14ac:dyDescent="0.2">
      <c r="A3589" s="5">
        <v>3528</v>
      </c>
      <c r="B3589" s="1832">
        <f>'Acct Summary 7-8'!K79</f>
        <v>478968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366433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124671</v>
      </c>
      <c r="D3646" s="2" t="str">
        <f t="shared" si="55"/>
        <v>Error?</v>
      </c>
    </row>
    <row r="3647" spans="1:4" x14ac:dyDescent="0.2">
      <c r="A3647" s="5">
        <v>3586</v>
      </c>
      <c r="B3647" s="1832">
        <f>'Expenditures 15-22'!G350</f>
        <v>124671</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124671</v>
      </c>
      <c r="C3649" s="2" t="s">
        <v>569</v>
      </c>
      <c r="D3649" s="2" t="str">
        <f t="shared" si="56"/>
        <v>Error?</v>
      </c>
    </row>
    <row r="3650" spans="1:4" x14ac:dyDescent="0.2">
      <c r="A3650" s="5">
        <v>3589</v>
      </c>
      <c r="B3650" s="1832">
        <f>'Expenditures 15-22'!G367</f>
        <v>124671</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124671</v>
      </c>
      <c r="C3669" s="2" t="s">
        <v>569</v>
      </c>
      <c r="D3669" s="2" t="str">
        <f t="shared" si="56"/>
        <v>Error?</v>
      </c>
    </row>
    <row r="3670" spans="1:4" x14ac:dyDescent="0.2">
      <c r="A3670" s="5">
        <v>3609</v>
      </c>
      <c r="B3670" s="1832">
        <f>'Expenditures 15-22'!K350</f>
        <v>124671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124671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124671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-112535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10712</v>
      </c>
      <c r="C3725" s="2" t="s">
        <v>569</v>
      </c>
      <c r="D3725" s="2" t="str">
        <f t="shared" si="57"/>
        <v>Error?</v>
      </c>
    </row>
    <row r="3726" spans="1:4" x14ac:dyDescent="0.2">
      <c r="A3726" s="5">
        <v>3665</v>
      </c>
      <c r="B3726" s="1832">
        <f>'Tax Sched 23'!D13</f>
        <v>10712</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14259</v>
      </c>
      <c r="C3728" s="2" t="s">
        <v>569</v>
      </c>
      <c r="D3728" s="2" t="str">
        <f t="shared" si="57"/>
        <v>Error?</v>
      </c>
    </row>
    <row r="3729" spans="1:4" x14ac:dyDescent="0.2">
      <c r="A3729" s="5">
        <v>3668</v>
      </c>
      <c r="B3729" s="1832">
        <f>'Tax Sched 23'!E13</f>
        <v>14259</v>
      </c>
      <c r="D3729" s="2" t="str">
        <f t="shared" si="57"/>
        <v>Error?</v>
      </c>
    </row>
    <row r="3730" spans="1:4" x14ac:dyDescent="0.2">
      <c r="A3730" s="5">
        <v>3669</v>
      </c>
      <c r="B3730" s="1832">
        <f>'ICR Computation 30'!E10</f>
        <v>31796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4667</v>
      </c>
      <c r="D4081" s="2" t="str">
        <f t="shared" si="62"/>
        <v>Error?</v>
      </c>
    </row>
    <row r="4082" spans="1:4" x14ac:dyDescent="0.2">
      <c r="A4082" s="5">
        <v>4021</v>
      </c>
      <c r="B4082" s="1832">
        <f>'Expenditures 15-22'!D180</f>
        <v>574</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5241</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668200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1976033</v>
      </c>
      <c r="C4122" s="2" t="s">
        <v>569</v>
      </c>
      <c r="D4122" s="2" t="str">
        <f t="shared" si="63"/>
        <v>Error?</v>
      </c>
    </row>
    <row r="4123" spans="1:4" x14ac:dyDescent="0.2">
      <c r="A4123" s="5">
        <v>4062</v>
      </c>
      <c r="B4123" s="1832">
        <f>'Acct Summary 7-8'!D10</f>
        <v>135469</v>
      </c>
      <c r="C4123" s="2" t="s">
        <v>569</v>
      </c>
      <c r="D4123" s="2" t="str">
        <f t="shared" si="63"/>
        <v>Error?</v>
      </c>
    </row>
    <row r="4124" spans="1:4" x14ac:dyDescent="0.2">
      <c r="A4124" s="5">
        <v>4063</v>
      </c>
      <c r="B4124" s="1832">
        <f>'Acct Summary 7-8'!E10</f>
        <v>61203</v>
      </c>
      <c r="C4124" s="2" t="s">
        <v>569</v>
      </c>
      <c r="D4124" s="2" t="str">
        <f t="shared" si="63"/>
        <v>Error?</v>
      </c>
    </row>
    <row r="4125" spans="1:4" x14ac:dyDescent="0.2">
      <c r="A4125" s="5">
        <v>4064</v>
      </c>
      <c r="B4125" s="1832">
        <f>'Acct Summary 7-8'!F10</f>
        <v>108338</v>
      </c>
      <c r="C4125" s="2" t="s">
        <v>569</v>
      </c>
      <c r="D4125" s="2" t="str">
        <f t="shared" si="63"/>
        <v>Error?</v>
      </c>
    </row>
    <row r="4126" spans="1:4" x14ac:dyDescent="0.2">
      <c r="A4126" s="5">
        <v>4065</v>
      </c>
      <c r="B4126" s="1832">
        <f>'Acct Summary 7-8'!G10</f>
        <v>13036</v>
      </c>
      <c r="C4126" s="2" t="s">
        <v>569</v>
      </c>
      <c r="D4126" s="2" t="str">
        <f t="shared" si="63"/>
        <v>Error?</v>
      </c>
    </row>
    <row r="4127" spans="1:4" x14ac:dyDescent="0.2">
      <c r="A4127" s="5">
        <v>4066</v>
      </c>
      <c r="B4127" s="1832">
        <f>'Acct Summary 7-8'!H10</f>
        <v>16394</v>
      </c>
      <c r="C4127" s="2" t="s">
        <v>569</v>
      </c>
      <c r="D4127" s="2" t="str">
        <f t="shared" si="63"/>
        <v>Error?</v>
      </c>
    </row>
    <row r="4128" spans="1:4" x14ac:dyDescent="0.2">
      <c r="A4128" s="5">
        <v>4067</v>
      </c>
      <c r="B4128" s="1832">
        <f>'Acct Summary 7-8'!I10</f>
        <v>10797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12136</v>
      </c>
      <c r="C4130" s="2" t="s">
        <v>569</v>
      </c>
      <c r="D4130" s="2" t="str">
        <f t="shared" si="63"/>
        <v>Error?</v>
      </c>
    </row>
    <row r="4131" spans="1:4" x14ac:dyDescent="0.2">
      <c r="A4131" s="5">
        <v>4070</v>
      </c>
      <c r="B4131" s="1832">
        <f>'Acct Summary 7-8'!C18</f>
        <v>668200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1918645</v>
      </c>
      <c r="C4136" s="2" t="s">
        <v>569</v>
      </c>
      <c r="D4136" s="2" t="str">
        <f t="shared" si="63"/>
        <v>Error?</v>
      </c>
    </row>
    <row r="4137" spans="1:4" x14ac:dyDescent="0.2">
      <c r="A4137" s="5">
        <v>4076</v>
      </c>
      <c r="B4137" s="1832">
        <f>'Acct Summary 7-8'!D19</f>
        <v>68965</v>
      </c>
      <c r="C4137" s="2" t="s">
        <v>569</v>
      </c>
      <c r="D4137" s="2" t="str">
        <f t="shared" si="63"/>
        <v>Error?</v>
      </c>
    </row>
    <row r="4138" spans="1:4" x14ac:dyDescent="0.2">
      <c r="A4138" s="5">
        <v>4077</v>
      </c>
      <c r="B4138" s="1832">
        <f>'Acct Summary 7-8'!E19</f>
        <v>60062</v>
      </c>
      <c r="C4138" s="2" t="s">
        <v>569</v>
      </c>
      <c r="D4138" s="2" t="str">
        <f t="shared" si="63"/>
        <v>Error?</v>
      </c>
    </row>
    <row r="4139" spans="1:4" x14ac:dyDescent="0.2">
      <c r="A4139" s="5">
        <v>4078</v>
      </c>
      <c r="B4139" s="1832">
        <f>'Acct Summary 7-8'!F19</f>
        <v>98755</v>
      </c>
      <c r="C4139" s="2" t="s">
        <v>569</v>
      </c>
      <c r="D4139" s="2" t="str">
        <f t="shared" si="63"/>
        <v>Error?</v>
      </c>
    </row>
    <row r="4140" spans="1:4" x14ac:dyDescent="0.2">
      <c r="A4140" s="5">
        <v>4079</v>
      </c>
      <c r="B4140" s="1832">
        <f>'Acct Summary 7-8'!G19</f>
        <v>47645</v>
      </c>
      <c r="C4140" s="2" t="s">
        <v>569</v>
      </c>
      <c r="D4140" s="2" t="str">
        <f t="shared" si="63"/>
        <v>Error?</v>
      </c>
    </row>
    <row r="4141" spans="1:4" x14ac:dyDescent="0.2">
      <c r="A4141" s="5">
        <v>4080</v>
      </c>
      <c r="B4141" s="1832">
        <f>'Acct Summary 7-8'!H19</f>
        <v>39173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124671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461344</v>
      </c>
      <c r="C4171" s="2" t="s">
        <v>569</v>
      </c>
      <c r="D4171" s="2" t="str">
        <f t="shared" si="64"/>
        <v>Error?</v>
      </c>
    </row>
    <row r="4172" spans="1:4" x14ac:dyDescent="0.2">
      <c r="A4172" s="5">
        <v>4111</v>
      </c>
      <c r="B4172" s="1832">
        <f>'Short-Term Long-Term Debt 24'!J49</f>
        <v>397761</v>
      </c>
      <c r="C4172" s="2" t="s">
        <v>569</v>
      </c>
      <c r="D4172" s="2" t="str">
        <f t="shared" si="64"/>
        <v>Error?</v>
      </c>
    </row>
    <row r="4173" spans="1:4" x14ac:dyDescent="0.2">
      <c r="A4173" s="5">
        <v>4112</v>
      </c>
      <c r="B4173" s="1832">
        <f>'Short-Term Long-Term Debt 24'!H49</f>
        <v>46600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-34427</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34426</v>
      </c>
      <c r="D4210" s="2" t="str">
        <f t="shared" si="64"/>
        <v>Error?</v>
      </c>
    </row>
    <row r="4211" spans="1:4" x14ac:dyDescent="0.2">
      <c r="A4211" s="5">
        <v>4150</v>
      </c>
      <c r="B4211" s="1832">
        <f>'Expenditures 15-22'!K206</f>
        <v>34426</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1340735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2266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4885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28399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11852</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23185011</v>
      </c>
      <c r="D4995" s="2" t="str">
        <f t="shared" si="77"/>
        <v>Error?</v>
      </c>
    </row>
    <row r="4996" spans="1:4" x14ac:dyDescent="0.2">
      <c r="A4996" s="12">
        <v>4935</v>
      </c>
      <c r="B4996" s="1832">
        <f>'FP Info 3'!H31</f>
        <v>1599765.7590000001</v>
      </c>
      <c r="D4996" s="2" t="str">
        <f t="shared" si="77"/>
        <v>Error?</v>
      </c>
    </row>
    <row r="4997" spans="1:4" x14ac:dyDescent="0.2">
      <c r="A4997" s="12">
        <v>4936</v>
      </c>
      <c r="B4997" s="1832">
        <f>'FP Info 3'!H37</f>
        <v>461344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10712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196833</v>
      </c>
      <c r="D5061" s="2" t="str">
        <f t="shared" si="78"/>
        <v>Error?</v>
      </c>
    </row>
    <row r="5062" spans="1:4" x14ac:dyDescent="0.2">
      <c r="A5062" s="10">
        <v>5001</v>
      </c>
      <c r="B5062" s="1832"/>
      <c r="D5062" s="2" t="str">
        <f t="shared" si="78"/>
        <v>OK</v>
      </c>
    </row>
    <row r="5063" spans="1:4" x14ac:dyDescent="0.2">
      <c r="A5063" s="5">
        <v>5002</v>
      </c>
      <c r="B5063" s="1832">
        <f>'Revenues 9-14'!C7</f>
        <v>4285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211830</v>
      </c>
      <c r="C5066" s="2" t="s">
        <v>569</v>
      </c>
      <c r="D5066" s="2" t="str">
        <f t="shared" si="78"/>
        <v>Error?</v>
      </c>
    </row>
    <row r="5067" spans="1:4" x14ac:dyDescent="0.2">
      <c r="A5067" s="5">
        <v>5006</v>
      </c>
      <c r="B5067" s="1832">
        <f>'Revenues 9-14'!C14</f>
        <v>1529</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16326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17855</v>
      </c>
      <c r="C5071" s="2" t="s">
        <v>569</v>
      </c>
      <c r="D5071" s="2" t="str">
        <f t="shared" si="78"/>
        <v>Error?</v>
      </c>
    </row>
    <row r="5072" spans="1:4" x14ac:dyDescent="0.2">
      <c r="A5072" s="5">
        <v>5011</v>
      </c>
      <c r="B5072" s="1832">
        <f>'Revenues 9-14'!C20</f>
        <v>7917</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7917</v>
      </c>
      <c r="C5087" s="2" t="s">
        <v>569</v>
      </c>
      <c r="D5087" s="2" t="str">
        <f t="shared" si="78"/>
        <v>Error?</v>
      </c>
    </row>
    <row r="5088" spans="1:4" x14ac:dyDescent="0.2">
      <c r="A5088" s="5">
        <v>5027</v>
      </c>
      <c r="B5088" s="1832">
        <f>'Revenues 9-14'!C65</f>
        <v>13372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13372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3135</v>
      </c>
      <c r="D5094" s="2" t="str">
        <f t="shared" si="78"/>
        <v>Error?</v>
      </c>
    </row>
    <row r="5095" spans="1:4" x14ac:dyDescent="0.2">
      <c r="A5095" s="5">
        <v>5034</v>
      </c>
      <c r="B5095" s="1832">
        <f>'Revenues 9-14'!C74</f>
        <v>49</v>
      </c>
      <c r="D5095" s="2" t="str">
        <f t="shared" si="78"/>
        <v>Error?</v>
      </c>
    </row>
    <row r="5096" spans="1:4" x14ac:dyDescent="0.2">
      <c r="A5096" s="5">
        <v>5035</v>
      </c>
      <c r="B5096" s="1832">
        <f>'Revenues 9-14'!C75</f>
        <v>34235</v>
      </c>
      <c r="C5096" s="2" t="s">
        <v>569</v>
      </c>
      <c r="D5096" s="2" t="str">
        <f t="shared" si="78"/>
        <v>Error?</v>
      </c>
    </row>
    <row r="5097" spans="1:4" x14ac:dyDescent="0.2">
      <c r="A5097" s="5">
        <v>5036</v>
      </c>
      <c r="B5097" s="1832">
        <f>'Revenues 9-14'!C77</f>
        <v>12196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5086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17282</v>
      </c>
      <c r="C5102" s="2" t="s">
        <v>569</v>
      </c>
      <c r="D5102" s="2" t="str">
        <f t="shared" si="78"/>
        <v>Error?</v>
      </c>
    </row>
    <row r="5103" spans="1:4" x14ac:dyDescent="0.2">
      <c r="A5103" s="5">
        <v>5042</v>
      </c>
      <c r="B5103" s="1832">
        <f>'Revenues 9-14'!C84</f>
        <v>3220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32</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3252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4884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574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199</v>
      </c>
      <c r="D5119" s="2" t="str">
        <f t="shared" ref="D5119:D5182" si="79">IF(ISBLANK(B5119),"OK",IF(A5119-B5119=0,"OK","Error?"))</f>
        <v>Error?</v>
      </c>
    </row>
    <row r="5120" spans="1:4" x14ac:dyDescent="0.2">
      <c r="A5120" s="5">
        <v>5059</v>
      </c>
      <c r="B5120" s="1832">
        <f>'Revenues 9-14'!C108</f>
        <v>34056</v>
      </c>
      <c r="C5120" s="2" t="s">
        <v>569</v>
      </c>
      <c r="D5120" s="2" t="str">
        <f t="shared" si="79"/>
        <v>Error?</v>
      </c>
    </row>
    <row r="5121" spans="1:4" x14ac:dyDescent="0.2">
      <c r="A5121" s="5">
        <v>5060</v>
      </c>
      <c r="B5121" s="1832">
        <f>'Revenues 9-14'!C109</f>
        <v>339799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855172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855172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405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571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855743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23317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8479</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31796</v>
      </c>
      <c r="C5246" s="2" t="s">
        <v>569</v>
      </c>
      <c r="D5246" s="2" t="str">
        <f t="shared" si="80"/>
        <v>Error?</v>
      </c>
    </row>
    <row r="5247" spans="1:4" x14ac:dyDescent="0.2">
      <c r="A5247" s="5">
        <v>5186</v>
      </c>
      <c r="B5247" s="1832">
        <f>'Revenues 9-14'!C200</f>
        <v>43896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43896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16596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16596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112291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112291</v>
      </c>
      <c r="C5326" s="2" t="s">
        <v>569</v>
      </c>
      <c r="D5326" s="2" t="str">
        <f t="shared" si="82"/>
        <v>Error?</v>
      </c>
    </row>
    <row r="5327" spans="1:5" x14ac:dyDescent="0.2">
      <c r="A5327" s="5">
        <v>5266</v>
      </c>
      <c r="B5327" s="1832">
        <f>'Revenues 9-14'!C268</f>
        <v>1307833</v>
      </c>
      <c r="C5327" s="2" t="s">
        <v>569</v>
      </c>
      <c r="D5327" s="2" t="str">
        <f t="shared" si="82"/>
        <v>Error?</v>
      </c>
    </row>
    <row r="5328" spans="1:5" x14ac:dyDescent="0.2">
      <c r="A5328" s="5">
        <v>5267</v>
      </c>
      <c r="B5328" s="1832">
        <f>'Revenues 9-14'!D5</f>
        <v>53558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53558</v>
      </c>
      <c r="C5334" s="2" t="s">
        <v>569</v>
      </c>
      <c r="D5334" s="2" t="str">
        <f t="shared" si="82"/>
        <v>Error?</v>
      </c>
    </row>
    <row r="5335" spans="1:4" x14ac:dyDescent="0.2">
      <c r="A5335" s="5">
        <v>5274</v>
      </c>
      <c r="B5335" s="1832">
        <f>'Revenues 9-14'!D14</f>
        <v>386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386</v>
      </c>
      <c r="C5339" s="2" t="s">
        <v>569</v>
      </c>
      <c r="D5339" s="2" t="str">
        <f t="shared" si="82"/>
        <v>Error?</v>
      </c>
    </row>
    <row r="5340" spans="1:4" x14ac:dyDescent="0.2">
      <c r="A5340" s="5">
        <v>5279</v>
      </c>
      <c r="B5340" s="1832">
        <f>'Revenues 9-14'!D65</f>
        <v>142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983</v>
      </c>
      <c r="D5354" s="2" t="str">
        <f t="shared" si="82"/>
        <v>Error?</v>
      </c>
    </row>
    <row r="5355" spans="1:4" x14ac:dyDescent="0.2">
      <c r="A5355" s="5">
        <v>5294</v>
      </c>
      <c r="B5355" s="1832">
        <f>'Revenues 9-14'!D108</f>
        <v>1383</v>
      </c>
      <c r="C5355" s="2" t="s">
        <v>569</v>
      </c>
      <c r="D5355" s="2" t="str">
        <f t="shared" si="82"/>
        <v>Error?</v>
      </c>
    </row>
    <row r="5356" spans="1:4" x14ac:dyDescent="0.2">
      <c r="A5356" s="5">
        <v>5295</v>
      </c>
      <c r="B5356" s="1832">
        <f>'Revenues 9-14'!D109</f>
        <v>55469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30000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30000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135469</v>
      </c>
      <c r="C5508" s="2" t="s">
        <v>569</v>
      </c>
      <c r="D5508" s="2" t="str">
        <f t="shared" si="85"/>
        <v>Error?</v>
      </c>
    </row>
    <row r="5509" spans="1:4" x14ac:dyDescent="0.2">
      <c r="A5509" s="5">
        <v>5448</v>
      </c>
      <c r="B5509" s="1832">
        <f>'Revenues 9-14'!E5</f>
        <v>60593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60593</v>
      </c>
      <c r="C5513" s="2" t="s">
        <v>569</v>
      </c>
      <c r="D5513" s="2" t="str">
        <f t="shared" si="85"/>
        <v>Error?</v>
      </c>
    </row>
    <row r="5514" spans="1:4" x14ac:dyDescent="0.2">
      <c r="A5514" s="5">
        <v>5453</v>
      </c>
      <c r="B5514" s="1832">
        <f>'Revenues 9-14'!E14</f>
        <v>438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438</v>
      </c>
      <c r="C5518" s="2" t="s">
        <v>569</v>
      </c>
      <c r="D5518" s="2" t="str">
        <f t="shared" si="85"/>
        <v>Error?</v>
      </c>
    </row>
    <row r="5519" spans="1:4" x14ac:dyDescent="0.2">
      <c r="A5519" s="5">
        <v>5458</v>
      </c>
      <c r="B5519" s="1832">
        <f>'Revenues 9-14'!E65</f>
        <v>172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172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61203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61203</v>
      </c>
      <c r="C5552" s="2" t="s">
        <v>569</v>
      </c>
      <c r="D5552" s="2" t="str">
        <f t="shared" si="85"/>
        <v>Error?</v>
      </c>
    </row>
    <row r="5553" spans="1:4" x14ac:dyDescent="0.2">
      <c r="A5553" s="5">
        <v>5492</v>
      </c>
      <c r="B5553" s="1832">
        <f>'Revenues 9-14'!F5</f>
        <v>25708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25708</v>
      </c>
      <c r="C5557" s="2" t="s">
        <v>569</v>
      </c>
      <c r="D5557" s="2" t="str">
        <f t="shared" si="85"/>
        <v>Error?</v>
      </c>
    </row>
    <row r="5558" spans="1:4" x14ac:dyDescent="0.2">
      <c r="A5558" s="5">
        <v>5497</v>
      </c>
      <c r="B5558" s="1832">
        <f>'Revenues 9-14'!F14</f>
        <v>185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185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100</v>
      </c>
      <c r="D5586" s="2" t="str">
        <f t="shared" si="86"/>
        <v>Error?</v>
      </c>
    </row>
    <row r="5587" spans="1:4" x14ac:dyDescent="0.2">
      <c r="A5587" s="5">
        <v>5526</v>
      </c>
      <c r="B5587" s="1832">
        <f>'Revenues 9-14'!F108</f>
        <v>100</v>
      </c>
      <c r="C5587" s="2" t="s">
        <v>569</v>
      </c>
      <c r="D5587" s="2" t="str">
        <f t="shared" si="86"/>
        <v>Error?</v>
      </c>
    </row>
    <row r="5588" spans="1:4" x14ac:dyDescent="0.2">
      <c r="A5588" s="5">
        <v>5527</v>
      </c>
      <c r="B5588" s="1832">
        <f>'Revenues 9-14'!F109</f>
        <v>26061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52277</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52277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52277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82277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108338</v>
      </c>
      <c r="C5720" s="2" t="s">
        <v>569</v>
      </c>
      <c r="D5720" s="2" t="str">
        <f t="shared" si="88"/>
        <v>Error?</v>
      </c>
    </row>
    <row r="5721" spans="1:4" x14ac:dyDescent="0.2">
      <c r="A5721" s="5">
        <v>5660</v>
      </c>
      <c r="B5721" s="1832">
        <f>'Revenues 9-14'!G5</f>
        <v>6059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6059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12118</v>
      </c>
      <c r="C5725" s="2" t="s">
        <v>569</v>
      </c>
      <c r="D5725" s="2" t="str">
        <f t="shared" si="88"/>
        <v>Error?</v>
      </c>
    </row>
    <row r="5726" spans="1:4" x14ac:dyDescent="0.2">
      <c r="A5726" s="5">
        <v>5665</v>
      </c>
      <c r="B5726" s="1832">
        <f>'Revenues 9-14'!G14</f>
        <v>88</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660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748</v>
      </c>
      <c r="C5730" s="2" t="s">
        <v>569</v>
      </c>
      <c r="D5730" s="2" t="str">
        <f t="shared" si="88"/>
        <v>Error?</v>
      </c>
    </row>
    <row r="5731" spans="1:4" x14ac:dyDescent="0.2">
      <c r="A5731" s="5">
        <v>5670</v>
      </c>
      <c r="B5731" s="1832">
        <f>'Revenues 9-14'!G65</f>
        <v>170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170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13036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16373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16394</v>
      </c>
      <c r="C5915" s="2" t="s">
        <v>569</v>
      </c>
      <c r="D5915" s="2" t="str">
        <f t="shared" si="91"/>
        <v>Error?</v>
      </c>
    </row>
    <row r="5916" spans="1:4" x14ac:dyDescent="0.2">
      <c r="A5916" s="5">
        <v>5855</v>
      </c>
      <c r="B5916" s="1832">
        <f>'Revenues 9-14'!I5</f>
        <v>10712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10712</v>
      </c>
      <c r="C5918" s="2" t="s">
        <v>569</v>
      </c>
      <c r="D5918" s="2" t="str">
        <f t="shared" si="91"/>
        <v>Error?</v>
      </c>
    </row>
    <row r="5919" spans="1:4" x14ac:dyDescent="0.2">
      <c r="A5919" s="5">
        <v>5858</v>
      </c>
      <c r="B5919" s="1832">
        <f>'Revenues 9-14'!I14</f>
        <v>77</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77</v>
      </c>
      <c r="C5923" s="2" t="s">
        <v>569</v>
      </c>
      <c r="D5923" s="2" t="str">
        <f t="shared" si="91"/>
        <v>Error?</v>
      </c>
    </row>
    <row r="5924" spans="1:4" x14ac:dyDescent="0.2">
      <c r="A5924" s="5">
        <v>5863</v>
      </c>
      <c r="B5924" s="1832">
        <f>'Revenues 9-14'!I65</f>
        <v>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10797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10712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10712</v>
      </c>
      <c r="C5987" s="2" t="s">
        <v>569</v>
      </c>
      <c r="D5987" s="2" t="str">
        <f t="shared" si="92"/>
        <v>Error?</v>
      </c>
    </row>
    <row r="5988" spans="1:4" x14ac:dyDescent="0.2">
      <c r="A5988" s="5">
        <v>5927</v>
      </c>
      <c r="B5988" s="1832">
        <f>'Revenues 9-14'!K14</f>
        <v>77</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77</v>
      </c>
      <c r="C5992" s="2" t="s">
        <v>569</v>
      </c>
      <c r="D5992" s="2" t="str">
        <f t="shared" si="92"/>
        <v>Error?</v>
      </c>
    </row>
    <row r="5993" spans="1:4" x14ac:dyDescent="0.2">
      <c r="A5993" s="5">
        <v>5932</v>
      </c>
      <c r="B5993" s="1832">
        <f>'Revenues 9-14'!K65</f>
        <v>1347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1347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12136</v>
      </c>
      <c r="C6023" s="2" t="s">
        <v>569</v>
      </c>
      <c r="D6023" s="2" t="str">
        <f t="shared" si="93"/>
        <v>Error?</v>
      </c>
    </row>
    <row r="6024" spans="1:5" x14ac:dyDescent="0.2">
      <c r="A6024" s="5">
        <v>5963</v>
      </c>
      <c r="B6024" s="1832">
        <f>'Revenues 9-14'!G109</f>
        <v>13036</v>
      </c>
      <c r="C6024" s="2" t="s">
        <v>569</v>
      </c>
      <c r="D6024" s="2" t="str">
        <f t="shared" si="93"/>
        <v>Error?</v>
      </c>
    </row>
    <row r="6025" spans="1:5" x14ac:dyDescent="0.2">
      <c r="A6025" s="5">
        <v>5964</v>
      </c>
      <c r="B6025" s="1832">
        <f>'Revenues 9-14'!H109</f>
        <v>16394</v>
      </c>
      <c r="C6025" s="2" t="s">
        <v>569</v>
      </c>
      <c r="D6025" s="2" t="str">
        <f t="shared" si="93"/>
        <v>Error?</v>
      </c>
    </row>
    <row r="6026" spans="1:5" x14ac:dyDescent="0.2">
      <c r="A6026" s="5">
        <v>5965</v>
      </c>
      <c r="B6026" s="1832">
        <f>'Revenues 9-14'!I109</f>
        <v>10797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12136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31051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8833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175.2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60284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60284</v>
      </c>
      <c r="D6215" s="2" t="str">
        <f t="shared" si="96"/>
        <v>Error?</v>
      </c>
      <c r="E6215" s="2" t="s">
        <v>189</v>
      </c>
    </row>
    <row r="6216" spans="1:5" x14ac:dyDescent="0.2">
      <c r="A6216">
        <v>6155</v>
      </c>
      <c r="B6216" s="1832">
        <f>'Assets-Liab 5-6'!J41</f>
        <v>60284</v>
      </c>
      <c r="D6216" s="2" t="str">
        <f t="shared" si="96"/>
        <v>Error?</v>
      </c>
      <c r="E6216" s="2" t="s">
        <v>189</v>
      </c>
    </row>
    <row r="6217" spans="1:5" x14ac:dyDescent="0.2">
      <c r="A6217">
        <v>6156</v>
      </c>
      <c r="B6217" s="1832">
        <f>'Assets-Liab 5-6'!J4</f>
        <v>60284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128703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128703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128703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135560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135560</v>
      </c>
      <c r="D6229" s="2" t="str">
        <f t="shared" si="96"/>
        <v>Error?</v>
      </c>
      <c r="E6229" s="2" t="s">
        <v>189</v>
      </c>
    </row>
    <row r="6230" spans="1:5" x14ac:dyDescent="0.2">
      <c r="A6230">
        <v>6169</v>
      </c>
      <c r="B6230" s="1832">
        <f>'Acct Summary 7-8'!J20</f>
        <v>-6857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-6857</v>
      </c>
      <c r="D6263" s="2" t="str">
        <f t="shared" si="96"/>
        <v>Error?</v>
      </c>
      <c r="E6263" s="2" t="s">
        <v>189</v>
      </c>
    </row>
    <row r="6264" spans="1:5" x14ac:dyDescent="0.2">
      <c r="A6264">
        <v>6203</v>
      </c>
      <c r="B6264" s="1832">
        <f>'Acct Summary 7-8'!J79</f>
        <v>67141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60284</v>
      </c>
      <c r="D6266" s="2" t="str">
        <f t="shared" si="96"/>
        <v>Error?</v>
      </c>
      <c r="E6266" s="2" t="s">
        <v>189</v>
      </c>
    </row>
    <row r="6267" spans="1:5" x14ac:dyDescent="0.2">
      <c r="A6267">
        <v>6206</v>
      </c>
      <c r="B6267" s="1832">
        <f>'Acct Summary 7-8'!C82</f>
        <v>68185</v>
      </c>
      <c r="D6267" s="2" t="str">
        <f t="shared" si="96"/>
        <v>Error?</v>
      </c>
      <c r="E6267" s="2" t="s">
        <v>189</v>
      </c>
    </row>
    <row r="6268" spans="1:5" x14ac:dyDescent="0.2">
      <c r="A6268">
        <v>6207</v>
      </c>
      <c r="B6268" s="1832">
        <f>'Acct Summary 7-8'!D82</f>
        <v>66504</v>
      </c>
      <c r="D6268" s="2" t="str">
        <f t="shared" si="96"/>
        <v>Error?</v>
      </c>
      <c r="E6268" s="2" t="s">
        <v>189</v>
      </c>
    </row>
    <row r="6269" spans="1:5" x14ac:dyDescent="0.2">
      <c r="A6269">
        <v>6208</v>
      </c>
      <c r="B6269" s="1832">
        <f>'Acct Summary 7-8'!E82</f>
        <v>1141</v>
      </c>
      <c r="D6269" s="2" t="str">
        <f t="shared" si="96"/>
        <v>Error?</v>
      </c>
      <c r="E6269" s="2" t="s">
        <v>189</v>
      </c>
    </row>
    <row r="6270" spans="1:5" x14ac:dyDescent="0.2">
      <c r="A6270">
        <v>6209</v>
      </c>
      <c r="B6270" s="1832">
        <f>'Acct Summary 7-8'!F82</f>
        <v>9583</v>
      </c>
      <c r="D6270" s="2" t="str">
        <f t="shared" si="96"/>
        <v>Error?</v>
      </c>
      <c r="E6270" s="2" t="s">
        <v>189</v>
      </c>
    </row>
    <row r="6271" spans="1:5" x14ac:dyDescent="0.2">
      <c r="A6271">
        <v>6210</v>
      </c>
      <c r="B6271" s="1832">
        <f>'Acct Summary 7-8'!G82</f>
        <v>-34609</v>
      </c>
      <c r="D6271" s="2" t="str">
        <f t="shared" ref="D6271:D6334" si="97">IF(ISBLANK(B6271),"OK",IF(A6271-B6271=0,"OK","Error?"))</f>
        <v>Error?</v>
      </c>
      <c r="E6271" s="2" t="s">
        <v>189</v>
      </c>
    </row>
    <row r="6272" spans="1:5" x14ac:dyDescent="0.2">
      <c r="A6272">
        <v>6211</v>
      </c>
      <c r="B6272" s="1832">
        <f>'Acct Summary 7-8'!H82</f>
        <v>-22779</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-6857</v>
      </c>
      <c r="D6274" s="2" t="str">
        <f t="shared" si="97"/>
        <v>Error?</v>
      </c>
      <c r="E6274" s="2" t="s">
        <v>189</v>
      </c>
    </row>
    <row r="6275" spans="1:5" x14ac:dyDescent="0.2">
      <c r="A6275">
        <v>6214</v>
      </c>
      <c r="B6275" s="1832">
        <f>'Acct Summary 7-8'!K82</f>
        <v>-112535</v>
      </c>
      <c r="D6275" s="2" t="str">
        <f t="shared" si="97"/>
        <v>Error?</v>
      </c>
      <c r="E6275" s="2" t="s">
        <v>189</v>
      </c>
    </row>
    <row r="6276" spans="1:5" x14ac:dyDescent="0.2">
      <c r="A6276">
        <v>6215</v>
      </c>
      <c r="B6276" s="1832">
        <f>'Acct Summary 7-8'!C83</f>
        <v>6.8077913442155483E-2</v>
      </c>
      <c r="D6276" s="2" t="str">
        <f t="shared" si="97"/>
        <v>Error?</v>
      </c>
      <c r="E6276" s="2" t="s">
        <v>189</v>
      </c>
    </row>
    <row r="6277" spans="1:5" x14ac:dyDescent="0.2">
      <c r="A6277">
        <v>6216</v>
      </c>
      <c r="B6277" s="1832">
        <f>'Acct Summary 7-8'!D83</f>
        <v>0.29372093331390031</v>
      </c>
      <c r="D6277" s="2" t="str">
        <f t="shared" si="97"/>
        <v>Error?</v>
      </c>
      <c r="E6277" s="2" t="s">
        <v>189</v>
      </c>
    </row>
    <row r="6278" spans="1:5" x14ac:dyDescent="0.2">
      <c r="A6278">
        <v>6217</v>
      </c>
      <c r="B6278" s="1832">
        <f>'Acct Summary 7-8'!E83</f>
        <v>1.7945048204708807E-2</v>
      </c>
      <c r="D6278" s="2" t="str">
        <f t="shared" si="97"/>
        <v>Error?</v>
      </c>
      <c r="E6278" s="2" t="s">
        <v>189</v>
      </c>
    </row>
    <row r="6279" spans="1:5" x14ac:dyDescent="0.2">
      <c r="A6279">
        <v>6218</v>
      </c>
      <c r="B6279" s="1832">
        <f>'Acct Summary 7-8'!F83</f>
        <v>8.4998625191807911E-2</v>
      </c>
      <c r="D6279" s="2" t="str">
        <f t="shared" si="97"/>
        <v>Error?</v>
      </c>
      <c r="E6279" s="2" t="s">
        <v>189</v>
      </c>
    </row>
    <row r="6280" spans="1:5" x14ac:dyDescent="0.2">
      <c r="A6280">
        <v>6219</v>
      </c>
      <c r="B6280" s="1832">
        <f>'Acct Summary 7-8'!G83</f>
        <v>-0.16674214684910388</v>
      </c>
      <c r="D6280" s="2" t="str">
        <f t="shared" si="97"/>
        <v>Error?</v>
      </c>
      <c r="E6280" s="2" t="s">
        <v>189</v>
      </c>
    </row>
    <row r="6281" spans="1:5" x14ac:dyDescent="0.2">
      <c r="A6281">
        <v>6220</v>
      </c>
      <c r="B6281" s="1832">
        <f>'Acct Summary 7-8'!H83</f>
        <v>-10.689347724073205</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-0.11374494061442506</v>
      </c>
      <c r="D6283" s="2" t="str">
        <f t="shared" si="97"/>
        <v>Error?</v>
      </c>
      <c r="E6283" s="2" t="s">
        <v>189</v>
      </c>
    </row>
    <row r="6284" spans="1:5" x14ac:dyDescent="0.2">
      <c r="A6284">
        <v>6223</v>
      </c>
      <c r="B6284" s="1832">
        <f>'Acct Summary 7-8'!K83</f>
        <v>-0.30710934877590174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127654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127654</v>
      </c>
      <c r="D6301" s="2" t="str">
        <f t="shared" si="97"/>
        <v>Error?</v>
      </c>
      <c r="E6301" s="2" t="s">
        <v>189</v>
      </c>
    </row>
    <row r="6302" spans="1:5" x14ac:dyDescent="0.2">
      <c r="A6302">
        <v>6241</v>
      </c>
      <c r="B6302" s="1832">
        <f>'Revenues 9-14'!J14</f>
        <v>925</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925</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124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124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128703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166</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135560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128703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4970</v>
      </c>
      <c r="D7067" s="2" t="str">
        <f t="shared" si="109"/>
        <v>Error?</v>
      </c>
    </row>
    <row r="7068" spans="1:4" x14ac:dyDescent="0.2">
      <c r="A7068">
        <v>7007</v>
      </c>
      <c r="B7068" s="1832">
        <f>'Expenditures 15-22'!K205</f>
        <v>4970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6056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6056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2013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2013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22250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22250</v>
      </c>
      <c r="D7153" s="2" t="str">
        <f t="shared" si="110"/>
        <v>Error?</v>
      </c>
    </row>
    <row r="7154" spans="1:4" x14ac:dyDescent="0.2">
      <c r="A7154">
        <v>7093</v>
      </c>
      <c r="B7154" s="1832">
        <f>'Expenditures 15-22'!C323</f>
        <v>66895</v>
      </c>
      <c r="D7154" s="2" t="str">
        <f t="shared" si="110"/>
        <v>Error?</v>
      </c>
    </row>
    <row r="7155" spans="1:4" x14ac:dyDescent="0.2">
      <c r="A7155">
        <v>7094</v>
      </c>
      <c r="B7155" s="1832">
        <f>'Expenditures 15-22'!D323</f>
        <v>13635</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80530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23736</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23736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975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975</v>
      </c>
      <c r="D7198" s="2" t="str">
        <f t="shared" si="111"/>
        <v>Error?</v>
      </c>
    </row>
    <row r="7199" spans="1:4" x14ac:dyDescent="0.2">
      <c r="A7199">
        <v>7138</v>
      </c>
      <c r="B7199" s="1832">
        <f>'Expenditures 15-22'!C330</f>
        <v>66895</v>
      </c>
      <c r="D7199" s="2" t="str">
        <f t="shared" si="111"/>
        <v>Error?</v>
      </c>
    </row>
    <row r="7200" spans="1:4" x14ac:dyDescent="0.2">
      <c r="A7200">
        <v>7139</v>
      </c>
      <c r="B7200" s="1832">
        <f>'Expenditures 15-22'!D330</f>
        <v>13635</v>
      </c>
      <c r="D7200" s="2" t="str">
        <f t="shared" si="111"/>
        <v>Error?</v>
      </c>
    </row>
    <row r="7201" spans="1:4" x14ac:dyDescent="0.2">
      <c r="A7201">
        <v>7140</v>
      </c>
      <c r="B7201" s="1832">
        <f>'Expenditures 15-22'!E330</f>
        <v>31294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23736</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135560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66895</v>
      </c>
      <c r="D7216" s="2" t="str">
        <f t="shared" si="111"/>
        <v>Error?</v>
      </c>
    </row>
    <row r="7217" spans="1:4" x14ac:dyDescent="0.2">
      <c r="A7217">
        <v>7156</v>
      </c>
      <c r="B7217" s="1832">
        <f>'Expenditures 15-22'!D342</f>
        <v>13635</v>
      </c>
      <c r="D7217" s="2" t="str">
        <f t="shared" si="111"/>
        <v>Error?</v>
      </c>
    </row>
    <row r="7218" spans="1:4" x14ac:dyDescent="0.2">
      <c r="A7218">
        <v>7157</v>
      </c>
      <c r="B7218" s="1832">
        <f>'Expenditures 15-22'!E342</f>
        <v>31294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23736</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135560</v>
      </c>
      <c r="D7224" s="2" t="str">
        <f t="shared" si="111"/>
        <v>Error?</v>
      </c>
    </row>
    <row r="7225" spans="1:4" x14ac:dyDescent="0.2">
      <c r="A7225">
        <v>7164</v>
      </c>
      <c r="B7225" s="1832">
        <f>'Expenditures 15-22'!K343</f>
        <v>-6857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164514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24910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16373</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16394</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4285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39173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39173</v>
      </c>
      <c r="D7730" s="2" t="str">
        <f t="shared" si="126"/>
        <v>Error?</v>
      </c>
      <c r="E7730" s="2" t="s">
        <v>822</v>
      </c>
    </row>
    <row r="7731" spans="1:6" x14ac:dyDescent="0.2">
      <c r="A7731">
        <v>7670</v>
      </c>
      <c r="B7731" s="1832">
        <f>'Revenues 9-14'!H103</f>
        <v>16373</v>
      </c>
      <c r="D7731" s="2" t="str">
        <f t="shared" si="126"/>
        <v>Error?</v>
      </c>
      <c r="E7731" s="2" t="s">
        <v>822</v>
      </c>
    </row>
    <row r="7732" spans="1:6" x14ac:dyDescent="0.2">
      <c r="A7732">
        <v>7671</v>
      </c>
      <c r="B7732" s="1832">
        <f>'Rest Tax Levies-Tort Im 25'!J24</f>
        <v>2131</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2131</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809785</v>
      </c>
      <c r="D7817" s="2" t="str">
        <f t="shared" si="128"/>
        <v>Error?</v>
      </c>
      <c r="E7817" s="4" t="s">
        <v>1966</v>
      </c>
    </row>
    <row r="7818" spans="1:5" x14ac:dyDescent="0.2">
      <c r="A7818">
        <v>7757</v>
      </c>
      <c r="B7818" s="1832">
        <f>'PCTC-OEPP 27-28'!F172</f>
        <v>50659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1661432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486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142223</v>
      </c>
      <c r="D7834" s="2" t="str">
        <f t="shared" si="129"/>
        <v>Error?</v>
      </c>
      <c r="E7834" s="4" t="s">
        <v>1998</v>
      </c>
    </row>
    <row r="7835" spans="1:5" x14ac:dyDescent="0.2">
      <c r="A7835">
        <v>7774</v>
      </c>
      <c r="B7835" s="1832">
        <f>'PCTC-OEPP 27-28'!F78</f>
        <v>1519209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8671.2842465753438</v>
      </c>
      <c r="D7837" s="2" t="str">
        <f t="shared" si="129"/>
        <v>Error?</v>
      </c>
      <c r="E7837" s="4" t="s">
        <v>1998</v>
      </c>
    </row>
    <row r="7838" spans="1:5" x14ac:dyDescent="0.2">
      <c r="A7838">
        <v>7777</v>
      </c>
      <c r="B7838" s="1832">
        <f>'PCTC-OEPP 27-28'!F96</f>
        <v>17282</v>
      </c>
      <c r="D7838" s="2" t="str">
        <f t="shared" si="129"/>
        <v>Error?</v>
      </c>
      <c r="E7838" s="4" t="s">
        <v>1998</v>
      </c>
    </row>
    <row r="7839" spans="1:5" x14ac:dyDescent="0.2">
      <c r="A7839">
        <v>7778</v>
      </c>
      <c r="B7839" s="1832">
        <f>'PCTC-OEPP 27-28'!F102</f>
        <v>400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28399</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166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52277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31796</v>
      </c>
      <c r="D7858" s="2" t="str">
        <f t="shared" si="129"/>
        <v>Error?</v>
      </c>
      <c r="E7858" s="4" t="s">
        <v>1998</v>
      </c>
    </row>
    <row r="7859" spans="1:5" x14ac:dyDescent="0.2">
      <c r="A7859">
        <v>7798</v>
      </c>
      <c r="B7859" s="1832">
        <f>'PCTC-OEPP 27-28'!F127</f>
        <v>43896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16596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1000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2266</v>
      </c>
      <c r="D7874" s="2" t="str">
        <f t="shared" si="129"/>
        <v>Error?</v>
      </c>
      <c r="E7874" s="4" t="s">
        <v>1998</v>
      </c>
    </row>
    <row r="7875" spans="1:5" x14ac:dyDescent="0.2">
      <c r="A7875">
        <v>7814</v>
      </c>
      <c r="B7875" s="1832">
        <f>'PCTC-OEPP 27-28'!F170</f>
        <v>4885</v>
      </c>
      <c r="D7875" s="2" t="str">
        <f t="shared" si="129"/>
        <v>Error?</v>
      </c>
      <c r="E7875" s="4" t="s">
        <v>1998</v>
      </c>
    </row>
    <row r="7876" spans="1:5" x14ac:dyDescent="0.2">
      <c r="A7876">
        <v>7815</v>
      </c>
      <c r="B7876" s="1832">
        <f>'PCTC-OEPP 27-28'!F171</f>
        <v>11852</v>
      </c>
      <c r="D7876" s="2" t="str">
        <f t="shared" si="129"/>
        <v>Error?</v>
      </c>
      <c r="E7876" s="4" t="s">
        <v>1998</v>
      </c>
    </row>
    <row r="7877" spans="1:5" x14ac:dyDescent="0.2">
      <c r="A7877">
        <v>7816</v>
      </c>
      <c r="B7877" s="1832">
        <f>'PCTC-OEPP 27-28'!F175</f>
        <v>349366</v>
      </c>
      <c r="D7877" s="2" t="str">
        <f t="shared" si="129"/>
        <v>Error?</v>
      </c>
      <c r="E7877" s="4" t="s">
        <v>1998</v>
      </c>
    </row>
    <row r="7878" spans="1:5" x14ac:dyDescent="0.2">
      <c r="A7878">
        <v>7817</v>
      </c>
      <c r="B7878" s="1832">
        <f>'PCTC-OEPP 27-28'!F176</f>
        <v>1169843</v>
      </c>
      <c r="D7878" s="2" t="str">
        <f t="shared" si="129"/>
        <v>Error?</v>
      </c>
      <c r="E7878" s="4" t="s">
        <v>1998</v>
      </c>
    </row>
    <row r="7879" spans="1:5" x14ac:dyDescent="0.2">
      <c r="A7879">
        <v>7818</v>
      </c>
      <c r="B7879" s="1832">
        <f>'PCTC-OEPP 27-28'!F178</f>
        <v>1334357</v>
      </c>
      <c r="D7879" s="2" t="str">
        <f t="shared" si="129"/>
        <v>Error?</v>
      </c>
      <c r="E7879" s="4" t="s">
        <v>1998</v>
      </c>
    </row>
    <row r="7880" spans="1:5" x14ac:dyDescent="0.2">
      <c r="A7880">
        <v>7819</v>
      </c>
      <c r="B7880" s="1832">
        <f>'PCTC-OEPP 27-28'!F180</f>
        <v>7616.1929223744301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23736</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New Hope CCSD 6</v>
      </c>
      <c r="B7" s="2519"/>
      <c r="C7" s="2519"/>
      <c r="D7" s="2557"/>
      <c r="E7" s="2558">
        <f>COVER!A13</f>
        <v>20096006004</v>
      </c>
      <c r="F7" s="2559"/>
      <c r="G7" s="2525">
        <f>COVER!T23</f>
        <v>65.032562999999996</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Kemper CPA Group LLP</v>
      </c>
      <c r="H9" s="2532"/>
      <c r="I9" s="2532"/>
      <c r="J9" s="2532"/>
      <c r="K9" s="2532"/>
      <c r="L9" s="2533"/>
    </row>
    <row r="10" spans="1:29" ht="13.5" customHeight="1" x14ac:dyDescent="0.2">
      <c r="A10" s="2515" t="str">
        <f>COVER!A38</f>
        <v>Julie Harrelson</v>
      </c>
      <c r="B10" s="2516"/>
      <c r="C10" s="2516"/>
      <c r="D10" s="2516"/>
      <c r="E10" s="2516"/>
      <c r="F10" s="2517"/>
      <c r="G10" s="2531" t="str">
        <f>COVER!T17</f>
        <v>703 W. Main St, PO Box 447</v>
      </c>
      <c r="H10" s="2544"/>
      <c r="I10" s="2544"/>
      <c r="J10" s="2544"/>
      <c r="K10" s="2544"/>
      <c r="L10" s="2545"/>
    </row>
    <row r="11" spans="1:29" ht="13.5" customHeight="1" x14ac:dyDescent="0.2">
      <c r="A11" s="963" t="s">
        <v>1502</v>
      </c>
      <c r="B11" s="964"/>
      <c r="C11" s="965"/>
      <c r="D11" s="970"/>
      <c r="E11" s="965"/>
      <c r="F11" s="969"/>
      <c r="G11" s="2531" t="str">
        <f>COVER!T19</f>
        <v>Olney</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kmclaren@kempercpa.com</v>
      </c>
      <c r="J13" s="2553"/>
      <c r="K13" s="2553"/>
      <c r="L13" s="2554"/>
    </row>
    <row r="14" spans="1:29" ht="13.5" customHeight="1" x14ac:dyDescent="0.2">
      <c r="A14" s="2531" t="str">
        <f>COVER!A19</f>
        <v>Route 4 Box 243</v>
      </c>
      <c r="B14" s="2544"/>
      <c r="C14" s="2544"/>
      <c r="D14" s="2544"/>
      <c r="E14" s="2544"/>
      <c r="F14" s="2545"/>
      <c r="G14" s="974" t="s">
        <v>1175</v>
      </c>
      <c r="H14" s="972"/>
      <c r="I14" s="972"/>
      <c r="J14" s="972"/>
      <c r="K14" s="972"/>
      <c r="L14" s="973"/>
    </row>
    <row r="15" spans="1:29" ht="13.5" customHeight="1" x14ac:dyDescent="0.2">
      <c r="A15" s="2531" t="str">
        <f>COVER!A21</f>
        <v>Fairfield</v>
      </c>
      <c r="B15" s="2544"/>
      <c r="C15" s="2544"/>
      <c r="D15" s="2544"/>
      <c r="E15" s="2544"/>
      <c r="F15" s="2545"/>
      <c r="G15" s="2541" t="str">
        <f>COVER!T15</f>
        <v>Krista McLaren</v>
      </c>
      <c r="H15" s="2542"/>
      <c r="I15" s="2542"/>
      <c r="J15" s="2542"/>
      <c r="K15" s="2542"/>
      <c r="L15" s="2543"/>
    </row>
    <row r="16" spans="1:29" ht="12.2" customHeight="1" x14ac:dyDescent="0.2">
      <c r="A16" s="2521">
        <f>COVER!A25</f>
        <v>62837</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618-395-2105</v>
      </c>
      <c r="H18" s="2519"/>
      <c r="I18" s="2519"/>
      <c r="J18" s="2519"/>
      <c r="K18" s="2518" t="str">
        <f>COVER!X21</f>
        <v>618-395-7079</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New Hope CCSD 6</v>
      </c>
      <c r="B1" s="2561"/>
      <c r="C1" s="2561"/>
      <c r="D1" s="2561"/>
    </row>
    <row r="2" spans="1:11" s="991" customFormat="1" ht="12.75" x14ac:dyDescent="0.2">
      <c r="A2" s="2562">
        <f>'Single Audit Cover'!E7</f>
        <v>20096006004</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New Hope CCSD 6</v>
      </c>
      <c r="B1" s="2565"/>
      <c r="C1" s="2565"/>
      <c r="D1" s="2565"/>
      <c r="E1" s="2565"/>
    </row>
    <row r="2" spans="1:5" x14ac:dyDescent="0.2">
      <c r="A2" s="2566">
        <f>'Single Audit Cover'!E7</f>
        <v>20096006004</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112291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8833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-4885</v>
      </c>
    </row>
    <row r="19" spans="1:4" ht="13.5" thickBot="1" x14ac:dyDescent="0.25">
      <c r="A19" s="1041" t="s">
        <v>1224</v>
      </c>
      <c r="D19" s="1042">
        <f>SUM(D10:D17)</f>
        <v>116239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116239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116239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New Hope CCSD 6</v>
      </c>
      <c r="C1" s="2569"/>
      <c r="D1" s="2569"/>
      <c r="E1" s="2569"/>
      <c r="F1" s="2569"/>
      <c r="G1" s="2569"/>
      <c r="H1" s="2569"/>
      <c r="I1" s="2569"/>
      <c r="J1" s="2569"/>
      <c r="K1" s="2569"/>
      <c r="L1" s="2569"/>
      <c r="M1" s="2569"/>
    </row>
    <row r="2" spans="2:14" ht="15" x14ac:dyDescent="0.2">
      <c r="B2" s="2570">
        <f>'Single Audit Cover'!E7</f>
        <v>20096006004</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New Hope CCSD 6</v>
      </c>
      <c r="B1" s="2574"/>
      <c r="C1" s="2574"/>
      <c r="D1" s="2574"/>
      <c r="E1" s="2574"/>
      <c r="F1" s="2574"/>
    </row>
    <row r="2" spans="1:7" ht="13.5" customHeight="1" x14ac:dyDescent="0.2">
      <c r="A2" s="2570">
        <f>'Single Audit Cover'!E7</f>
        <v>20096006004</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1706</v>
      </c>
      <c r="B7" s="2573"/>
      <c r="C7" s="2573"/>
      <c r="D7" s="2573"/>
      <c r="E7" s="2573"/>
      <c r="F7" s="257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1708</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1709</v>
      </c>
      <c r="B32" s="2581"/>
      <c r="C32" s="2581"/>
      <c r="D32" s="2581"/>
      <c r="E32" s="2581"/>
      <c r="F32" s="258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2">
        <f>+C33+C34</f>
        <v>0</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2051</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2113</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2055</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election activeCell="E50" sqref="E5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New Hope CCSD 6</v>
      </c>
      <c r="C1" s="2590"/>
      <c r="D1" s="2590"/>
      <c r="E1" s="2590"/>
      <c r="F1" s="2590"/>
      <c r="G1" s="2590"/>
      <c r="H1" s="2590"/>
      <c r="I1" s="2590"/>
      <c r="J1" s="1178"/>
    </row>
    <row r="2" spans="2:10" s="295" customFormat="1" ht="12.75" customHeight="1" x14ac:dyDescent="0.2">
      <c r="B2" s="2591">
        <f>'Single Audit Cover'!E7</f>
        <v>20096006004</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t="s">
        <v>1154</v>
      </c>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2051</v>
      </c>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2051</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2051</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2051</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t="s">
        <v>2088</v>
      </c>
      <c r="E29" s="2596"/>
      <c r="F29" s="2596"/>
      <c r="G29" s="2596"/>
      <c r="H29" s="2596"/>
      <c r="I29" s="259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2051</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7" t="s">
        <v>1728</v>
      </c>
      <c r="D37" s="2598"/>
      <c r="E37" s="2598"/>
      <c r="F37" s="2599"/>
      <c r="G37" s="2597" t="s">
        <v>1575</v>
      </c>
      <c r="H37" s="2598"/>
      <c r="I37" s="2599"/>
    </row>
    <row r="38" spans="2:9" ht="16.5" customHeight="1" x14ac:dyDescent="0.2">
      <c r="B38" s="1200"/>
      <c r="C38" s="2585"/>
      <c r="D38" s="2586"/>
      <c r="E38" s="2586"/>
      <c r="F38" s="2587"/>
      <c r="G38" s="2600"/>
      <c r="H38" s="2601"/>
      <c r="I38" s="2602"/>
    </row>
    <row r="39" spans="2:9" ht="16.5" customHeight="1" x14ac:dyDescent="0.2">
      <c r="B39" s="1200" t="s">
        <v>2088</v>
      </c>
      <c r="C39" s="2585"/>
      <c r="D39" s="2586"/>
      <c r="E39" s="2586"/>
      <c r="F39" s="2587"/>
      <c r="G39" s="2588"/>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0</v>
      </c>
      <c r="H43" s="2606"/>
      <c r="I43" s="2606"/>
    </row>
    <row r="44" spans="2:9" ht="12.75" customHeight="1" x14ac:dyDescent="0.2"/>
    <row r="45" spans="2:9" ht="12.75" customHeight="1" x14ac:dyDescent="0.2">
      <c r="B45" s="1917" t="str">
        <f>"Total Federal Expenditures for 7/1/"&amp;MID('AFR20'!E2,3,2)-1&amp;"-6/30/"&amp;MID('AFR20'!E2,3,2)</f>
        <v>Total Federal Expenditures for 7/1/19-6/30/20</v>
      </c>
      <c r="C45" s="1918"/>
      <c r="D45" s="2607">
        <v>128004</v>
      </c>
      <c r="E45" s="2608"/>
    </row>
    <row r="46" spans="2:9" ht="5.25" customHeight="1" x14ac:dyDescent="0.2">
      <c r="B46" s="1201"/>
      <c r="D46" s="1202"/>
      <c r="E46" s="1203"/>
    </row>
    <row r="47" spans="2:9" ht="12.75" customHeight="1" x14ac:dyDescent="0.2">
      <c r="B47" s="1076" t="s">
        <v>1577</v>
      </c>
      <c r="C47" s="1076"/>
      <c r="D47" s="1204">
        <f>+G43/D45</f>
        <v>0</v>
      </c>
      <c r="E47" s="1205"/>
      <c r="F47" s="1206"/>
      <c r="I47" s="1207"/>
    </row>
    <row r="48" spans="2:9" ht="9.9499999999999993" customHeight="1" x14ac:dyDescent="0.2"/>
    <row r="49" spans="1:9" x14ac:dyDescent="0.2">
      <c r="B49" s="1138" t="s">
        <v>1262</v>
      </c>
      <c r="C49" s="1058"/>
      <c r="D49" s="1058"/>
      <c r="E49" s="2609" t="s">
        <v>2088</v>
      </c>
      <c r="F49" s="2609"/>
      <c r="G49" s="260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New Hope CCSD 6</v>
      </c>
      <c r="C1" s="2589"/>
      <c r="D1" s="2589"/>
      <c r="E1" s="2589"/>
      <c r="F1" s="2589"/>
      <c r="G1" s="2589"/>
      <c r="H1" s="2589"/>
      <c r="I1" s="2589"/>
      <c r="J1" s="2589"/>
      <c r="K1" s="2589"/>
      <c r="L1" s="1144"/>
      <c r="M1" s="1144"/>
    </row>
    <row r="2" spans="1:13" ht="12" customHeight="1" x14ac:dyDescent="0.2">
      <c r="B2" s="2591">
        <f>'Single Audit Cover'!E7</f>
        <v>20096006004</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2089</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2090</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t="s">
        <v>2091</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2092</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2093</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2094</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t="s">
        <v>2095</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22"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New Hope CCSD 6</v>
      </c>
      <c r="C1" s="2589"/>
      <c r="D1" s="2589"/>
      <c r="E1" s="2589"/>
      <c r="F1" s="2589"/>
      <c r="G1" s="2589"/>
      <c r="H1" s="2589"/>
      <c r="I1" s="2589"/>
      <c r="J1" s="2589"/>
      <c r="K1" s="2589"/>
      <c r="L1" s="1144"/>
      <c r="M1" s="1144"/>
    </row>
    <row r="2" spans="1:13" ht="12" customHeight="1" x14ac:dyDescent="0.2">
      <c r="B2" s="2591">
        <f>'Single Audit Cover'!E7</f>
        <v>20096006004</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2035"/>
      <c r="M3" s="2035"/>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2096</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2097</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t="s">
        <v>2098</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2099</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2100</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2101</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t="s">
        <v>2102</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L48"/>
  <sheetViews>
    <sheetView showGridLines="0" zoomScale="110" zoomScaleNormal="110" workbookViewId="0">
      <selection activeCell="T18" sqref="T1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New Hope CCSD 6</v>
      </c>
      <c r="C1" s="2616"/>
      <c r="D1" s="2616"/>
      <c r="E1" s="2616"/>
      <c r="F1" s="2616"/>
      <c r="G1" s="2616"/>
      <c r="H1" s="2616"/>
      <c r="I1" s="2616"/>
      <c r="J1" s="2616"/>
      <c r="K1" s="2616"/>
      <c r="L1" s="1221"/>
    </row>
    <row r="2" spans="1:12" ht="12.75" customHeight="1" x14ac:dyDescent="0.2">
      <c r="B2" s="2617">
        <f>'Single Audit Cover'!E7</f>
        <v>20096006004</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New Hope CCSD 6</v>
      </c>
      <c r="C1" s="2589"/>
      <c r="D1" s="2589"/>
      <c r="E1" s="1240"/>
    </row>
    <row r="2" spans="2:5" s="1058" customFormat="1" ht="12.75" customHeight="1" x14ac:dyDescent="0.2">
      <c r="B2" s="2591">
        <f>'Single Audit Cover'!E7</f>
        <v>20096006004</v>
      </c>
      <c r="C2" s="2591"/>
      <c r="D2" s="2591"/>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2103</v>
      </c>
      <c r="C7" s="302" t="s">
        <v>2104</v>
      </c>
      <c r="D7" s="302" t="s">
        <v>2107</v>
      </c>
      <c r="E7" s="302"/>
    </row>
    <row r="8" spans="2:5" ht="13.5" customHeight="1" x14ac:dyDescent="0.2">
      <c r="B8" s="1245"/>
      <c r="C8" s="302" t="s">
        <v>2105</v>
      </c>
      <c r="D8" s="302"/>
      <c r="E8" s="302"/>
    </row>
    <row r="9" spans="2:5" ht="13.5" customHeight="1" x14ac:dyDescent="0.2">
      <c r="B9" s="1246"/>
      <c r="C9" s="301" t="s">
        <v>2112</v>
      </c>
      <c r="D9" s="301"/>
      <c r="E9" s="301"/>
    </row>
    <row r="10" spans="2:5" ht="13.5" customHeight="1" x14ac:dyDescent="0.2">
      <c r="B10" s="1245"/>
      <c r="C10" s="301" t="s">
        <v>2106</v>
      </c>
      <c r="D10" s="301"/>
      <c r="E10" s="301"/>
    </row>
    <row r="11" spans="2:5" ht="13.5" customHeight="1" x14ac:dyDescent="0.2">
      <c r="B11" s="1245" t="s">
        <v>2108</v>
      </c>
      <c r="C11" s="301" t="s">
        <v>2109</v>
      </c>
      <c r="D11" s="301" t="s">
        <v>2111</v>
      </c>
      <c r="E11" s="301"/>
    </row>
    <row r="12" spans="2:5" ht="13.5" customHeight="1" x14ac:dyDescent="0.2">
      <c r="B12" s="1245"/>
      <c r="C12" s="301" t="s">
        <v>2110</v>
      </c>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P32" sqref="P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23185011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1562437</v>
      </c>
      <c r="E16" s="1547"/>
      <c r="F16" s="1546">
        <f>SUM('Acct Summary 7-8'!C17,'Acct Summary 7-8'!D17,'Acct Summary 7-8'!F17)</f>
        <v>1418165</v>
      </c>
      <c r="G16" s="1547"/>
      <c r="H16" s="1546">
        <f>SUM(D16-F16)</f>
        <v>144272</v>
      </c>
      <c r="I16" s="1548"/>
      <c r="J16" s="1546">
        <f>SUM('Acct Summary 7-8'!C81,'Acct Summary 7-8'!D81,'Acct Summary 7-8'!F81,'Acct Summary 7-8'!I81)</f>
        <v>1340735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1599765.7590000001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461344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H33" sqref="H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New Hope CCSD 6</v>
      </c>
      <c r="E7" s="368"/>
      <c r="G7" s="247"/>
      <c r="H7" s="364"/>
      <c r="I7" s="364"/>
      <c r="J7" s="364"/>
      <c r="K7" s="364"/>
      <c r="L7" s="307"/>
      <c r="M7" s="307"/>
      <c r="N7" s="307"/>
      <c r="O7" s="307"/>
      <c r="P7" s="307"/>
    </row>
    <row r="8" spans="1:18" ht="12.75" x14ac:dyDescent="0.2">
      <c r="A8" s="307"/>
      <c r="B8" s="307"/>
      <c r="C8" s="366" t="s">
        <v>1115</v>
      </c>
      <c r="D8" s="369">
        <f>COVER!A13</f>
        <v>20096006004</v>
      </c>
      <c r="E8" s="370"/>
      <c r="G8" s="307"/>
      <c r="H8" s="307"/>
      <c r="I8" s="307"/>
      <c r="J8" s="307"/>
      <c r="K8" s="307"/>
      <c r="L8" s="307"/>
      <c r="M8" s="307"/>
      <c r="N8" s="307"/>
      <c r="O8" s="307"/>
      <c r="P8" s="307"/>
    </row>
    <row r="9" spans="1:18" ht="12.75" x14ac:dyDescent="0.2">
      <c r="A9" s="307"/>
      <c r="B9" s="307"/>
      <c r="C9" s="366" t="s">
        <v>708</v>
      </c>
      <c r="D9" s="371" t="str">
        <f>COVER!A15</f>
        <v>Wayne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1340735</v>
      </c>
      <c r="I12" s="380"/>
      <c r="J12" s="380"/>
      <c r="K12" s="1559">
        <f>TRUNC((H12/H13*100000),5)/100000</f>
        <v>0.85810499870000001</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1562437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1418165</v>
      </c>
      <c r="I17" s="380"/>
      <c r="J17" s="389"/>
      <c r="K17" s="1559">
        <f>TRUNC((H17/H18*100000),5)/100000</f>
        <v>0.90766219689999994</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1562437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1340735</v>
      </c>
      <c r="I24" s="394"/>
      <c r="J24" s="394"/>
      <c r="K24" s="1555">
        <f>TRUNC(((H24/H25*100000)/100000),2)</f>
        <v>340.34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3939.3472200000001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254223.64562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461344</v>
      </c>
      <c r="I32" s="392"/>
      <c r="J32" s="392"/>
      <c r="K32" s="1555">
        <f>TRUNC(100-((((H32/H33*100))*100)/100),2)</f>
        <v>71.16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1599765.7590000001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pane="bottomLeft" activeCell="K5" sqref="K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671358</v>
      </c>
      <c r="D4" s="1573">
        <v>226419</v>
      </c>
      <c r="E4" s="1573">
        <v>63583</v>
      </c>
      <c r="F4" s="1573">
        <v>112743</v>
      </c>
      <c r="G4" s="1573">
        <v>207560</v>
      </c>
      <c r="H4" s="1573">
        <v>2131</v>
      </c>
      <c r="I4" s="1573"/>
      <c r="J4" s="1574">
        <v>60284</v>
      </c>
      <c r="K4" s="1573">
        <v>366433</v>
      </c>
      <c r="L4" s="1573">
        <v>13944</v>
      </c>
      <c r="M4" s="1575"/>
      <c r="N4" s="1576"/>
    </row>
    <row r="5" spans="1:14" x14ac:dyDescent="0.2">
      <c r="A5" s="427" t="s">
        <v>985</v>
      </c>
      <c r="B5" s="429">
        <v>120</v>
      </c>
      <c r="C5" s="1572">
        <v>330215</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1001573</v>
      </c>
      <c r="D13" s="1587">
        <f t="shared" ref="D13:L13" si="0">SUM(D4:D12)</f>
        <v>226419</v>
      </c>
      <c r="E13" s="1587">
        <f t="shared" si="0"/>
        <v>63583</v>
      </c>
      <c r="F13" s="1587">
        <f t="shared" si="0"/>
        <v>112743</v>
      </c>
      <c r="G13" s="1587">
        <f t="shared" si="0"/>
        <v>207560</v>
      </c>
      <c r="H13" s="1587">
        <f t="shared" si="0"/>
        <v>2131</v>
      </c>
      <c r="I13" s="1587">
        <f t="shared" si="0"/>
        <v>0</v>
      </c>
      <c r="J13" s="1587">
        <f t="shared" si="0"/>
        <v>60284</v>
      </c>
      <c r="K13" s="1587">
        <f t="shared" si="0"/>
        <v>366433</v>
      </c>
      <c r="L13" s="1587">
        <f t="shared" si="0"/>
        <v>13944</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15515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4136679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213517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398407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187580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f>E4</f>
        <v>63583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397761</v>
      </c>
    </row>
    <row r="23" spans="1:14" ht="13.5" customHeight="1" thickBot="1" x14ac:dyDescent="0.25">
      <c r="A23" s="1426" t="s">
        <v>638</v>
      </c>
      <c r="B23" s="1429"/>
      <c r="C23" s="1575"/>
      <c r="D23" s="1575"/>
      <c r="E23" s="1575"/>
      <c r="F23" s="1575"/>
      <c r="G23" s="1575"/>
      <c r="H23" s="1575"/>
      <c r="I23" s="1575"/>
      <c r="J23" s="1575"/>
      <c r="K23" s="1575"/>
      <c r="L23" s="1575"/>
      <c r="M23" s="1594">
        <f>SUM(M15:M22)</f>
        <v>4951698</v>
      </c>
      <c r="N23" s="1594">
        <f>SUM(N21:N22)</f>
        <v>461344</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13944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13944</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461344</v>
      </c>
    </row>
    <row r="37" spans="1:14" ht="13.5" thickBot="1" x14ac:dyDescent="0.25">
      <c r="A37" s="1426" t="s">
        <v>648</v>
      </c>
      <c r="B37" s="1429"/>
      <c r="C37" s="1582"/>
      <c r="D37" s="1582"/>
      <c r="E37" s="1582"/>
      <c r="F37" s="1582"/>
      <c r="G37" s="1582"/>
      <c r="H37" s="1582"/>
      <c r="I37" s="1582"/>
      <c r="J37" s="1582"/>
      <c r="K37" s="1582"/>
      <c r="L37" s="1585"/>
      <c r="M37" s="1575"/>
      <c r="N37" s="1594">
        <f>SUM(N36:N36)</f>
        <v>461344</v>
      </c>
    </row>
    <row r="38" spans="1:14" s="307" customFormat="1" ht="13.5" customHeight="1" thickTop="1" x14ac:dyDescent="0.2">
      <c r="A38" s="438" t="s">
        <v>417</v>
      </c>
      <c r="B38" s="432">
        <v>714</v>
      </c>
      <c r="C38" s="1573">
        <v>953</v>
      </c>
      <c r="D38" s="1573">
        <v>7500</v>
      </c>
      <c r="E38" s="1573"/>
      <c r="F38" s="1573"/>
      <c r="G38" s="1573">
        <v>64558</v>
      </c>
      <c r="H38" s="1573"/>
      <c r="I38" s="1573"/>
      <c r="J38" s="1574"/>
      <c r="K38" s="1573"/>
      <c r="L38" s="1586"/>
      <c r="M38" s="1604"/>
      <c r="N38" s="1604"/>
    </row>
    <row r="39" spans="1:14" s="307" customFormat="1" ht="13.5" customHeight="1" x14ac:dyDescent="0.2">
      <c r="A39" s="438" t="s">
        <v>339</v>
      </c>
      <c r="B39" s="432">
        <v>730</v>
      </c>
      <c r="C39" s="1573">
        <v>1000620</v>
      </c>
      <c r="D39" s="1573">
        <v>218919</v>
      </c>
      <c r="E39" s="1573">
        <v>63583</v>
      </c>
      <c r="F39" s="1573">
        <v>112743</v>
      </c>
      <c r="G39" s="1573">
        <v>143002</v>
      </c>
      <c r="H39" s="1573">
        <v>2131</v>
      </c>
      <c r="I39" s="1573"/>
      <c r="J39" s="1574">
        <v>60284</v>
      </c>
      <c r="K39" s="1573">
        <v>366433</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4951698</v>
      </c>
      <c r="N40" s="1604"/>
    </row>
    <row r="41" spans="1:14" ht="13.5" customHeight="1" thickBot="1" x14ac:dyDescent="0.25">
      <c r="A41" s="1426" t="s">
        <v>650</v>
      </c>
      <c r="B41" s="1405"/>
      <c r="C41" s="1594">
        <f>(SUM(C34,C37,C38,C39))</f>
        <v>1001573</v>
      </c>
      <c r="D41" s="1594">
        <f t="shared" ref="D41:L41" si="2">SUM(D34,D37,D38:D39)</f>
        <v>226419</v>
      </c>
      <c r="E41" s="1594">
        <f t="shared" si="2"/>
        <v>63583</v>
      </c>
      <c r="F41" s="1594">
        <f t="shared" si="2"/>
        <v>112743</v>
      </c>
      <c r="G41" s="1594">
        <f t="shared" si="2"/>
        <v>207560</v>
      </c>
      <c r="H41" s="1594">
        <f t="shared" si="2"/>
        <v>2131</v>
      </c>
      <c r="I41" s="1594">
        <f t="shared" si="2"/>
        <v>0</v>
      </c>
      <c r="J41" s="1594">
        <f t="shared" si="2"/>
        <v>60284</v>
      </c>
      <c r="K41" s="1594">
        <f t="shared" si="2"/>
        <v>366433</v>
      </c>
      <c r="L41" s="1594">
        <f t="shared" si="2"/>
        <v>13944</v>
      </c>
      <c r="M41" s="1594">
        <f>SUM(M40)</f>
        <v>4951698</v>
      </c>
      <c r="N41" s="1594">
        <f>SUM(N37)</f>
        <v>461344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6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339799</v>
      </c>
      <c r="D4" s="1606">
        <f>'Revenues 9-14'!D109</f>
        <v>55469</v>
      </c>
      <c r="E4" s="1606">
        <f>'Revenues 9-14'!E109</f>
        <v>61203</v>
      </c>
      <c r="F4" s="1606">
        <f>'Revenues 9-14'!F109</f>
        <v>26061</v>
      </c>
      <c r="G4" s="1606">
        <f>'Revenues 9-14'!G109</f>
        <v>13036</v>
      </c>
      <c r="H4" s="1606">
        <f>'Revenues 9-14'!H109</f>
        <v>16394</v>
      </c>
      <c r="I4" s="1606">
        <f>'Revenues 9-14'!I109</f>
        <v>10797</v>
      </c>
      <c r="J4" s="1606">
        <f>'Revenues 9-14'!J109</f>
        <v>128703</v>
      </c>
      <c r="K4" s="1606">
        <f>'Revenues 9-14'!K109</f>
        <v>12136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855743</v>
      </c>
      <c r="D6" s="1607">
        <f>'Revenues 9-14'!D170</f>
        <v>80000</v>
      </c>
      <c r="E6" s="1607">
        <f>'Revenues 9-14'!E170</f>
        <v>0</v>
      </c>
      <c r="F6" s="1607">
        <f>'Revenues 9-14'!F170</f>
        <v>82277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112291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1307833</v>
      </c>
      <c r="D8" s="1594">
        <f t="shared" ref="D8:K8" si="0">SUM(D4:D7)</f>
        <v>135469</v>
      </c>
      <c r="E8" s="1594">
        <f t="shared" si="0"/>
        <v>61203</v>
      </c>
      <c r="F8" s="1594">
        <f t="shared" si="0"/>
        <v>108338</v>
      </c>
      <c r="G8" s="1594">
        <f t="shared" si="0"/>
        <v>13036</v>
      </c>
      <c r="H8" s="1594">
        <f t="shared" si="0"/>
        <v>16394</v>
      </c>
      <c r="I8" s="1594">
        <f t="shared" si="0"/>
        <v>10797</v>
      </c>
      <c r="J8" s="1594">
        <f t="shared" si="0"/>
        <v>128703</v>
      </c>
      <c r="K8" s="1594">
        <f t="shared" si="0"/>
        <v>12136</v>
      </c>
      <c r="L8" s="325"/>
    </row>
    <row r="9" spans="1:13" ht="15.75" thickTop="1" x14ac:dyDescent="0.2">
      <c r="A9" s="449" t="s">
        <v>1634</v>
      </c>
      <c r="B9" s="450">
        <v>3998</v>
      </c>
      <c r="C9" s="1586">
        <v>668200</v>
      </c>
      <c r="D9" s="1613"/>
      <c r="E9" s="1586"/>
      <c r="F9" s="1586"/>
      <c r="G9" s="1614"/>
      <c r="H9" s="1586"/>
      <c r="I9" s="1609" t="s">
        <v>1159</v>
      </c>
      <c r="J9" s="1583"/>
      <c r="K9" s="1586"/>
      <c r="L9" s="325"/>
    </row>
    <row r="10" spans="1:13" s="452" customFormat="1" ht="13.5" thickBot="1" x14ac:dyDescent="0.25">
      <c r="A10" s="1426" t="s">
        <v>1163</v>
      </c>
      <c r="B10" s="1407"/>
      <c r="C10" s="1594">
        <f>SUM(C8:C9)</f>
        <v>1976033</v>
      </c>
      <c r="D10" s="1594">
        <f t="shared" ref="D10:K10" si="1">SUM(D8:D9)</f>
        <v>135469</v>
      </c>
      <c r="E10" s="1594">
        <f t="shared" si="1"/>
        <v>61203</v>
      </c>
      <c r="F10" s="1594">
        <f t="shared" si="1"/>
        <v>108338</v>
      </c>
      <c r="G10" s="1594">
        <f t="shared" si="1"/>
        <v>13036</v>
      </c>
      <c r="H10" s="1594">
        <f t="shared" si="1"/>
        <v>16394</v>
      </c>
      <c r="I10" s="1594">
        <f t="shared" si="1"/>
        <v>10797</v>
      </c>
      <c r="J10" s="1594">
        <f t="shared" si="1"/>
        <v>128703</v>
      </c>
      <c r="K10" s="1594">
        <f t="shared" si="1"/>
        <v>12136</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853152</v>
      </c>
      <c r="D12" s="1616" t="s">
        <v>1159</v>
      </c>
      <c r="E12" s="1575" t="s">
        <v>1159</v>
      </c>
      <c r="F12" s="1575" t="s">
        <v>1159</v>
      </c>
      <c r="G12" s="1606">
        <f>'Expenditures 15-22'!K229</f>
        <v>19309</v>
      </c>
      <c r="H12" s="1617"/>
      <c r="I12" s="1575" t="s">
        <v>1159</v>
      </c>
      <c r="J12" s="1575" t="s">
        <v>1159</v>
      </c>
      <c r="K12" s="1617" t="s">
        <v>1159</v>
      </c>
      <c r="L12" s="325"/>
    </row>
    <row r="13" spans="1:13" ht="15.75" customHeight="1" x14ac:dyDescent="0.2">
      <c r="A13" s="1314" t="s">
        <v>454</v>
      </c>
      <c r="B13" s="1316">
        <v>2000</v>
      </c>
      <c r="C13" s="1607">
        <f>'Expenditures 15-22'!K74</f>
        <v>362814</v>
      </c>
      <c r="D13" s="1607">
        <f>'Expenditures 15-22'!K129</f>
        <v>68965</v>
      </c>
      <c r="E13" s="1576" t="s">
        <v>1159</v>
      </c>
      <c r="F13" s="1607">
        <f>'Expenditures 15-22'!K184</f>
        <v>59359</v>
      </c>
      <c r="G13" s="1607">
        <f>'Expenditures 15-22'!K279</f>
        <v>28336</v>
      </c>
      <c r="H13" s="1607">
        <f>'Expenditures 15-22'!K303</f>
        <v>39173</v>
      </c>
      <c r="I13" s="1575" t="s">
        <v>1159</v>
      </c>
      <c r="J13" s="1607">
        <f>'Expenditures 15-22'!K330</f>
        <v>135560</v>
      </c>
      <c r="K13" s="1618">
        <f>'Expenditures 15-22'!K352</f>
        <v>124671</v>
      </c>
      <c r="L13" s="325"/>
    </row>
    <row r="14" spans="1:13" ht="15.75" customHeight="1" x14ac:dyDescent="0.2">
      <c r="A14" s="1314" t="s">
        <v>446</v>
      </c>
      <c r="B14" s="1316">
        <v>3000</v>
      </c>
      <c r="C14" s="1607">
        <f>'Expenditures 15-22'!K75</f>
        <v>486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33993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60062</v>
      </c>
      <c r="F16" s="1607">
        <f>'Expenditures 15-22'!K208</f>
        <v>39396</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1250445</v>
      </c>
      <c r="D17" s="1594">
        <f t="shared" si="2"/>
        <v>68965</v>
      </c>
      <c r="E17" s="1594">
        <f t="shared" si="2"/>
        <v>60062</v>
      </c>
      <c r="F17" s="1594">
        <f t="shared" si="2"/>
        <v>98755</v>
      </c>
      <c r="G17" s="1594">
        <f t="shared" si="2"/>
        <v>47645</v>
      </c>
      <c r="H17" s="1594">
        <f t="shared" si="2"/>
        <v>39173</v>
      </c>
      <c r="I17" s="1575"/>
      <c r="J17" s="1594">
        <f>SUM(J12:J16)</f>
        <v>135560</v>
      </c>
      <c r="K17" s="1594">
        <f>SUM(K12:K16)</f>
        <v>124671</v>
      </c>
      <c r="L17" s="325"/>
    </row>
    <row r="18" spans="1:12" ht="15" customHeight="1" thickTop="1" x14ac:dyDescent="0.2">
      <c r="A18" s="1430" t="s">
        <v>1635</v>
      </c>
      <c r="B18" s="1431">
        <v>4180</v>
      </c>
      <c r="C18" s="1606">
        <f t="shared" ref="C18:H18" si="3">C9</f>
        <v>668200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1918645</v>
      </c>
      <c r="D19" s="1594">
        <f t="shared" si="4"/>
        <v>68965</v>
      </c>
      <c r="E19" s="1594">
        <f t="shared" si="4"/>
        <v>60062</v>
      </c>
      <c r="F19" s="1594">
        <f t="shared" si="4"/>
        <v>98755</v>
      </c>
      <c r="G19" s="1594">
        <f t="shared" si="4"/>
        <v>47645</v>
      </c>
      <c r="H19" s="1594">
        <f t="shared" si="4"/>
        <v>39173</v>
      </c>
      <c r="I19" s="1575"/>
      <c r="J19" s="1594">
        <f>SUM(J17:J18)</f>
        <v>135560</v>
      </c>
      <c r="K19" s="1594">
        <f>SUM(K17:K18)</f>
        <v>124671</v>
      </c>
      <c r="L19" s="325"/>
    </row>
    <row r="20" spans="1:12" ht="16.5" thickTop="1" thickBot="1" x14ac:dyDescent="0.25">
      <c r="A20" s="2233" t="s">
        <v>1636</v>
      </c>
      <c r="B20" s="2234"/>
      <c r="C20" s="1622">
        <f>C8-C17</f>
        <v>57388</v>
      </c>
      <c r="D20" s="1622">
        <f t="shared" ref="D20:K20" si="5">D8-D17</f>
        <v>66504</v>
      </c>
      <c r="E20" s="1622">
        <f t="shared" si="5"/>
        <v>1141</v>
      </c>
      <c r="F20" s="1622">
        <f t="shared" si="5"/>
        <v>9583</v>
      </c>
      <c r="G20" s="1622">
        <f t="shared" si="5"/>
        <v>-34609</v>
      </c>
      <c r="H20" s="1622">
        <f t="shared" si="5"/>
        <v>-22779</v>
      </c>
      <c r="I20" s="1622">
        <f t="shared" si="5"/>
        <v>10797</v>
      </c>
      <c r="J20" s="1622">
        <f t="shared" si="5"/>
        <v>-6857</v>
      </c>
      <c r="K20" s="1622">
        <f t="shared" si="5"/>
        <v>-112535</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v>10797</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10797</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10797</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10797</v>
      </c>
      <c r="J76" s="1624">
        <f t="shared" si="7"/>
        <v>0</v>
      </c>
      <c r="K76" s="1624">
        <f t="shared" si="7"/>
        <v>0</v>
      </c>
      <c r="L76" s="453"/>
    </row>
    <row r="77" spans="1:12" ht="14.25" thickTop="1" thickBot="1" x14ac:dyDescent="0.25">
      <c r="A77" s="2225" t="s">
        <v>1167</v>
      </c>
      <c r="B77" s="2226"/>
      <c r="C77" s="1624">
        <f t="shared" ref="C77:K77" si="8">C44-C76</f>
        <v>10797</v>
      </c>
      <c r="D77" s="1624">
        <f t="shared" si="8"/>
        <v>0</v>
      </c>
      <c r="E77" s="1624">
        <f t="shared" si="8"/>
        <v>0</v>
      </c>
      <c r="F77" s="1624">
        <f t="shared" si="8"/>
        <v>0</v>
      </c>
      <c r="G77" s="1624">
        <f t="shared" si="8"/>
        <v>0</v>
      </c>
      <c r="H77" s="1624">
        <f t="shared" si="8"/>
        <v>0</v>
      </c>
      <c r="I77" s="1624">
        <f t="shared" si="8"/>
        <v>-10797</v>
      </c>
      <c r="J77" s="1624">
        <f t="shared" si="8"/>
        <v>0</v>
      </c>
      <c r="K77" s="1624">
        <f t="shared" si="8"/>
        <v>0</v>
      </c>
      <c r="L77" s="325"/>
    </row>
    <row r="78" spans="1:12" ht="21.75" customHeight="1" thickTop="1" thickBot="1" x14ac:dyDescent="0.25">
      <c r="A78" s="2229" t="s">
        <v>593</v>
      </c>
      <c r="B78" s="2230"/>
      <c r="C78" s="1629">
        <f t="shared" ref="C78:K78" si="9">C20+C77</f>
        <v>68185</v>
      </c>
      <c r="D78" s="1629">
        <f t="shared" si="9"/>
        <v>66504</v>
      </c>
      <c r="E78" s="1629">
        <f t="shared" si="9"/>
        <v>1141</v>
      </c>
      <c r="F78" s="1629">
        <f t="shared" si="9"/>
        <v>9583</v>
      </c>
      <c r="G78" s="1629">
        <f t="shared" si="9"/>
        <v>-34609</v>
      </c>
      <c r="H78" s="1629">
        <f t="shared" si="9"/>
        <v>-22779</v>
      </c>
      <c r="I78" s="1629">
        <f t="shared" si="9"/>
        <v>0</v>
      </c>
      <c r="J78" s="1629">
        <f t="shared" si="9"/>
        <v>-6857</v>
      </c>
      <c r="K78" s="1629">
        <f t="shared" si="9"/>
        <v>-112535</v>
      </c>
      <c r="L78" s="457"/>
    </row>
    <row r="79" spans="1:12" ht="13.5" thickTop="1" x14ac:dyDescent="0.2">
      <c r="A79" s="1844" t="str">
        <f>"Fund Balances - July 1, "&amp;'AFR20'!E2-1</f>
        <v>Fund Balances - July 1, 2019</v>
      </c>
      <c r="B79" s="458"/>
      <c r="C79" s="1583">
        <v>933388</v>
      </c>
      <c r="D79" s="1630">
        <v>159915</v>
      </c>
      <c r="E79" s="1630">
        <v>62442</v>
      </c>
      <c r="F79" s="1630">
        <v>103160</v>
      </c>
      <c r="G79" s="1630">
        <v>242169</v>
      </c>
      <c r="H79" s="1630">
        <v>24910</v>
      </c>
      <c r="I79" s="1630"/>
      <c r="J79" s="1630">
        <v>67141</v>
      </c>
      <c r="K79" s="1630">
        <v>478968</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1001573</v>
      </c>
      <c r="D81" s="1594">
        <f>SUM(D78:D80)</f>
        <v>226419</v>
      </c>
      <c r="E81" s="1594">
        <f t="shared" ref="E81:K81" si="10">SUM(E78:E80)</f>
        <v>63583</v>
      </c>
      <c r="F81" s="1594">
        <f t="shared" si="10"/>
        <v>112743</v>
      </c>
      <c r="G81" s="1594">
        <f t="shared" si="10"/>
        <v>207560</v>
      </c>
      <c r="H81" s="1594">
        <f t="shared" si="10"/>
        <v>2131</v>
      </c>
      <c r="I81" s="1594">
        <f t="shared" si="10"/>
        <v>0</v>
      </c>
      <c r="J81" s="1594">
        <f t="shared" si="10"/>
        <v>60284</v>
      </c>
      <c r="K81" s="1594">
        <f t="shared" si="10"/>
        <v>366433</v>
      </c>
      <c r="L81" s="325"/>
    </row>
    <row r="82" spans="1:12" ht="0.75" customHeight="1" thickTop="1" thickBot="1" x14ac:dyDescent="0.25">
      <c r="A82" s="459" t="s">
        <v>340</v>
      </c>
      <c r="B82" s="460"/>
      <c r="C82" s="461">
        <f>(C81-C79)</f>
        <v>68185</v>
      </c>
      <c r="D82" s="461">
        <f t="shared" ref="D82:K82" si="11">(D81-D79)</f>
        <v>66504</v>
      </c>
      <c r="E82" s="461">
        <f t="shared" si="11"/>
        <v>1141</v>
      </c>
      <c r="F82" s="461">
        <f t="shared" si="11"/>
        <v>9583</v>
      </c>
      <c r="G82" s="461">
        <f t="shared" si="11"/>
        <v>-34609</v>
      </c>
      <c r="H82" s="461">
        <f t="shared" si="11"/>
        <v>-22779</v>
      </c>
      <c r="I82" s="461">
        <f t="shared" si="11"/>
        <v>0</v>
      </c>
      <c r="J82" s="461">
        <f t="shared" si="11"/>
        <v>-6857</v>
      </c>
      <c r="K82" s="461">
        <f t="shared" si="11"/>
        <v>-112535</v>
      </c>
    </row>
    <row r="83" spans="1:12" ht="14.25" hidden="1" thickTop="1" thickBot="1" x14ac:dyDescent="0.25">
      <c r="A83" s="462" t="s">
        <v>341</v>
      </c>
      <c r="B83" s="428"/>
      <c r="C83" s="463">
        <f>C82/C81</f>
        <v>6.8077913442155483E-2</v>
      </c>
      <c r="D83" s="463">
        <f t="shared" ref="D83:K83" si="12">D82/D81</f>
        <v>0.29372093331390031</v>
      </c>
      <c r="E83" s="463">
        <f t="shared" si="12"/>
        <v>1.7945048204708807E-2</v>
      </c>
      <c r="F83" s="463">
        <f t="shared" si="12"/>
        <v>8.4998625191807911E-2</v>
      </c>
      <c r="G83" s="463">
        <f t="shared" si="12"/>
        <v>-0.16674214684910388</v>
      </c>
      <c r="H83" s="463">
        <f t="shared" si="12"/>
        <v>-10.689347724073205</v>
      </c>
      <c r="I83" s="463" t="e">
        <f t="shared" si="12"/>
        <v>#DIV/0!</v>
      </c>
      <c r="J83" s="463">
        <f t="shared" si="12"/>
        <v>-0.11374494061442506</v>
      </c>
      <c r="K83" s="463">
        <f t="shared" si="12"/>
        <v>-0.30710934877590174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68" activePane="bottomLeft" state="frozen"/>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196833</v>
      </c>
      <c r="D5" s="1586">
        <v>53558</v>
      </c>
      <c r="E5" s="1573">
        <v>60593</v>
      </c>
      <c r="F5" s="1631">
        <v>25708</v>
      </c>
      <c r="G5" s="1573">
        <v>6059</v>
      </c>
      <c r="H5" s="1573"/>
      <c r="I5" s="1573">
        <v>10712</v>
      </c>
      <c r="J5" s="1574">
        <v>127654</v>
      </c>
      <c r="K5" s="1573">
        <v>10712</v>
      </c>
    </row>
    <row r="6" spans="1:12" ht="15" x14ac:dyDescent="0.2">
      <c r="A6" s="427" t="s">
        <v>1643</v>
      </c>
      <c r="B6" s="429">
        <v>1130</v>
      </c>
      <c r="C6" s="1573">
        <v>10712</v>
      </c>
      <c r="D6" s="1573"/>
      <c r="E6" s="1580"/>
      <c r="F6" s="1580"/>
      <c r="G6" s="1575"/>
      <c r="H6" s="1575"/>
      <c r="I6" s="1575"/>
      <c r="J6" s="1575"/>
      <c r="K6" s="1575"/>
    </row>
    <row r="7" spans="1:12" x14ac:dyDescent="0.2">
      <c r="A7" s="427" t="s">
        <v>110</v>
      </c>
      <c r="B7" s="471">
        <v>1140</v>
      </c>
      <c r="C7" s="1573">
        <v>4285</v>
      </c>
      <c r="D7" s="1573"/>
      <c r="E7" s="1575"/>
      <c r="F7" s="1574"/>
      <c r="G7" s="1574"/>
      <c r="H7" s="1574"/>
      <c r="I7" s="1575"/>
      <c r="J7" s="1575"/>
      <c r="K7" s="1575"/>
    </row>
    <row r="8" spans="1:12" x14ac:dyDescent="0.2">
      <c r="A8" s="427" t="s">
        <v>410</v>
      </c>
      <c r="B8" s="429">
        <v>1150</v>
      </c>
      <c r="C8" s="1580"/>
      <c r="D8" s="1580"/>
      <c r="E8" s="1582"/>
      <c r="F8" s="1582"/>
      <c r="G8" s="1586">
        <v>6059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211830</v>
      </c>
      <c r="D12" s="1633">
        <f t="shared" si="0"/>
        <v>53558</v>
      </c>
      <c r="E12" s="1633">
        <f t="shared" si="0"/>
        <v>60593</v>
      </c>
      <c r="F12" s="1633">
        <f t="shared" si="0"/>
        <v>25708</v>
      </c>
      <c r="G12" s="1633">
        <f t="shared" si="0"/>
        <v>12118</v>
      </c>
      <c r="H12" s="1633">
        <f t="shared" si="0"/>
        <v>0</v>
      </c>
      <c r="I12" s="1633">
        <f t="shared" si="0"/>
        <v>10712</v>
      </c>
      <c r="J12" s="1633">
        <f t="shared" si="0"/>
        <v>127654</v>
      </c>
      <c r="K12" s="1594">
        <f t="shared" si="0"/>
        <v>10712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1529</v>
      </c>
      <c r="D14" s="1573">
        <v>386</v>
      </c>
      <c r="E14" s="1573">
        <v>438</v>
      </c>
      <c r="F14" s="1573">
        <v>185</v>
      </c>
      <c r="G14" s="1573">
        <v>88</v>
      </c>
      <c r="H14" s="1573"/>
      <c r="I14" s="1573">
        <v>77</v>
      </c>
      <c r="J14" s="1574">
        <v>925</v>
      </c>
      <c r="K14" s="1573">
        <v>77</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16326</v>
      </c>
      <c r="D16" s="1573"/>
      <c r="E16" s="1573"/>
      <c r="F16" s="1573"/>
      <c r="G16" s="1573">
        <v>660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17855</v>
      </c>
      <c r="D18" s="1635">
        <f t="shared" ref="D18:K18" si="1">SUM(D14:D17)</f>
        <v>386</v>
      </c>
      <c r="E18" s="1635">
        <f t="shared" si="1"/>
        <v>438</v>
      </c>
      <c r="F18" s="1635">
        <f t="shared" si="1"/>
        <v>185</v>
      </c>
      <c r="G18" s="1635">
        <f t="shared" si="1"/>
        <v>748</v>
      </c>
      <c r="H18" s="1635">
        <f t="shared" si="1"/>
        <v>0</v>
      </c>
      <c r="I18" s="1635">
        <f t="shared" si="1"/>
        <v>77</v>
      </c>
      <c r="J18" s="1635">
        <f t="shared" si="1"/>
        <v>925</v>
      </c>
      <c r="K18" s="1636">
        <f t="shared" si="1"/>
        <v>77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7917</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7917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13372</v>
      </c>
      <c r="D65" s="1573">
        <v>142</v>
      </c>
      <c r="E65" s="1573">
        <v>172</v>
      </c>
      <c r="F65" s="1574">
        <v>68</v>
      </c>
      <c r="G65" s="1573">
        <v>170</v>
      </c>
      <c r="H65" s="1573">
        <v>21</v>
      </c>
      <c r="I65" s="1573">
        <v>8</v>
      </c>
      <c r="J65" s="1574">
        <v>124</v>
      </c>
      <c r="K65" s="1573">
        <v>1347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13372</v>
      </c>
      <c r="D67" s="1594">
        <f t="shared" ref="D67:K67" si="2">SUM(D65:D66)</f>
        <v>142</v>
      </c>
      <c r="E67" s="1594">
        <f t="shared" si="2"/>
        <v>172</v>
      </c>
      <c r="F67" s="1594">
        <f t="shared" si="2"/>
        <v>68</v>
      </c>
      <c r="G67" s="1594">
        <f t="shared" si="2"/>
        <v>170</v>
      </c>
      <c r="H67" s="1594">
        <f t="shared" si="2"/>
        <v>21</v>
      </c>
      <c r="I67" s="1594">
        <f t="shared" si="2"/>
        <v>8</v>
      </c>
      <c r="J67" s="1594">
        <f t="shared" si="2"/>
        <v>124</v>
      </c>
      <c r="K67" s="1594">
        <f t="shared" si="2"/>
        <v>1347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31051</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3135</v>
      </c>
      <c r="D73" s="1575"/>
      <c r="E73" s="1575"/>
      <c r="F73" s="1575"/>
      <c r="G73" s="1575"/>
      <c r="H73" s="1575"/>
      <c r="I73" s="1575"/>
      <c r="J73" s="1575"/>
      <c r="K73" s="1575"/>
    </row>
    <row r="74" spans="1:11" ht="12.75" customHeight="1" x14ac:dyDescent="0.2">
      <c r="A74" s="427" t="s">
        <v>25</v>
      </c>
      <c r="B74" s="429">
        <v>1690</v>
      </c>
      <c r="C74" s="1632">
        <v>49</v>
      </c>
      <c r="D74" s="1575"/>
      <c r="E74" s="1575"/>
      <c r="F74" s="1575"/>
      <c r="G74" s="1575"/>
      <c r="H74" s="1575"/>
      <c r="I74" s="1575"/>
      <c r="J74" s="1575"/>
      <c r="K74" s="1575"/>
    </row>
    <row r="75" spans="1:11" ht="12.75" customHeight="1" thickBot="1" x14ac:dyDescent="0.25">
      <c r="A75" s="1406" t="s">
        <v>544</v>
      </c>
      <c r="B75" s="1407"/>
      <c r="C75" s="1594">
        <f>SUM(C69:C74)</f>
        <v>34235</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12196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5086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17282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3220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32</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3252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400</v>
      </c>
      <c r="E95" s="1617"/>
      <c r="F95" s="1617"/>
      <c r="G95" s="1617"/>
      <c r="H95" s="1617"/>
      <c r="I95" s="1617"/>
      <c r="J95" s="1617"/>
      <c r="K95" s="1617"/>
    </row>
    <row r="96" spans="1:11" ht="12.75" customHeight="1" x14ac:dyDescent="0.2">
      <c r="A96" s="427" t="s">
        <v>388</v>
      </c>
      <c r="B96" s="429">
        <v>1920</v>
      </c>
      <c r="C96" s="1632">
        <v>4884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574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16373</v>
      </c>
      <c r="I103" s="1575"/>
      <c r="J103" s="1610"/>
      <c r="K103" s="1610"/>
    </row>
    <row r="104" spans="1:12" ht="12.75" customHeight="1" x14ac:dyDescent="0.2">
      <c r="A104" s="427" t="s">
        <v>825</v>
      </c>
      <c r="B104" s="429">
        <v>1991</v>
      </c>
      <c r="C104" s="1598">
        <v>28399</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199</v>
      </c>
      <c r="D107" s="1573">
        <v>983</v>
      </c>
      <c r="E107" s="1573"/>
      <c r="F107" s="1573">
        <v>100</v>
      </c>
      <c r="G107" s="1573"/>
      <c r="H107" s="1573"/>
      <c r="I107" s="1573"/>
      <c r="J107" s="1574"/>
      <c r="K107" s="1573"/>
    </row>
    <row r="108" spans="1:12" ht="12.75" customHeight="1" thickBot="1" x14ac:dyDescent="0.25">
      <c r="A108" s="1406" t="s">
        <v>484</v>
      </c>
      <c r="B108" s="1408"/>
      <c r="C108" s="1633">
        <f>SUM(C95:C107)</f>
        <v>34056</v>
      </c>
      <c r="D108" s="1633">
        <f t="shared" ref="D108:K108" si="3">SUM(D95:D107)</f>
        <v>1383</v>
      </c>
      <c r="E108" s="1633">
        <f t="shared" si="3"/>
        <v>0</v>
      </c>
      <c r="F108" s="1633">
        <f t="shared" si="3"/>
        <v>100</v>
      </c>
      <c r="G108" s="1633">
        <f t="shared" si="3"/>
        <v>0</v>
      </c>
      <c r="H108" s="1633">
        <f t="shared" si="3"/>
        <v>16373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339799</v>
      </c>
      <c r="D109" s="1641">
        <f t="shared" si="4"/>
        <v>55469</v>
      </c>
      <c r="E109" s="1641">
        <f t="shared" si="4"/>
        <v>61203</v>
      </c>
      <c r="F109" s="1641">
        <f t="shared" si="4"/>
        <v>26061</v>
      </c>
      <c r="G109" s="1641">
        <f t="shared" si="4"/>
        <v>13036</v>
      </c>
      <c r="H109" s="1641">
        <f t="shared" si="4"/>
        <v>16394</v>
      </c>
      <c r="I109" s="1641">
        <f t="shared" si="4"/>
        <v>10797</v>
      </c>
      <c r="J109" s="1641">
        <f t="shared" si="4"/>
        <v>128703</v>
      </c>
      <c r="K109" s="1629">
        <f t="shared" si="4"/>
        <v>12136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855172</v>
      </c>
      <c r="D117" s="1586">
        <v>30000</v>
      </c>
      <c r="E117" s="1573"/>
      <c r="F117" s="1586">
        <v>30000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855172</v>
      </c>
      <c r="D122" s="1633">
        <f t="shared" si="5"/>
        <v>30000</v>
      </c>
      <c r="E122" s="1633">
        <f t="shared" si="5"/>
        <v>0</v>
      </c>
      <c r="F122" s="1633">
        <f t="shared" si="5"/>
        <v>30000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v>166</v>
      </c>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166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405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52277</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52277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571</v>
      </c>
      <c r="D169" s="1658">
        <f t="shared" si="6"/>
        <v>50000</v>
      </c>
      <c r="E169" s="1658">
        <f t="shared" si="6"/>
        <v>0</v>
      </c>
      <c r="F169" s="1658">
        <f t="shared" si="6"/>
        <v>52277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855743</v>
      </c>
      <c r="D170" s="1641">
        <f t="shared" si="7"/>
        <v>80000</v>
      </c>
      <c r="E170" s="1641">
        <f t="shared" si="7"/>
        <v>0</v>
      </c>
      <c r="F170" s="1641">
        <f t="shared" si="7"/>
        <v>82277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23317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8479</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31796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43896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43896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16596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16596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2266</v>
      </c>
      <c r="D263" s="1651"/>
      <c r="E263" s="1575"/>
      <c r="F263" s="1651"/>
      <c r="G263" s="1651"/>
      <c r="H263" s="1575"/>
      <c r="I263" s="1575"/>
      <c r="J263" s="1575"/>
      <c r="K263" s="1575"/>
    </row>
    <row r="264" spans="1:11" ht="12.75" customHeight="1" thickTop="1" thickBot="1" x14ac:dyDescent="0.25">
      <c r="A264" s="427" t="s">
        <v>374</v>
      </c>
      <c r="B264" s="429">
        <v>4992</v>
      </c>
      <c r="C264" s="1650">
        <v>4885</v>
      </c>
      <c r="D264" s="1651"/>
      <c r="E264" s="1575"/>
      <c r="F264" s="1651"/>
      <c r="G264" s="1651"/>
      <c r="H264" s="1575"/>
      <c r="I264" s="1575"/>
      <c r="J264" s="1575"/>
      <c r="K264" s="1575"/>
    </row>
    <row r="265" spans="1:11" s="489" customFormat="1" ht="12.75" customHeight="1" thickTop="1" thickBot="1" x14ac:dyDescent="0.25">
      <c r="A265" s="479" t="s">
        <v>75</v>
      </c>
      <c r="B265" s="475">
        <v>4998</v>
      </c>
      <c r="C265" s="1650">
        <v>11852</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112291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112291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1307833</v>
      </c>
      <c r="D268" s="1641">
        <f t="shared" si="12"/>
        <v>135469</v>
      </c>
      <c r="E268" s="1641">
        <f t="shared" si="12"/>
        <v>61203</v>
      </c>
      <c r="F268" s="1641">
        <f t="shared" si="12"/>
        <v>108338</v>
      </c>
      <c r="G268" s="1641">
        <f t="shared" si="12"/>
        <v>13036</v>
      </c>
      <c r="H268" s="1641">
        <f t="shared" si="12"/>
        <v>16394</v>
      </c>
      <c r="I268" s="1641">
        <f t="shared" si="12"/>
        <v>10797</v>
      </c>
      <c r="J268" s="1641">
        <f t="shared" si="12"/>
        <v>128703</v>
      </c>
      <c r="K268" s="1629">
        <f t="shared" si="12"/>
        <v>12136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2"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574930</v>
      </c>
      <c r="D5" s="1573">
        <v>87929</v>
      </c>
      <c r="E5" s="1573">
        <v>26398</v>
      </c>
      <c r="F5" s="1573">
        <v>21473</v>
      </c>
      <c r="G5" s="1573"/>
      <c r="H5" s="1573"/>
      <c r="I5" s="1574"/>
      <c r="J5" s="1574"/>
      <c r="K5" s="1672">
        <f>SUM(C5:J5)</f>
        <v>710730</v>
      </c>
      <c r="L5" s="1573">
        <v>722000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37795</v>
      </c>
      <c r="D8" s="1573">
        <v>4934</v>
      </c>
      <c r="E8" s="1573">
        <v>26113</v>
      </c>
      <c r="F8" s="1573"/>
      <c r="G8" s="1573"/>
      <c r="H8" s="1573"/>
      <c r="I8" s="1574"/>
      <c r="J8" s="1574"/>
      <c r="K8" s="1672">
        <f t="shared" si="0"/>
        <v>68842</v>
      </c>
      <c r="L8" s="1573">
        <v>94187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24638</v>
      </c>
      <c r="D10" s="1573">
        <v>557</v>
      </c>
      <c r="E10" s="1573">
        <v>5463</v>
      </c>
      <c r="F10" s="1573">
        <v>15242</v>
      </c>
      <c r="G10" s="1573"/>
      <c r="H10" s="1573"/>
      <c r="I10" s="1574"/>
      <c r="J10" s="1574"/>
      <c r="K10" s="1672">
        <f t="shared" si="0"/>
        <v>45900</v>
      </c>
      <c r="L10" s="1573">
        <v>36768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15545</v>
      </c>
      <c r="D14" s="1573">
        <v>882</v>
      </c>
      <c r="E14" s="1573">
        <v>6240</v>
      </c>
      <c r="F14" s="1573">
        <v>4723</v>
      </c>
      <c r="G14" s="1573"/>
      <c r="H14" s="1573">
        <v>290</v>
      </c>
      <c r="I14" s="1574"/>
      <c r="J14" s="1574"/>
      <c r="K14" s="1672">
        <f t="shared" si="0"/>
        <v>27680</v>
      </c>
      <c r="L14" s="1573">
        <v>29000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652908</v>
      </c>
      <c r="D33" s="1674">
        <f t="shared" ref="D33:L33" si="1">SUM(D5:D32)</f>
        <v>94302</v>
      </c>
      <c r="E33" s="1674">
        <f t="shared" si="1"/>
        <v>64214</v>
      </c>
      <c r="F33" s="1674">
        <f t="shared" si="1"/>
        <v>41438</v>
      </c>
      <c r="G33" s="1674">
        <f t="shared" si="1"/>
        <v>0</v>
      </c>
      <c r="H33" s="1674">
        <f t="shared" si="1"/>
        <v>290</v>
      </c>
      <c r="I33" s="1674">
        <f t="shared" si="1"/>
        <v>0</v>
      </c>
      <c r="J33" s="1674">
        <f t="shared" si="1"/>
        <v>0</v>
      </c>
      <c r="K33" s="1674">
        <f t="shared" si="1"/>
        <v>853152</v>
      </c>
      <c r="L33" s="1674">
        <f t="shared" si="1"/>
        <v>881955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562</v>
      </c>
      <c r="F38" s="1573">
        <v>68</v>
      </c>
      <c r="G38" s="1573"/>
      <c r="H38" s="1573"/>
      <c r="I38" s="1574"/>
      <c r="J38" s="1574"/>
      <c r="K38" s="1672">
        <f t="shared" si="2"/>
        <v>630</v>
      </c>
      <c r="L38" s="1573">
        <v>1200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50356</v>
      </c>
      <c r="D40" s="1573">
        <v>6674</v>
      </c>
      <c r="E40" s="1573">
        <v>291</v>
      </c>
      <c r="F40" s="1573">
        <v>675</v>
      </c>
      <c r="G40" s="1573"/>
      <c r="H40" s="1573"/>
      <c r="I40" s="1574"/>
      <c r="J40" s="1574"/>
      <c r="K40" s="1672">
        <f t="shared" si="2"/>
        <v>57996</v>
      </c>
      <c r="L40" s="1573">
        <v>55891</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50356</v>
      </c>
      <c r="D42" s="1674">
        <f t="shared" ref="D42:L42" si="3">SUM(D36:D41)</f>
        <v>6674</v>
      </c>
      <c r="E42" s="1674">
        <f t="shared" si="3"/>
        <v>853</v>
      </c>
      <c r="F42" s="1674">
        <f t="shared" si="3"/>
        <v>743</v>
      </c>
      <c r="G42" s="1674">
        <f t="shared" si="3"/>
        <v>0</v>
      </c>
      <c r="H42" s="1674">
        <f t="shared" si="3"/>
        <v>0</v>
      </c>
      <c r="I42" s="1674">
        <f t="shared" si="3"/>
        <v>0</v>
      </c>
      <c r="J42" s="1674">
        <f t="shared" si="3"/>
        <v>0</v>
      </c>
      <c r="K42" s="1674">
        <f t="shared" si="3"/>
        <v>58626</v>
      </c>
      <c r="L42" s="1674">
        <f t="shared" si="3"/>
        <v>57091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2000</v>
      </c>
      <c r="D44" s="1586">
        <v>558</v>
      </c>
      <c r="E44" s="1586">
        <v>500</v>
      </c>
      <c r="F44" s="1586">
        <v>9352</v>
      </c>
      <c r="G44" s="1586"/>
      <c r="H44" s="1586"/>
      <c r="I44" s="1574"/>
      <c r="J44" s="1574"/>
      <c r="K44" s="1678">
        <f>SUM(C44:J44)</f>
        <v>12410</v>
      </c>
      <c r="L44" s="1586"/>
    </row>
    <row r="45" spans="1:14" x14ac:dyDescent="0.2">
      <c r="A45" s="1274" t="s">
        <v>810</v>
      </c>
      <c r="B45" s="503">
        <v>2220</v>
      </c>
      <c r="C45" s="1573"/>
      <c r="D45" s="1573"/>
      <c r="E45" s="1573"/>
      <c r="F45" s="1573"/>
      <c r="G45" s="1573"/>
      <c r="H45" s="1573"/>
      <c r="I45" s="1574"/>
      <c r="J45" s="1574"/>
      <c r="K45" s="1678">
        <f>SUM(C45:J45)</f>
        <v>0</v>
      </c>
      <c r="L45" s="1573">
        <v>13183</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2000</v>
      </c>
      <c r="D47" s="1674">
        <f t="shared" ref="D47:K47" si="4">SUM(D44:D46)</f>
        <v>558</v>
      </c>
      <c r="E47" s="1674">
        <f t="shared" si="4"/>
        <v>500</v>
      </c>
      <c r="F47" s="1674">
        <f t="shared" si="4"/>
        <v>9352</v>
      </c>
      <c r="G47" s="1674">
        <f t="shared" si="4"/>
        <v>0</v>
      </c>
      <c r="H47" s="1674">
        <f t="shared" si="4"/>
        <v>0</v>
      </c>
      <c r="I47" s="1674">
        <f t="shared" si="4"/>
        <v>0</v>
      </c>
      <c r="J47" s="1674">
        <f t="shared" si="4"/>
        <v>0</v>
      </c>
      <c r="K47" s="1674">
        <f t="shared" si="4"/>
        <v>12410</v>
      </c>
      <c r="L47" s="1674">
        <f>SUM(L44:L46)</f>
        <v>13183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2000</v>
      </c>
      <c r="D49" s="1586"/>
      <c r="E49" s="1586">
        <v>7162</v>
      </c>
      <c r="F49" s="1586">
        <v>495</v>
      </c>
      <c r="G49" s="1586"/>
      <c r="H49" s="1586">
        <v>1815</v>
      </c>
      <c r="I49" s="1574"/>
      <c r="J49" s="1574"/>
      <c r="K49" s="1678">
        <f>SUM(C49:J49)</f>
        <v>11472</v>
      </c>
      <c r="L49" s="1586">
        <v>16500</v>
      </c>
    </row>
    <row r="50" spans="1:14" x14ac:dyDescent="0.2">
      <c r="A50" s="1274" t="s">
        <v>813</v>
      </c>
      <c r="B50" s="503">
        <v>2320</v>
      </c>
      <c r="C50" s="1573">
        <v>37324</v>
      </c>
      <c r="D50" s="1573">
        <v>4673</v>
      </c>
      <c r="E50" s="1573">
        <v>2908</v>
      </c>
      <c r="F50" s="1573">
        <v>55</v>
      </c>
      <c r="G50" s="1573"/>
      <c r="H50" s="1573"/>
      <c r="I50" s="1574"/>
      <c r="J50" s="1574"/>
      <c r="K50" s="1678">
        <f>SUM(C50:J50)</f>
        <v>44960</v>
      </c>
      <c r="L50" s="1573">
        <v>54250</v>
      </c>
    </row>
    <row r="51" spans="1:14" x14ac:dyDescent="0.2">
      <c r="A51" s="1274" t="s">
        <v>42</v>
      </c>
      <c r="B51" s="503">
        <v>2330</v>
      </c>
      <c r="C51" s="1573">
        <v>8000</v>
      </c>
      <c r="D51" s="1573">
        <v>1252</v>
      </c>
      <c r="E51" s="1573"/>
      <c r="F51" s="1573"/>
      <c r="G51" s="1573"/>
      <c r="H51" s="1573"/>
      <c r="I51" s="1574"/>
      <c r="J51" s="1574"/>
      <c r="K51" s="1678">
        <f>SUM(C51:J51)</f>
        <v>9252</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47324</v>
      </c>
      <c r="D53" s="1674">
        <f t="shared" ref="D53:L53" si="5">SUM(D49:D52)</f>
        <v>5925</v>
      </c>
      <c r="E53" s="1674">
        <f t="shared" si="5"/>
        <v>10070</v>
      </c>
      <c r="F53" s="1674">
        <f t="shared" si="5"/>
        <v>550</v>
      </c>
      <c r="G53" s="1674">
        <f t="shared" si="5"/>
        <v>0</v>
      </c>
      <c r="H53" s="1674">
        <f t="shared" si="5"/>
        <v>1815</v>
      </c>
      <c r="I53" s="1674">
        <f t="shared" si="5"/>
        <v>0</v>
      </c>
      <c r="J53" s="1674">
        <f t="shared" si="5"/>
        <v>0</v>
      </c>
      <c r="K53" s="1674">
        <f t="shared" si="5"/>
        <v>65684</v>
      </c>
      <c r="L53" s="1674">
        <f t="shared" si="5"/>
        <v>70750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49209</v>
      </c>
      <c r="D55" s="1586">
        <v>5778</v>
      </c>
      <c r="E55" s="1586">
        <v>2805</v>
      </c>
      <c r="F55" s="1586"/>
      <c r="G55" s="1586"/>
      <c r="H55" s="1586"/>
      <c r="I55" s="1574"/>
      <c r="J55" s="1574"/>
      <c r="K55" s="1678">
        <f>SUM(C55:J55)</f>
        <v>57792</v>
      </c>
      <c r="L55" s="1586">
        <v>68500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49209</v>
      </c>
      <c r="D57" s="1679">
        <f t="shared" ref="D57:K57" si="6">SUM(D55:D56)</f>
        <v>5778</v>
      </c>
      <c r="E57" s="1679">
        <f t="shared" si="6"/>
        <v>2805</v>
      </c>
      <c r="F57" s="1679">
        <f t="shared" si="6"/>
        <v>0</v>
      </c>
      <c r="G57" s="1679">
        <f t="shared" si="6"/>
        <v>0</v>
      </c>
      <c r="H57" s="1679">
        <f t="shared" si="6"/>
        <v>0</v>
      </c>
      <c r="I57" s="1679">
        <f t="shared" si="6"/>
        <v>0</v>
      </c>
      <c r="J57" s="1679">
        <f t="shared" si="6"/>
        <v>0</v>
      </c>
      <c r="K57" s="1679">
        <f t="shared" si="6"/>
        <v>57792</v>
      </c>
      <c r="L57" s="1674">
        <f>SUM(L55:L56)</f>
        <v>68500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45369</v>
      </c>
      <c r="D60" s="1573"/>
      <c r="E60" s="1573">
        <v>6394</v>
      </c>
      <c r="F60" s="1573">
        <v>693</v>
      </c>
      <c r="G60" s="1573"/>
      <c r="H60" s="1573"/>
      <c r="I60" s="1574"/>
      <c r="J60" s="1574"/>
      <c r="K60" s="1678">
        <f t="shared" si="7"/>
        <v>52456</v>
      </c>
      <c r="L60" s="1573">
        <v>59000</v>
      </c>
      <c r="M60" s="501"/>
      <c r="N60" s="501"/>
    </row>
    <row r="61" spans="1:14" s="321" customFormat="1" x14ac:dyDescent="0.2">
      <c r="A61" s="1274" t="s">
        <v>195</v>
      </c>
      <c r="B61" s="503">
        <v>2540</v>
      </c>
      <c r="C61" s="1573">
        <v>39429</v>
      </c>
      <c r="D61" s="1573">
        <v>3728</v>
      </c>
      <c r="E61" s="1573"/>
      <c r="F61" s="1573"/>
      <c r="G61" s="1573"/>
      <c r="H61" s="1573"/>
      <c r="I61" s="1574"/>
      <c r="J61" s="1574"/>
      <c r="K61" s="1678">
        <f t="shared" si="7"/>
        <v>43157</v>
      </c>
      <c r="L61" s="1573">
        <v>44543</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30062</v>
      </c>
      <c r="D63" s="1573"/>
      <c r="E63" s="1573">
        <v>625</v>
      </c>
      <c r="F63" s="1573">
        <v>42002</v>
      </c>
      <c r="G63" s="1573"/>
      <c r="H63" s="1573"/>
      <c r="I63" s="1574"/>
      <c r="J63" s="1574"/>
      <c r="K63" s="1678">
        <f t="shared" si="7"/>
        <v>72689</v>
      </c>
      <c r="L63" s="1573">
        <v>92000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114860</v>
      </c>
      <c r="D65" s="1674">
        <f t="shared" ref="D65:L65" si="8">SUM(D59:D64)</f>
        <v>3728</v>
      </c>
      <c r="E65" s="1674">
        <f t="shared" si="8"/>
        <v>7019</v>
      </c>
      <c r="F65" s="1674">
        <f t="shared" si="8"/>
        <v>42695</v>
      </c>
      <c r="G65" s="1674">
        <f t="shared" si="8"/>
        <v>0</v>
      </c>
      <c r="H65" s="1674">
        <f t="shared" si="8"/>
        <v>0</v>
      </c>
      <c r="I65" s="1674">
        <f t="shared" si="8"/>
        <v>0</v>
      </c>
      <c r="J65" s="1674">
        <f t="shared" si="8"/>
        <v>0</v>
      </c>
      <c r="K65" s="1674">
        <f t="shared" si="8"/>
        <v>168302</v>
      </c>
      <c r="L65" s="1674">
        <f t="shared" si="8"/>
        <v>195543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263749</v>
      </c>
      <c r="D74" s="1681">
        <f t="shared" ref="D74:K74" si="10">SUM(D42,D47,D53,D57,D65,D72,D73)</f>
        <v>22663</v>
      </c>
      <c r="E74" s="1681">
        <f t="shared" si="10"/>
        <v>21247</v>
      </c>
      <c r="F74" s="1681">
        <f t="shared" si="10"/>
        <v>53340</v>
      </c>
      <c r="G74" s="1681">
        <f t="shared" si="10"/>
        <v>0</v>
      </c>
      <c r="H74" s="1681">
        <f t="shared" si="10"/>
        <v>1815</v>
      </c>
      <c r="I74" s="1681">
        <f t="shared" si="10"/>
        <v>0</v>
      </c>
      <c r="J74" s="1681">
        <f t="shared" si="10"/>
        <v>0</v>
      </c>
      <c r="K74" s="1681">
        <f t="shared" si="10"/>
        <v>362814</v>
      </c>
      <c r="L74" s="1681">
        <f>SUM(L42,L47,L53,L57,L65,L72,L73)</f>
        <v>405067</v>
      </c>
    </row>
    <row r="75" spans="1:14" s="254" customFormat="1" ht="15.75" customHeight="1" thickTop="1" thickBot="1" x14ac:dyDescent="0.25">
      <c r="A75" s="1348" t="s">
        <v>47</v>
      </c>
      <c r="B75" s="1349" t="s">
        <v>571</v>
      </c>
      <c r="C75" s="1649"/>
      <c r="D75" s="1649"/>
      <c r="E75" s="1649">
        <v>486</v>
      </c>
      <c r="F75" s="1649"/>
      <c r="G75" s="1649"/>
      <c r="H75" s="1649"/>
      <c r="I75" s="1627"/>
      <c r="J75" s="1627"/>
      <c r="K75" s="1674">
        <f>SUM(C75:J75)</f>
        <v>486</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17747</v>
      </c>
      <c r="F79" s="1673"/>
      <c r="G79" s="1673"/>
      <c r="H79" s="1573">
        <v>16246</v>
      </c>
      <c r="I79" s="1582"/>
      <c r="J79" s="1582"/>
      <c r="K79" s="1672">
        <f t="shared" si="11"/>
        <v>33993</v>
      </c>
      <c r="L79" s="1573">
        <v>84000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17747</v>
      </c>
      <c r="F84" s="1673"/>
      <c r="G84" s="1673"/>
      <c r="H84" s="1674">
        <f>SUM(H78:H83)</f>
        <v>16246</v>
      </c>
      <c r="I84" s="1582"/>
      <c r="J84" s="1582"/>
      <c r="K84" s="1674">
        <f>SUM(K78:K83)</f>
        <v>33993</v>
      </c>
      <c r="L84" s="1674">
        <f>SUM(L78:L83)</f>
        <v>84000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17747</v>
      </c>
      <c r="F102" s="1673"/>
      <c r="G102" s="1673"/>
      <c r="H102" s="1681">
        <f>SUM(H84,H92,H100,H101)</f>
        <v>16246</v>
      </c>
      <c r="I102" s="1582"/>
      <c r="J102" s="1582"/>
      <c r="K102" s="1681">
        <f>SUM(K84,K92,K100,K101)</f>
        <v>33993</v>
      </c>
      <c r="L102" s="1681">
        <f>SUM(L84,L92,L100,L101)</f>
        <v>84000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916657</v>
      </c>
      <c r="D114" s="1674">
        <f t="shared" ref="D114:K114" si="13">SUM(D33,D74,D75,D102,D112,D113)</f>
        <v>116965</v>
      </c>
      <c r="E114" s="1674">
        <f t="shared" si="13"/>
        <v>103694</v>
      </c>
      <c r="F114" s="1674">
        <f t="shared" si="13"/>
        <v>94778</v>
      </c>
      <c r="G114" s="1674">
        <f t="shared" si="13"/>
        <v>0</v>
      </c>
      <c r="H114" s="1674">
        <f>SUM(H33,H74,H75,H102,H112,H113)</f>
        <v>18351</v>
      </c>
      <c r="I114" s="1674">
        <f t="shared" si="13"/>
        <v>0</v>
      </c>
      <c r="J114" s="1674">
        <f t="shared" si="13"/>
        <v>0</v>
      </c>
      <c r="K114" s="1674">
        <f t="shared" si="13"/>
        <v>1250445</v>
      </c>
      <c r="L114" s="1674">
        <f>SUM(L33,L74,L75,L102,L112,L113)</f>
        <v>1371022</v>
      </c>
    </row>
    <row r="115" spans="1:14" ht="13.5" thickTop="1" x14ac:dyDescent="0.2">
      <c r="A115" s="2263" t="s">
        <v>989</v>
      </c>
      <c r="B115" s="2264"/>
      <c r="C115" s="1675"/>
      <c r="D115" s="1675"/>
      <c r="E115" s="1675"/>
      <c r="F115" s="1675"/>
      <c r="G115" s="1675"/>
      <c r="H115" s="1675"/>
      <c r="I115" s="1675"/>
      <c r="J115" s="1675"/>
      <c r="K115" s="1689">
        <f>'Revenues 9-14'!C268-'Expenditures 15-22'!K114</f>
        <v>57388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22531</v>
      </c>
      <c r="F124" s="1573">
        <v>43452</v>
      </c>
      <c r="G124" s="1573">
        <v>2982</v>
      </c>
      <c r="H124" s="1573"/>
      <c r="I124" s="1574"/>
      <c r="J124" s="1574"/>
      <c r="K124" s="1674">
        <f>SUM(C124:J124)</f>
        <v>68965</v>
      </c>
      <c r="L124" s="1573">
        <v>176000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22531</v>
      </c>
      <c r="F127" s="1674">
        <f t="shared" si="14"/>
        <v>43452</v>
      </c>
      <c r="G127" s="1674">
        <f t="shared" si="14"/>
        <v>2982</v>
      </c>
      <c r="H127" s="1674">
        <f t="shared" si="14"/>
        <v>0</v>
      </c>
      <c r="I127" s="1674">
        <f t="shared" si="14"/>
        <v>0</v>
      </c>
      <c r="J127" s="1674">
        <f t="shared" si="14"/>
        <v>0</v>
      </c>
      <c r="K127" s="1674">
        <f t="shared" si="14"/>
        <v>68965</v>
      </c>
      <c r="L127" s="1674">
        <f t="shared" si="14"/>
        <v>176000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22531</v>
      </c>
      <c r="F129" s="1681">
        <f t="shared" si="15"/>
        <v>43452</v>
      </c>
      <c r="G129" s="1681">
        <f t="shared" si="15"/>
        <v>2982</v>
      </c>
      <c r="H129" s="1681">
        <f t="shared" si="15"/>
        <v>0</v>
      </c>
      <c r="I129" s="1681">
        <f t="shared" si="15"/>
        <v>0</v>
      </c>
      <c r="J129" s="1681">
        <f t="shared" si="15"/>
        <v>0</v>
      </c>
      <c r="K129" s="1681">
        <f t="shared" si="15"/>
        <v>68965</v>
      </c>
      <c r="L129" s="1681">
        <f t="shared" si="15"/>
        <v>176000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0</v>
      </c>
      <c r="D151" s="1674">
        <f t="shared" ref="D151:K151" si="16">SUM(D129,D130,D139,D149,D150)</f>
        <v>0</v>
      </c>
      <c r="E151" s="1674">
        <f t="shared" si="16"/>
        <v>22531</v>
      </c>
      <c r="F151" s="1674">
        <f t="shared" si="16"/>
        <v>43452</v>
      </c>
      <c r="G151" s="1674">
        <f t="shared" si="16"/>
        <v>2982</v>
      </c>
      <c r="H151" s="1674">
        <f t="shared" si="16"/>
        <v>0</v>
      </c>
      <c r="I151" s="1674">
        <f t="shared" si="16"/>
        <v>0</v>
      </c>
      <c r="J151" s="1674">
        <f t="shared" si="16"/>
        <v>0</v>
      </c>
      <c r="K151" s="1674">
        <f t="shared" si="16"/>
        <v>68965</v>
      </c>
      <c r="L151" s="1674">
        <f>SUM(L129,L130,L139,L149,L150)</f>
        <v>176000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66504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13262</v>
      </c>
      <c r="I169" s="1673"/>
      <c r="J169" s="1673"/>
      <c r="K169" s="1672">
        <f>SUM(C169:H169)</f>
        <v>13262</v>
      </c>
      <c r="L169" s="1695">
        <v>13263</v>
      </c>
    </row>
    <row r="170" spans="1:14" ht="33.75" customHeight="1" x14ac:dyDescent="0.2">
      <c r="A170" s="543" t="s">
        <v>1651</v>
      </c>
      <c r="B170" s="545" t="s">
        <v>31</v>
      </c>
      <c r="C170" s="1673"/>
      <c r="D170" s="1673"/>
      <c r="E170" s="1673"/>
      <c r="F170" s="1673"/>
      <c r="G170" s="1673"/>
      <c r="H170" s="1646">
        <v>46600</v>
      </c>
      <c r="I170" s="1673"/>
      <c r="J170" s="1673"/>
      <c r="K170" s="1672">
        <f>SUM(C170:J170)</f>
        <v>46600</v>
      </c>
      <c r="L170" s="1646">
        <v>46600</v>
      </c>
    </row>
    <row r="171" spans="1:14" ht="15.75" customHeight="1" x14ac:dyDescent="0.2">
      <c r="A171" s="507" t="s">
        <v>761</v>
      </c>
      <c r="B171" s="546" t="s">
        <v>84</v>
      </c>
      <c r="C171" s="1673"/>
      <c r="D171" s="1673"/>
      <c r="E171" s="1573"/>
      <c r="F171" s="1673"/>
      <c r="G171" s="1673"/>
      <c r="H171" s="1646">
        <v>200</v>
      </c>
      <c r="I171" s="1582"/>
      <c r="J171" s="1673"/>
      <c r="K171" s="1672">
        <f>SUM(C171:J171)</f>
        <v>200</v>
      </c>
      <c r="L171" s="1646">
        <v>200</v>
      </c>
    </row>
    <row r="172" spans="1:14" ht="12.75" customHeight="1" thickBot="1" x14ac:dyDescent="0.25">
      <c r="A172" s="1380" t="s">
        <v>633</v>
      </c>
      <c r="B172" s="1381" t="s">
        <v>489</v>
      </c>
      <c r="C172" s="1673"/>
      <c r="D172" s="1673"/>
      <c r="E172" s="1681">
        <f>SUM(E168,E169,E170,E171)</f>
        <v>0</v>
      </c>
      <c r="F172" s="1673"/>
      <c r="G172" s="1673"/>
      <c r="H172" s="1681">
        <f>SUM(H168,H169,H170,H171)</f>
        <v>60062</v>
      </c>
      <c r="I172" s="1684"/>
      <c r="J172" s="1673"/>
      <c r="K172" s="1681">
        <f>SUM(K168,K169,K170,K171)</f>
        <v>60062</v>
      </c>
      <c r="L172" s="1681">
        <f>SUM(L168,L169,L170,L171)</f>
        <v>60063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60062</v>
      </c>
      <c r="I174" s="1684"/>
      <c r="J174" s="1673"/>
      <c r="K174" s="1681">
        <f>SUM(K160,K172,K173)</f>
        <v>60062</v>
      </c>
      <c r="L174" s="1681">
        <f>SUM(L160,L172,L173)</f>
        <v>60063</v>
      </c>
    </row>
    <row r="175" spans="1:14" ht="13.5" thickTop="1" x14ac:dyDescent="0.2">
      <c r="A175" s="2263" t="s">
        <v>989</v>
      </c>
      <c r="B175" s="2264"/>
      <c r="C175" s="1673"/>
      <c r="D175" s="1673"/>
      <c r="E175" s="1673"/>
      <c r="F175" s="1673"/>
      <c r="G175" s="1673"/>
      <c r="H175" s="1675"/>
      <c r="I175" s="1673"/>
      <c r="J175" s="1673"/>
      <c r="K175" s="1689">
        <f>'Revenues 9-14'!E268-'Expenditures 15-22'!K174</f>
        <v>1141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4667</v>
      </c>
      <c r="D180" s="1573">
        <v>574</v>
      </c>
      <c r="E180" s="1573"/>
      <c r="F180" s="1573"/>
      <c r="G180" s="1573"/>
      <c r="H180" s="1573"/>
      <c r="I180" s="1574"/>
      <c r="J180" s="1574"/>
      <c r="K180" s="1672">
        <f>SUM(C180:J180)</f>
        <v>5241</v>
      </c>
      <c r="L180" s="1573">
        <v>6491</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31771</v>
      </c>
      <c r="D182" s="1573">
        <v>306</v>
      </c>
      <c r="E182" s="1573">
        <v>10972</v>
      </c>
      <c r="F182" s="1573">
        <v>11069</v>
      </c>
      <c r="G182" s="1573"/>
      <c r="H182" s="1573"/>
      <c r="I182" s="1574"/>
      <c r="J182" s="1574"/>
      <c r="K182" s="1672">
        <f>SUM(C182:J182)</f>
        <v>54118</v>
      </c>
      <c r="L182" s="1573">
        <v>102396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36438</v>
      </c>
      <c r="D184" s="1681">
        <f t="shared" ref="D184:J184" si="17">SUM(D180,D182,D183)</f>
        <v>880</v>
      </c>
      <c r="E184" s="1681">
        <f t="shared" si="17"/>
        <v>10972</v>
      </c>
      <c r="F184" s="1681">
        <f t="shared" si="17"/>
        <v>11069</v>
      </c>
      <c r="G184" s="1681">
        <f t="shared" si="17"/>
        <v>0</v>
      </c>
      <c r="H184" s="1681">
        <f t="shared" si="17"/>
        <v>0</v>
      </c>
      <c r="I184" s="1681">
        <f t="shared" si="17"/>
        <v>0</v>
      </c>
      <c r="J184" s="1681">
        <f t="shared" si="17"/>
        <v>0</v>
      </c>
      <c r="K184" s="1681">
        <f>SUM(K180,K182,K183)</f>
        <v>59359</v>
      </c>
      <c r="L184" s="1681">
        <f>SUM(L180, L182:L183)</f>
        <v>108887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4970</v>
      </c>
      <c r="I205" s="1673"/>
      <c r="J205" s="1673"/>
      <c r="K205" s="1696">
        <f>SUM(H205)</f>
        <v>4970</v>
      </c>
      <c r="L205" s="1630"/>
    </row>
    <row r="206" spans="1:14" ht="30" customHeight="1" x14ac:dyDescent="0.2">
      <c r="A206" s="555" t="s">
        <v>1652</v>
      </c>
      <c r="B206" s="546" t="s">
        <v>31</v>
      </c>
      <c r="C206" s="1673"/>
      <c r="D206" s="1673"/>
      <c r="E206" s="1673"/>
      <c r="F206" s="1673"/>
      <c r="G206" s="1673"/>
      <c r="H206" s="1573">
        <v>34426</v>
      </c>
      <c r="I206" s="1673"/>
      <c r="J206" s="1673"/>
      <c r="K206" s="1672">
        <f>SUM(H206)</f>
        <v>34426</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39396</v>
      </c>
      <c r="I208" s="1673"/>
      <c r="J208" s="1673"/>
      <c r="K208" s="1681">
        <f>SUM(K204,K205,K206,K207)</f>
        <v>39396</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36438</v>
      </c>
      <c r="D210" s="1674">
        <f>SUM(D184,D185)</f>
        <v>880</v>
      </c>
      <c r="E210" s="1674">
        <f>SUM(E184,E185,E196)</f>
        <v>10972</v>
      </c>
      <c r="F210" s="1674">
        <f>SUM(F184,F185)</f>
        <v>11069</v>
      </c>
      <c r="G210" s="1674">
        <f>SUM(G184,G185)</f>
        <v>0</v>
      </c>
      <c r="H210" s="1674">
        <f>SUM(H184,H185,H196,H208,H209)</f>
        <v>39396</v>
      </c>
      <c r="I210" s="1674">
        <f>SUM(I184,I185)</f>
        <v>0</v>
      </c>
      <c r="J210" s="1674">
        <f>SUM(J184,J185)</f>
        <v>0</v>
      </c>
      <c r="K210" s="1672">
        <f>SUM(K184,K185,K196,K208,K209)</f>
        <v>98755</v>
      </c>
      <c r="L210" s="1674">
        <f>SUM(L184,L185,L196,L208,L209)</f>
        <v>108887</v>
      </c>
    </row>
    <row r="211" spans="1:14" ht="13.5" thickTop="1" x14ac:dyDescent="0.2">
      <c r="A211" s="2263" t="s">
        <v>989</v>
      </c>
      <c r="B211" s="2264"/>
      <c r="C211" s="1675"/>
      <c r="D211" s="1675"/>
      <c r="E211" s="1675"/>
      <c r="F211" s="1675"/>
      <c r="G211" s="1675"/>
      <c r="H211" s="1675"/>
      <c r="I211" s="1673"/>
      <c r="J211" s="1673"/>
      <c r="K211" s="1689">
        <f>'Revenues 9-14'!F268-'Expenditures 15-22'!K210</f>
        <v>9583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13611</v>
      </c>
      <c r="E215" s="1673"/>
      <c r="F215" s="1673"/>
      <c r="G215" s="1673"/>
      <c r="H215" s="1673"/>
      <c r="I215" s="1673"/>
      <c r="J215" s="1673"/>
      <c r="K215" s="1672">
        <f>D215</f>
        <v>13611</v>
      </c>
      <c r="L215" s="1573">
        <v>12000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614</v>
      </c>
      <c r="E217" s="1673"/>
      <c r="F217" s="1673"/>
      <c r="G217" s="1673"/>
      <c r="H217" s="1673"/>
      <c r="I217" s="1673"/>
      <c r="J217" s="1673"/>
      <c r="K217" s="1672">
        <f t="shared" si="19"/>
        <v>614</v>
      </c>
      <c r="L217" s="1573">
        <v>1000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4208</v>
      </c>
      <c r="E219" s="1673"/>
      <c r="F219" s="1673"/>
      <c r="G219" s="1673"/>
      <c r="H219" s="1673"/>
      <c r="I219" s="1673"/>
      <c r="J219" s="1673"/>
      <c r="K219" s="1672">
        <f t="shared" si="19"/>
        <v>4208</v>
      </c>
      <c r="L219" s="1573">
        <v>6000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876</v>
      </c>
      <c r="E223" s="1673"/>
      <c r="F223" s="1673"/>
      <c r="G223" s="1673"/>
      <c r="H223" s="1673"/>
      <c r="I223" s="1673"/>
      <c r="J223" s="1673"/>
      <c r="K223" s="1672">
        <f t="shared" si="19"/>
        <v>876</v>
      </c>
      <c r="L223" s="1573">
        <v>1500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19309</v>
      </c>
      <c r="E229" s="1673"/>
      <c r="F229" s="1673"/>
      <c r="G229" s="1673"/>
      <c r="H229" s="1673"/>
      <c r="I229" s="1673"/>
      <c r="J229" s="1673"/>
      <c r="K229" s="1674">
        <f>SUM(K215:K228)</f>
        <v>19309</v>
      </c>
      <c r="L229" s="1674">
        <f>SUM(L215:L228)</f>
        <v>20500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783</v>
      </c>
      <c r="E236" s="1673"/>
      <c r="F236" s="1673"/>
      <c r="G236" s="1673"/>
      <c r="H236" s="1673"/>
      <c r="I236" s="1673"/>
      <c r="J236" s="1673"/>
      <c r="K236" s="1672">
        <f t="shared" si="20"/>
        <v>783</v>
      </c>
      <c r="L236" s="1573">
        <v>800</v>
      </c>
    </row>
    <row r="237" spans="1:12" x14ac:dyDescent="0.2">
      <c r="A237" s="1274" t="s">
        <v>164</v>
      </c>
      <c r="B237" s="503">
        <v>2190</v>
      </c>
      <c r="C237" s="1673"/>
      <c r="D237" s="1573">
        <v>79</v>
      </c>
      <c r="E237" s="1673"/>
      <c r="F237" s="1673"/>
      <c r="G237" s="1673"/>
      <c r="H237" s="1673"/>
      <c r="I237" s="1673"/>
      <c r="J237" s="1673"/>
      <c r="K237" s="1672">
        <f t="shared" si="20"/>
        <v>79</v>
      </c>
      <c r="L237" s="1573">
        <v>200</v>
      </c>
    </row>
    <row r="238" spans="1:12" ht="12.75" customHeight="1" thickBot="1" x14ac:dyDescent="0.25">
      <c r="A238" s="1380" t="s">
        <v>556</v>
      </c>
      <c r="B238" s="1383" t="s">
        <v>711</v>
      </c>
      <c r="C238" s="1673"/>
      <c r="D238" s="1674">
        <f>SUM(D232:D237)</f>
        <v>862</v>
      </c>
      <c r="E238" s="1673"/>
      <c r="F238" s="1673"/>
      <c r="G238" s="1673"/>
      <c r="H238" s="1673"/>
      <c r="I238" s="1673"/>
      <c r="J238" s="1673"/>
      <c r="K238" s="1674">
        <f>SUM(K232:K237)</f>
        <v>862</v>
      </c>
      <c r="L238" s="1674">
        <f>SUM(L232:L237)</f>
        <v>1000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28</v>
      </c>
      <c r="E240" s="1673"/>
      <c r="F240" s="1673"/>
      <c r="G240" s="1673"/>
      <c r="H240" s="1673"/>
      <c r="I240" s="1673"/>
      <c r="J240" s="1673"/>
      <c r="K240" s="1678">
        <f>D240</f>
        <v>28</v>
      </c>
      <c r="L240" s="1586"/>
    </row>
    <row r="241" spans="1:12" x14ac:dyDescent="0.2">
      <c r="A241" s="1274" t="s">
        <v>810</v>
      </c>
      <c r="B241" s="503">
        <v>2220</v>
      </c>
      <c r="C241" s="1673"/>
      <c r="D241" s="1573"/>
      <c r="E241" s="1673"/>
      <c r="F241" s="1673"/>
      <c r="G241" s="1673"/>
      <c r="H241" s="1673"/>
      <c r="I241" s="1673"/>
      <c r="J241" s="1673"/>
      <c r="K241" s="1678">
        <f>D241</f>
        <v>0</v>
      </c>
      <c r="L241" s="1573">
        <v>100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28</v>
      </c>
      <c r="E243" s="1673"/>
      <c r="F243" s="1673"/>
      <c r="G243" s="1673"/>
      <c r="H243" s="1673"/>
      <c r="I243" s="1673"/>
      <c r="J243" s="1673"/>
      <c r="K243" s="1674">
        <f>SUM(K240:K242)</f>
        <v>28</v>
      </c>
      <c r="L243" s="1674">
        <f>SUM(L240:L242)</f>
        <v>100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153</v>
      </c>
      <c r="E245" s="1673"/>
      <c r="F245" s="1673"/>
      <c r="G245" s="1673"/>
      <c r="H245" s="1673"/>
      <c r="I245" s="1673"/>
      <c r="J245" s="1673"/>
      <c r="K245" s="1678">
        <f>D245</f>
        <v>153</v>
      </c>
      <c r="L245" s="1586">
        <v>200</v>
      </c>
    </row>
    <row r="246" spans="1:12" x14ac:dyDescent="0.2">
      <c r="A246" s="1274" t="s">
        <v>813</v>
      </c>
      <c r="B246" s="503">
        <v>2320</v>
      </c>
      <c r="C246" s="1673"/>
      <c r="D246" s="1573">
        <v>639</v>
      </c>
      <c r="E246" s="1673"/>
      <c r="F246" s="1673"/>
      <c r="G246" s="1673"/>
      <c r="H246" s="1673"/>
      <c r="I246" s="1673"/>
      <c r="J246" s="1673"/>
      <c r="K246" s="1678">
        <f t="shared" ref="K246:K256" si="21">D246</f>
        <v>639</v>
      </c>
      <c r="L246" s="1573">
        <v>1000</v>
      </c>
    </row>
    <row r="247" spans="1:12" x14ac:dyDescent="0.2">
      <c r="A247" s="1274" t="s">
        <v>814</v>
      </c>
      <c r="B247" s="503">
        <v>2330</v>
      </c>
      <c r="C247" s="1673"/>
      <c r="D247" s="1573">
        <v>114</v>
      </c>
      <c r="E247" s="1673"/>
      <c r="F247" s="1673"/>
      <c r="G247" s="1673"/>
      <c r="H247" s="1673"/>
      <c r="I247" s="1673"/>
      <c r="J247" s="1673"/>
      <c r="K247" s="1678">
        <f t="shared" si="21"/>
        <v>114</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906</v>
      </c>
      <c r="E257" s="1673"/>
      <c r="F257" s="1673"/>
      <c r="G257" s="1673"/>
      <c r="H257" s="1673"/>
      <c r="I257" s="1673"/>
      <c r="J257" s="1673"/>
      <c r="K257" s="1674">
        <f>SUM(K245:K256)</f>
        <v>906</v>
      </c>
      <c r="L257" s="1674">
        <f>SUM(L245:L256)</f>
        <v>1200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794</v>
      </c>
      <c r="E259" s="1673"/>
      <c r="F259" s="1673"/>
      <c r="G259" s="1673"/>
      <c r="H259" s="1673"/>
      <c r="I259" s="1673"/>
      <c r="J259" s="1673"/>
      <c r="K259" s="1678">
        <f>D259</f>
        <v>794</v>
      </c>
      <c r="L259" s="1586">
        <v>800</v>
      </c>
    </row>
    <row r="260" spans="1:14" s="493" customFormat="1" x14ac:dyDescent="0.2">
      <c r="A260" s="1292" t="s">
        <v>1781</v>
      </c>
      <c r="B260" s="512">
        <v>2490</v>
      </c>
      <c r="C260" s="1673"/>
      <c r="D260" s="1573"/>
      <c r="E260" s="1673"/>
      <c r="F260" s="1673"/>
      <c r="G260" s="1673"/>
      <c r="H260" s="1673"/>
      <c r="I260" s="1673"/>
      <c r="J260" s="1673"/>
      <c r="K260" s="1678">
        <f>D260</f>
        <v>0</v>
      </c>
      <c r="L260" s="1573">
        <v>100</v>
      </c>
      <c r="M260" s="205"/>
      <c r="N260" s="205"/>
    </row>
    <row r="261" spans="1:14" ht="12.75" customHeight="1" thickBot="1" x14ac:dyDescent="0.25">
      <c r="A261" s="1394" t="s">
        <v>261</v>
      </c>
      <c r="B261" s="1399" t="s">
        <v>34</v>
      </c>
      <c r="C261" s="1673"/>
      <c r="D261" s="1674">
        <f>SUM(D259:D260)</f>
        <v>794</v>
      </c>
      <c r="E261" s="1673"/>
      <c r="F261" s="1673"/>
      <c r="G261" s="1673"/>
      <c r="H261" s="1673"/>
      <c r="I261" s="1673"/>
      <c r="J261" s="1673"/>
      <c r="K261" s="1674">
        <f>SUM(K259:K260)</f>
        <v>794</v>
      </c>
      <c r="L261" s="1674">
        <f>SUM(L259:L260)</f>
        <v>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8651</v>
      </c>
      <c r="E264" s="1673"/>
      <c r="F264" s="1673"/>
      <c r="G264" s="1673"/>
      <c r="H264" s="1673"/>
      <c r="I264" s="1673"/>
      <c r="J264" s="1673"/>
      <c r="K264" s="1678">
        <f t="shared" ref="K264:K269" si="22">D264</f>
        <v>8651</v>
      </c>
      <c r="L264" s="1573">
        <v>10000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7036</v>
      </c>
      <c r="E266" s="1673"/>
      <c r="F266" s="1673"/>
      <c r="G266" s="1673"/>
      <c r="H266" s="1673"/>
      <c r="I266" s="1673"/>
      <c r="J266" s="1673"/>
      <c r="K266" s="1678">
        <f t="shared" si="22"/>
        <v>7036</v>
      </c>
      <c r="L266" s="1573">
        <v>7500</v>
      </c>
    </row>
    <row r="267" spans="1:14" x14ac:dyDescent="0.2">
      <c r="A267" s="1274" t="s">
        <v>947</v>
      </c>
      <c r="B267" s="503">
        <v>2550</v>
      </c>
      <c r="C267" s="1673"/>
      <c r="D267" s="1573">
        <v>4192</v>
      </c>
      <c r="E267" s="1673"/>
      <c r="F267" s="1673"/>
      <c r="G267" s="1673"/>
      <c r="H267" s="1673"/>
      <c r="I267" s="1673"/>
      <c r="J267" s="1673"/>
      <c r="K267" s="1678">
        <f t="shared" si="22"/>
        <v>4192</v>
      </c>
      <c r="L267" s="1573">
        <v>6000</v>
      </c>
    </row>
    <row r="268" spans="1:14" x14ac:dyDescent="0.2">
      <c r="A268" s="1274" t="s">
        <v>100</v>
      </c>
      <c r="B268" s="503">
        <v>2560</v>
      </c>
      <c r="C268" s="1673"/>
      <c r="D268" s="1573">
        <v>5867</v>
      </c>
      <c r="E268" s="1673"/>
      <c r="F268" s="1673"/>
      <c r="G268" s="1673"/>
      <c r="H268" s="1673"/>
      <c r="I268" s="1673"/>
      <c r="J268" s="1673"/>
      <c r="K268" s="1678">
        <f t="shared" si="22"/>
        <v>5867</v>
      </c>
      <c r="L268" s="1573">
        <v>8500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25746</v>
      </c>
      <c r="E270" s="1673"/>
      <c r="F270" s="1673"/>
      <c r="G270" s="1673"/>
      <c r="H270" s="1673"/>
      <c r="I270" s="1673"/>
      <c r="J270" s="1673"/>
      <c r="K270" s="1674">
        <f>SUM(K263:K269)</f>
        <v>25746</v>
      </c>
      <c r="L270" s="1674">
        <f>SUM(L263:L269)</f>
        <v>32000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28336</v>
      </c>
      <c r="E279" s="1673"/>
      <c r="F279" s="1673"/>
      <c r="G279" s="1673"/>
      <c r="H279" s="1673"/>
      <c r="I279" s="1673"/>
      <c r="J279" s="1673"/>
      <c r="K279" s="1681">
        <f>SUM(K238,K243,K257,K261,K270,K277,K278)</f>
        <v>28336</v>
      </c>
      <c r="L279" s="1681">
        <f>SUM(L238,L243,L257,L261,L270,L277,L278)</f>
        <v>35200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47645</v>
      </c>
      <c r="E295" s="1673"/>
      <c r="F295" s="1673"/>
      <c r="G295" s="1673"/>
      <c r="H295" s="1674">
        <f>H293</f>
        <v>0</v>
      </c>
      <c r="I295" s="1673"/>
      <c r="J295" s="1673"/>
      <c r="K295" s="1674">
        <f>SUM(K229,K279,K280,K285,K293,K294)</f>
        <v>47645</v>
      </c>
      <c r="L295" s="1674">
        <f>SUM(L229,L279,L280,L285,L293,L294)</f>
        <v>55700</v>
      </c>
    </row>
    <row r="296" spans="1:14" ht="13.5" thickTop="1" x14ac:dyDescent="0.2">
      <c r="A296" s="2263" t="s">
        <v>989</v>
      </c>
      <c r="B296" s="2264"/>
      <c r="C296" s="1673"/>
      <c r="D296" s="1675"/>
      <c r="E296" s="1673"/>
      <c r="F296" s="1673"/>
      <c r="G296" s="1673"/>
      <c r="H296" s="1707"/>
      <c r="I296" s="1673"/>
      <c r="J296" s="1673"/>
      <c r="K296" s="1689">
        <f>'Revenues 9-14'!G268-'Expenditures 15-22'!K295</f>
        <v>-34609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39173</v>
      </c>
      <c r="H301" s="1573"/>
      <c r="I301" s="1574"/>
      <c r="J301" s="1574"/>
      <c r="K301" s="1672">
        <f>SUM(C301:J301)</f>
        <v>39173</v>
      </c>
      <c r="L301" s="1574">
        <v>40000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39173</v>
      </c>
      <c r="H303" s="1681">
        <f t="shared" si="23"/>
        <v>0</v>
      </c>
      <c r="I303" s="1681">
        <f t="shared" si="23"/>
        <v>0</v>
      </c>
      <c r="J303" s="1681">
        <f t="shared" si="23"/>
        <v>0</v>
      </c>
      <c r="K303" s="1681">
        <f t="shared" si="23"/>
        <v>39173</v>
      </c>
      <c r="L303" s="1681">
        <f t="shared" si="23"/>
        <v>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39173</v>
      </c>
      <c r="H312" s="1674">
        <f>SUM(H303,H310)</f>
        <v>0</v>
      </c>
      <c r="I312" s="1674">
        <f>SUM(I303)</f>
        <v>0</v>
      </c>
      <c r="J312" s="1674">
        <f>SUM(J303)</f>
        <v>0</v>
      </c>
      <c r="K312" s="1674">
        <f>SUM(K303,K310,K311)</f>
        <v>39173</v>
      </c>
      <c r="L312" s="1674">
        <f>SUM(L303,L310,L311)</f>
        <v>40000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-22779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6056</v>
      </c>
      <c r="F320" s="1574"/>
      <c r="G320" s="1574"/>
      <c r="H320" s="1574"/>
      <c r="I320" s="1574"/>
      <c r="J320" s="1574"/>
      <c r="K320" s="1672">
        <f t="shared" ref="K320:K327" si="24">SUM(C320:J320)</f>
        <v>6056</v>
      </c>
      <c r="L320" s="1574">
        <v>9000</v>
      </c>
      <c r="M320" s="539"/>
      <c r="N320" s="539"/>
    </row>
    <row r="321" spans="1:14" s="548" customFormat="1" x14ac:dyDescent="0.2">
      <c r="A321" s="1289" t="s">
        <v>297</v>
      </c>
      <c r="B321" s="567" t="s">
        <v>281</v>
      </c>
      <c r="C321" s="1574"/>
      <c r="D321" s="1574"/>
      <c r="E321" s="1574">
        <v>2013</v>
      </c>
      <c r="F321" s="1574"/>
      <c r="G321" s="1574"/>
      <c r="H321" s="1574"/>
      <c r="I321" s="1574"/>
      <c r="J321" s="1574"/>
      <c r="K321" s="1672">
        <f t="shared" si="24"/>
        <v>2013</v>
      </c>
      <c r="L321" s="1574">
        <v>2500</v>
      </c>
      <c r="M321" s="539"/>
      <c r="N321" s="539"/>
    </row>
    <row r="322" spans="1:14" s="548" customFormat="1" x14ac:dyDescent="0.2">
      <c r="A322" s="1289" t="s">
        <v>236</v>
      </c>
      <c r="B322" s="567" t="s">
        <v>282</v>
      </c>
      <c r="C322" s="1574"/>
      <c r="D322" s="1574"/>
      <c r="E322" s="1574">
        <v>22250</v>
      </c>
      <c r="F322" s="1574"/>
      <c r="G322" s="1574"/>
      <c r="H322" s="1574"/>
      <c r="I322" s="1574"/>
      <c r="J322" s="1574"/>
      <c r="K322" s="1672">
        <f t="shared" si="24"/>
        <v>22250</v>
      </c>
      <c r="L322" s="1574">
        <v>25000</v>
      </c>
      <c r="M322" s="539"/>
      <c r="N322" s="539"/>
    </row>
    <row r="323" spans="1:14" s="548" customFormat="1" x14ac:dyDescent="0.2">
      <c r="A323" s="1289" t="s">
        <v>697</v>
      </c>
      <c r="B323" s="567" t="s">
        <v>283</v>
      </c>
      <c r="C323" s="1574">
        <v>66895</v>
      </c>
      <c r="D323" s="1574">
        <v>13635</v>
      </c>
      <c r="E323" s="1574"/>
      <c r="F323" s="1574"/>
      <c r="G323" s="1574"/>
      <c r="H323" s="1574"/>
      <c r="I323" s="1574"/>
      <c r="J323" s="1574"/>
      <c r="K323" s="1672">
        <f t="shared" si="24"/>
        <v>80530</v>
      </c>
      <c r="L323" s="1574">
        <v>80000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v>23736</v>
      </c>
      <c r="H325" s="1574"/>
      <c r="I325" s="1574"/>
      <c r="J325" s="1574"/>
      <c r="K325" s="1672">
        <f t="shared" si="24"/>
        <v>23736</v>
      </c>
      <c r="L325" s="1574">
        <v>25000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975</v>
      </c>
      <c r="F327" s="1574"/>
      <c r="G327" s="1574"/>
      <c r="H327" s="1574"/>
      <c r="I327" s="1574"/>
      <c r="J327" s="1574"/>
      <c r="K327" s="1672">
        <f t="shared" si="24"/>
        <v>975</v>
      </c>
      <c r="L327" s="1574">
        <v>5000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66895</v>
      </c>
      <c r="D330" s="1674">
        <f t="shared" ref="D330:J330" si="25">SUM(D319:D329)</f>
        <v>13635</v>
      </c>
      <c r="E330" s="1674">
        <f t="shared" si="25"/>
        <v>31294</v>
      </c>
      <c r="F330" s="1674">
        <f t="shared" si="25"/>
        <v>0</v>
      </c>
      <c r="G330" s="1674">
        <f t="shared" si="25"/>
        <v>23736</v>
      </c>
      <c r="H330" s="1674">
        <f t="shared" si="25"/>
        <v>0</v>
      </c>
      <c r="I330" s="1674">
        <f t="shared" si="25"/>
        <v>0</v>
      </c>
      <c r="J330" s="1674">
        <f t="shared" si="25"/>
        <v>0</v>
      </c>
      <c r="K330" s="1674">
        <f>SUM(K319:K329)</f>
        <v>135560</v>
      </c>
      <c r="L330" s="1674">
        <f>SUM(L319:L329)</f>
        <v>146500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66895</v>
      </c>
      <c r="D342" s="1674">
        <f>SUM(D330)</f>
        <v>13635</v>
      </c>
      <c r="E342" s="1674">
        <f>SUM(E330)</f>
        <v>31294</v>
      </c>
      <c r="F342" s="1674">
        <f>SUM(F330)</f>
        <v>0</v>
      </c>
      <c r="G342" s="1674">
        <f>SUM(G330)</f>
        <v>23736</v>
      </c>
      <c r="H342" s="1674">
        <f>SUM(H330,H334,H340)</f>
        <v>0</v>
      </c>
      <c r="I342" s="1674">
        <f>SUM(I330)</f>
        <v>0</v>
      </c>
      <c r="J342" s="1674">
        <f>SUM(J330)</f>
        <v>0</v>
      </c>
      <c r="K342" s="1674">
        <f>SUM(K330,K334,K340)</f>
        <v>135560</v>
      </c>
      <c r="L342" s="1681">
        <f>SUM(L330,L334,L340,L341)</f>
        <v>146500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-6857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162000</v>
      </c>
    </row>
    <row r="349" spans="1:14" x14ac:dyDescent="0.2">
      <c r="A349" s="1274" t="s">
        <v>195</v>
      </c>
      <c r="B349" s="503">
        <v>2540</v>
      </c>
      <c r="C349" s="1573"/>
      <c r="D349" s="1573"/>
      <c r="E349" s="1573"/>
      <c r="F349" s="1573"/>
      <c r="G349" s="1573">
        <v>124671</v>
      </c>
      <c r="H349" s="1573"/>
      <c r="I349" s="1574"/>
      <c r="J349" s="1574"/>
      <c r="K349" s="1672">
        <f>SUM(C349:J349)</f>
        <v>124671</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124671</v>
      </c>
      <c r="H350" s="1674">
        <f t="shared" si="26"/>
        <v>0</v>
      </c>
      <c r="I350" s="1674">
        <f t="shared" si="26"/>
        <v>0</v>
      </c>
      <c r="J350" s="1674">
        <f t="shared" si="26"/>
        <v>0</v>
      </c>
      <c r="K350" s="1674">
        <f t="shared" si="26"/>
        <v>124671</v>
      </c>
      <c r="L350" s="1674">
        <f t="shared" si="26"/>
        <v>162000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124671</v>
      </c>
      <c r="H352" s="1674">
        <f t="shared" si="27"/>
        <v>0</v>
      </c>
      <c r="I352" s="1674">
        <f t="shared" si="27"/>
        <v>0</v>
      </c>
      <c r="J352" s="1674">
        <f t="shared" si="27"/>
        <v>0</v>
      </c>
      <c r="K352" s="1674">
        <f t="shared" si="27"/>
        <v>124671</v>
      </c>
      <c r="L352" s="1674">
        <f t="shared" si="27"/>
        <v>162000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124671</v>
      </c>
      <c r="H367" s="1674">
        <f t="shared" si="28"/>
        <v>0</v>
      </c>
      <c r="I367" s="1674">
        <f t="shared" si="28"/>
        <v>0</v>
      </c>
      <c r="J367" s="1674">
        <f t="shared" si="28"/>
        <v>0</v>
      </c>
      <c r="K367" s="1674">
        <f t="shared" si="28"/>
        <v>124671</v>
      </c>
      <c r="L367" s="1674">
        <f t="shared" si="28"/>
        <v>162000</v>
      </c>
    </row>
    <row r="368" spans="1:14" ht="13.5" thickTop="1" x14ac:dyDescent="0.2">
      <c r="A368" s="2263" t="s">
        <v>989</v>
      </c>
      <c r="B368" s="2264"/>
      <c r="C368" s="1694"/>
      <c r="D368" s="1694"/>
      <c r="E368" s="1677"/>
      <c r="F368" s="1677"/>
      <c r="G368" s="1677"/>
      <c r="H368" s="1677"/>
      <c r="I368" s="1677"/>
      <c r="J368" s="1676"/>
      <c r="K368" s="1672">
        <f>'Revenues 9-14'!K268-'Expenditures 15-22'!K367</f>
        <v>-112535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purl.org/dc/terms/"/>
    <ds:schemaRef ds:uri="6ce3111e-7420-4802-b50a-75d4e9a0b980"/>
    <ds:schemaRef ds:uri="http://schemas.microsoft.com/office/2006/documentManagement/types"/>
    <ds:schemaRef ds:uri="http://purl.org/dc/elements/1.1/"/>
    <ds:schemaRef ds:uri="http://schemas.microsoft.com/office/infopath/2007/PartnerControls"/>
    <ds:schemaRef ds:uri="http://schemas.microsoft.com/office/2006/metadata/properties"/>
    <ds:schemaRef ds:uri="d21dc803-237d-4c68-8692-8d731fd29118"/>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2020-09-14T16:14:01Z</cp:lastPrinted>
  <dcterms:created xsi:type="dcterms:W3CDTF">2003-10-29T19:06:34Z</dcterms:created>
  <dcterms:modified xsi:type="dcterms:W3CDTF">2020-12-16T01:59:48Z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