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DB2F34B-2F73-437D-9EED-B858EB7E70C7}"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27" i="3" l="1"/>
  <c r="C9" i="3"/>
  <c r="C137" i="5"/>
  <c r="F5" i="29"/>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F36" i="108"/>
  <c r="G28"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24" i="37"/>
  <c r="B4270" i="106" s="1"/>
  <c r="D4270" i="106" s="1"/>
  <c r="D22" i="37" l="1"/>
  <c r="H28" i="118"/>
  <c r="F56" i="34"/>
  <c r="B7832" i="106" s="1"/>
  <c r="D7832" i="106" s="1"/>
  <c r="B6289" i="106"/>
  <c r="D6289" i="106" s="1"/>
  <c r="D14" i="4"/>
  <c r="B2570" i="106" s="1"/>
  <c r="D2570" i="106" s="1"/>
  <c r="F77" i="4"/>
  <c r="B3255" i="106" s="1"/>
  <c r="D3255" i="106" s="1"/>
  <c r="H76" i="4"/>
  <c r="B3298" i="106" s="1"/>
  <c r="D3298" i="106" s="1"/>
  <c r="B6995" i="106"/>
  <c r="D6995" i="106" s="1"/>
  <c r="G26" i="108"/>
  <c r="G14" i="4"/>
  <c r="B2609" i="106" s="1"/>
  <c r="D2609" i="106" s="1"/>
  <c r="F72" i="34"/>
  <c r="H365" i="29"/>
  <c r="B7242" i="106" s="1"/>
  <c r="D7242" i="106" s="1"/>
  <c r="F50" i="34"/>
  <c r="B1274" i="106"/>
  <c r="D1274" i="106" s="1"/>
  <c r="E34" i="108"/>
  <c r="F42" i="34"/>
  <c r="F36" i="34"/>
  <c r="B7828" i="106" s="1"/>
  <c r="D7828" i="106" s="1"/>
  <c r="G30" i="108"/>
  <c r="F67" i="34"/>
  <c r="H342" i="29"/>
  <c r="B2724" i="106"/>
  <c r="D2724" i="106" s="1"/>
  <c r="H15" i="184"/>
  <c r="C352" i="29"/>
  <c r="B3621" i="106" s="1"/>
  <c r="D3621" i="106" s="1"/>
  <c r="F64" i="34"/>
  <c r="F71" i="34"/>
  <c r="F37" i="34"/>
  <c r="B7829" i="106" s="1"/>
  <c r="D7829" i="106" s="1"/>
  <c r="G39" i="108"/>
  <c r="F52" i="34"/>
  <c r="B7831" i="106" s="1"/>
  <c r="D7831" i="106" s="1"/>
  <c r="B2836" i="106"/>
  <c r="D2836" i="106" s="1"/>
  <c r="I210" i="29"/>
  <c r="B7071" i="106" s="1"/>
  <c r="D7071" i="106" s="1"/>
  <c r="I129" i="29"/>
  <c r="B7037" i="106" s="1"/>
  <c r="D7037" i="106" s="1"/>
  <c r="C129" i="29"/>
  <c r="B1225" i="106" s="1"/>
  <c r="D1225" i="106" s="1"/>
  <c r="H33" i="118"/>
  <c r="B7198" i="106"/>
  <c r="D7198" i="106" s="1"/>
  <c r="E65" i="184"/>
  <c r="N65" i="184" s="1"/>
  <c r="D31" i="108"/>
  <c r="E16" i="184"/>
  <c r="H16" i="184" s="1"/>
  <c r="B7696" i="106"/>
  <c r="D7696" i="106" s="1"/>
  <c r="E66" i="184"/>
  <c r="N66" i="184" s="1"/>
  <c r="H12" i="184"/>
  <c r="B7180" i="106"/>
  <c r="D7180" i="106" s="1"/>
  <c r="E63" i="184"/>
  <c r="N63" i="184" s="1"/>
  <c r="G33" i="108"/>
  <c r="E17" i="184"/>
  <c r="H17" i="184" s="1"/>
  <c r="B7135" i="106"/>
  <c r="D7135" i="106" s="1"/>
  <c r="E58" i="184"/>
  <c r="N58" i="184" s="1"/>
  <c r="B7189" i="106"/>
  <c r="D7189" i="106" s="1"/>
  <c r="E64" i="184"/>
  <c r="N64" i="184" s="1"/>
  <c r="L22" i="37"/>
  <c r="B7162" i="106"/>
  <c r="D7162" i="106" s="1"/>
  <c r="E61" i="184"/>
  <c r="N61" i="184" s="1"/>
  <c r="B7126" i="106"/>
  <c r="D7126" i="106" s="1"/>
  <c r="E57" i="184"/>
  <c r="F34" i="34"/>
  <c r="B7826" i="106" s="1"/>
  <c r="D7826" i="106" s="1"/>
  <c r="B7153" i="106"/>
  <c r="D7153" i="106" s="1"/>
  <c r="E60" i="184"/>
  <c r="N60" i="184" s="1"/>
  <c r="B7171" i="106"/>
  <c r="D7171" i="106" s="1"/>
  <c r="E62" i="184"/>
  <c r="N62" i="184" s="1"/>
  <c r="C342" i="29"/>
  <c r="B7216" i="106" s="1"/>
  <c r="D7216" i="106" s="1"/>
  <c r="B7705" i="106"/>
  <c r="D7705" i="106" s="1"/>
  <c r="E67" i="184"/>
  <c r="N67" i="184" s="1"/>
  <c r="J210" i="29"/>
  <c r="B7072" i="106" s="1"/>
  <c r="D7072" i="106"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28" i="118" l="1"/>
  <c r="O27" i="118" s="1"/>
  <c r="O29" i="118" s="1"/>
  <c r="C367" i="29"/>
  <c r="B3622" i="106" s="1"/>
  <c r="D3622" i="106" s="1"/>
  <c r="K77" i="4"/>
  <c r="B3587" i="106" s="1"/>
  <c r="D3587" i="106" s="1"/>
  <c r="B6216" i="106"/>
  <c r="D6216" i="106" s="1"/>
  <c r="L16" i="11"/>
  <c r="B2061" i="106" s="1"/>
  <c r="D2061" i="106" s="1"/>
  <c r="B7235" i="106"/>
  <c r="D7235" i="106" s="1"/>
  <c r="B1328" i="106"/>
  <c r="D1328" i="106" s="1"/>
  <c r="B1381" i="106"/>
  <c r="D1381" i="106" s="1"/>
  <c r="F66" i="34"/>
  <c r="I151" i="29"/>
  <c r="F59" i="34" s="1"/>
  <c r="F41" i="108"/>
  <c r="G43" i="108" s="1"/>
  <c r="J16" i="4"/>
  <c r="B6226" i="106" s="1"/>
  <c r="D6226" i="106" s="1"/>
  <c r="E19" i="184"/>
  <c r="L114" i="29"/>
  <c r="I7" i="4"/>
  <c r="B4444" i="106" s="1"/>
  <c r="D4444" i="106" s="1"/>
  <c r="D44" i="36"/>
  <c r="N23" i="3"/>
  <c r="B284" i="106" s="1"/>
  <c r="D284" i="106" s="1"/>
  <c r="H19" i="184"/>
  <c r="L20" i="184" s="1"/>
  <c r="J151" i="29"/>
  <c r="B7052" i="106" s="1"/>
  <c r="D7052" i="106" s="1"/>
  <c r="B7220" i="106"/>
  <c r="D7220" i="106" s="1"/>
  <c r="F75" i="34"/>
  <c r="B7886" i="106" s="1"/>
  <c r="D7886" i="106" s="1"/>
  <c r="B5770" i="106"/>
  <c r="D5770" i="106" s="1"/>
  <c r="N57" i="184"/>
  <c r="N68" i="184" s="1"/>
  <c r="E68" i="184"/>
  <c r="H151" i="29"/>
  <c r="B1273" i="106" s="1"/>
  <c r="D1273" i="106" s="1"/>
  <c r="K365" i="29"/>
  <c r="K16" i="4" s="1"/>
  <c r="E367" i="29"/>
  <c r="B3636" i="106" s="1"/>
  <c r="D3636" i="106" s="1"/>
  <c r="B3635" i="106"/>
  <c r="D3635" i="106" s="1"/>
  <c r="B5527" i="106"/>
  <c r="D5527"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43" i="106" l="1"/>
  <c r="D7243" i="106" s="1"/>
  <c r="B7051" i="106"/>
  <c r="D7051" i="106" s="1"/>
  <c r="B1145" i="106"/>
  <c r="D1145" i="106" s="1"/>
  <c r="K367" i="29"/>
  <c r="B7224" i="106"/>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J19" i="4"/>
  <c r="B6229" i="106" s="1"/>
  <c r="D6229" i="106" s="1"/>
  <c r="F77" i="34"/>
  <c r="B7834" i="106" s="1"/>
  <c r="D7834" i="106" s="1"/>
  <c r="F8" i="4"/>
  <c r="F10" i="4" s="1"/>
  <c r="B4125" i="106" s="1"/>
  <c r="D4125" i="106" s="1"/>
  <c r="J20" i="4"/>
  <c r="B6230" i="106" s="1"/>
  <c r="D6230" i="106" s="1"/>
  <c r="B6223" i="106"/>
  <c r="D6223" i="106" s="1"/>
  <c r="D8" i="146"/>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2595" i="106"/>
  <c r="D2595" i="106" s="1"/>
  <c r="J78" i="4"/>
  <c r="J81" i="4"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B6263" i="106" l="1"/>
  <c r="D6263" i="10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C11" i="146" l="1"/>
  <c r="D58" i="36"/>
  <c r="D82" i="4"/>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<sst xmlns="http://schemas.openxmlformats.org/spreadsheetml/2006/main" count="5231" uniqueCount="2131">
  <si>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</si>
  <si>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</si>
  <si>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</si>
  <si>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</si>
  <si>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</si>
  <si>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</si>
  <si>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</si>
  <si>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</si>
  <si>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</si>
  <si>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</si>
  <si>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</si>
  <si>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</si>
  <si>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</si>
  <si>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</si>
  <si>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</si>
  <si>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</si>
  <si>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</si>
  <si>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</si>
  <si>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</si>
  <si>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</si>
  <si>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</si>
  <si>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</si>
  <si>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</si>
  <si>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</si>
  <si>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</si>
  <si>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</si>
  <si>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</si>
  <si>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</si>
  <si>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</si>
  <si>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</si>
  <si>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</si>
  <si>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</si>
  <si>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</si>
  <si>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</si>
  <si>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</si>
  <si>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</si>
  <si>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</si>
  <si>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</si>
  <si>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</si>
  <si>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</si>
  <si>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</si>
  <si>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</si>
  <si>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</si>
  <si>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</si>
  <si>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</si>
  <si>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</si>
  <si>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</si>
  <si>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</si>
  <si>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</si>
  <si>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</si>
  <si>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</si>
  <si>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</si>
  <si>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</si>
  <si>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</si>
  <si>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</si>
  <si>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</si>
  <si>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</si>
  <si>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</si>
  <si>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</si>
  <si>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</si>
  <si>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</si>
  <si>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</si>
  <si>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</si>
  <si>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</si>
  <si>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</si>
  <si>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</si>
  <si>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</si>
  <si>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</si>
  <si>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</si>
  <si>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</si>
  <si>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</si>
  <si>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</si>
  <si>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</si>
  <si>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</si>
  <si>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</si>
  <si>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</si>
  <si>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</si>
  <si>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</si>
  <si>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</si>
  <si>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</si>
  <si>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</si>
  <si>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</si>
  <si>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</si>
  <si>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</si>
  <si>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</si>
  <si>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</si>
  <si>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</si>
  <si>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</si>
  <si>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</si>
  <si>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</si>
  <si>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</si>
  <si>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</si>
  <si>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</si>
  <si>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</si>
  <si>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</si>
  <si>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</si>
  <si>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</si>
  <si>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</si>
  <si>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</si>
  <si>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</si>
  <si>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</si>
  <si>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</si>
  <si>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</si>
  <si>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</si>
  <si>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</si>
  <si>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</si>
  <si>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</si>
  <si>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</si>
  <si>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</si>
  <si>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</si>
  <si>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</si>
  <si>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</si>
  <si>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</si>
  <si>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</si>
  <si>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</si>
  <si>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</si>
  <si>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</si>
  <si>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</si>
  <si>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</si>
  <si>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</si>
  <si>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</si>
  <si>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</si>
  <si>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</si>
  <si>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</si>
  <si>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</si>
  <si>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</si>
  <si>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</si>
  <si>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</si>
  <si>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</si>
  <si>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</si>
  <si>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</si>
  <si>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</si>
  <si>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</si>
  <si>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</si>
  <si>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</si>
  <si>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</si>
  <si>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</si>
  <si>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</si>
  <si>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</si>
  <si>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</si>
  <si>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</si>
  <si>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</si>
  <si>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</si>
  <si>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</si>
  <si>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</si>
  <si>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</si>
  <si>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</si>
  <si>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</si>
  <si>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</si>
  <si>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</si>
  <si>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</si>
  <si>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</si>
  <si>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</si>
  <si>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</si>
  <si>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</si>
  <si>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</si>
  <si>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</si>
  <si>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</si>
  <si>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</si>
  <si>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</si>
  <si>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</si>
  <si>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</si>
  <si>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</si>
  <si>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</si>
  <si>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</si>
  <si>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</si>
  <si>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</si>
  <si>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</si>
  <si>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</si>
  <si>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</si>
  <si>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</si>
  <si>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</si>
  <si>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</si>
  <si>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</si>
  <si>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</si>
  <si>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</si>
  <si>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</si>
  <si>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</si>
  <si>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</si>
  <si>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</si>
  <si>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</si>
  <si>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</si>
  <si>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</si>
  <si>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</si>
  <si>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</si>
  <si>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</si>
  <si>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</si>
  <si>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</si>
  <si>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</si>
  <si>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</si>
  <si>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</si>
  <si>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</si>
  <si>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</si>
  <si>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</si>
  <si>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</si>
  <si>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</si>
  <si>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</si>
  <si>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</si>
  <si>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</si>
  <si>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</si>
  <si>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</si>
  <si>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</si>
  <si>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</si>
  <si>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</si>
  <si>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</si>
  <si>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</si>
  <si>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</si>
  <si>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</si>
  <si>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</si>
  <si>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</si>
  <si>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</si>
  <si>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</si>
  <si>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</si>
  <si>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</si>
  <si>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</si>
  <si>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</si>
  <si>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</si>
  <si>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</si>
  <si>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</si>
  <si>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</si>
  <si>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</si>
  <si>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</si>
  <si>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</si>
  <si>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</si>
  <si>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</si>
  <si>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</si>
  <si>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</si>
  <si>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</si>
  <si>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</si>
  <si>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</si>
  <si>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</si>
  <si>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</si>
  <si>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</si>
  <si>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</si>
  <si>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</si>
  <si>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</si>
  <si>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</si>
  <si>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</si>
  <si>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</si>
  <si>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</si>
  <si>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</si>
  <si>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</si>
  <si>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</si>
  <si>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</si>
  <si>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</si>
  <si>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</si>
  <si>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</si>
  <si>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</si>
  <si>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</si>
  <si>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</si>
  <si>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</si>
  <si>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</si>
  <si>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</si>
  <si>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</si>
  <si>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</si>
  <si>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</si>
  <si>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</si>
  <si>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</si>
  <si>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</si>
  <si>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</si>
  <si>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</si>
  <si>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</si>
  <si>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</si>
  <si>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</si>
  <si>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</si>
  <si>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</si>
  <si>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</si>
  <si>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</si>
  <si>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</si>
  <si>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</si>
  <si>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</si>
  <si>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</si>
  <si>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</si>
  <si>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</si>
  <si>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</si>
  <si>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</si>
  <si>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</si>
  <si>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</si>
  <si>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</si>
  <si>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</si>
  <si>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</si>
  <si>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</si>
  <si>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</si>
  <si>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</si>
  <si>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</si>
  <si>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</si>
  <si>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</si>
  <si>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</si>
  <si>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</si>
  <si>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</si>
  <si>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</si>
  <si>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</si>
  <si>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</si>
  <si>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</si>
  <si>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</si>
  <si>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</si>
  <si>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</si>
  <si>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</si>
  <si>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</si>
  <si>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</si>
  <si>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</si>
  <si>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</si>
  <si>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</si>
  <si>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</si>
  <si>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</si>
  <si>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</si>
  <si>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</si>
  <si>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</si>
  <si>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</si>
  <si>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</si>
  <si>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</si>
  <si>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</si>
  <si>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</si>
  <si>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</si>
  <si>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</si>
  <si>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</si>
  <si>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</si>
  <si>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</si>
  <si>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</si>
  <si>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</si>
  <si>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</si>
  <si>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</si>
  <si>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</si>
  <si>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</si>
  <si>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</si>
  <si>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</si>
  <si>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</si>
  <si>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</si>
  <si>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</si>
  <si>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</si>
  <si>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</si>
  <si>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</si>
  <si>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</si>
  <si>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</si>
  <si>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</si>
  <si>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</si>
  <si>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</si>
  <si>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</si>
  <si>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</si>
  <si>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</si>
  <si>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</si>
  <si>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</si>
  <si>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</si>
  <si>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</si>
  <si>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</si>
  <si>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</si>
  <si>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</si>
  <si>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</si>
  <si>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</si>
  <si>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</si>
  <si>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</si>
  <si>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</si>
  <si>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</si>
  <si>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</si>
  <si>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</si>
  <si>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</si>
  <si>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</si>
  <si>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</si>
  <si>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</si>
  <si>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</si>
  <si>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</si>
  <si>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</si>
  <si>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</si>
  <si>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</si>
  <si>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</si>
  <si>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</si>
  <si>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</si>
  <si>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</si>
  <si>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</si>
  <si>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</si>
  <si>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</si>
  <si>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</si>
  <si>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</si>
  <si>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</si>
  <si>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</si>
  <si>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</si>
  <si>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</si>
  <si>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</si>
  <si>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</si>
  <si>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</si>
  <si>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</si>
  <si>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</si>
  <si>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</si>
  <si>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</si>
  <si>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</si>
  <si>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</si>
  <si>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</si>
  <si>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</si>
  <si>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</si>
  <si>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</si>
  <si>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</si>
  <si>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</si>
  <si>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</si>
  <si>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</si>
  <si>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</si>
  <si>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</si>
  <si>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</si>
  <si>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</si>
  <si>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</si>
  <si>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</si>
  <si>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</si>
  <si>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</si>
  <si>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</si>
  <si>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</si>
  <si>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</si>
  <si>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</si>
  <si>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</si>
  <si>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</si>
  <si>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</si>
  <si>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</si>
  <si>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</si>
  <si>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</si>
  <si>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</si>
  <si>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</si>
  <si>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</si>
  <si>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</si>
  <si>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</si>
  <si>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</si>
  <si>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</si>
  <si>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</si>
  <si>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</si>
  <si>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</si>
  <si>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</si>
  <si>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</si>
  <si>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</si>
  <si>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</si>
  <si>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</si>
  <si>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</si>
  <si>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</si>
  <si>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</si>
  <si>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</si>
  <si>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</si>
  <si>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</si>
  <si>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</si>
  <si>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</si>
  <si>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</si>
  <si>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</si>
  <si>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</si>
  <si>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</si>
  <si>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</si>
  <si>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</si>
  <si>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</si>
  <si>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</si>
  <si>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</si>
  <si>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</si>
  <si>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</si>
  <si>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</si>
  <si>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</si>
  <si>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</si>
  <si>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</si>
  <si>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</si>
  <si>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</si>
  <si>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</si>
  <si>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</si>
  <si>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</si>
  <si>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</si>
  <si>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</si>
  <si>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</si>
  <si>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</si>
  <si>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</si>
  <si>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</si>
  <si>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</si>
  <si>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</si>
  <si>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</si>
  <si>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</si>
  <si>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</si>
  <si>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</si>
  <si>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</si>
  <si>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</si>
  <si>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</si>
  <si>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</si>
  <si>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</si>
  <si>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</si>
  <si>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</si>
  <si>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</si>
  <si>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</si>
  <si>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</si>
  <si>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</si>
  <si>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</si>
  <si>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</si>
  <si>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</si>
  <si>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</si>
  <si>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</si>
  <si>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</si>
  <si>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</si>
  <si>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</si>
  <si>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</si>
  <si>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</si>
  <si>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</si>
  <si>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</si>
  <si>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</si>
  <si>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</si>
  <si>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</si>
  <si>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</si>
  <si>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</si>
  <si>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</si>
  <si>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</si>
  <si>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</si>
  <si>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</si>
  <si>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</si>
  <si>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</si>
  <si>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</si>
  <si>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</si>
  <si>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</si>
  <si>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</si>
  <si>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</si>
  <si>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</si>
  <si>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</si>
  <si>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</si>
  <si>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</si>
  <si>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</si>
  <si>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</si>
  <si>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</si>
  <si>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</si>
  <si>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</si>
  <si>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</si>
  <si>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</si>
  <si>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</si>
  <si>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</si>
  <si>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</si>
  <si>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</si>
  <si>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</si>
  <si>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</si>
  <si>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</si>
  <si>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</si>
  <si>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</si>
  <si>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</si>
  <si>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</si>
  <si>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</si>
  <si>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</si>
  <si>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</si>
  <si>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</si>
  <si>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</si>
  <si>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</si>
  <si>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</si>
  <si>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</si>
  <si>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</si>
  <si>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</si>
  <si>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</si>
  <si>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</si>
  <si>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</si>
  <si>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</si>
  <si>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</si>
  <si>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</si>
  <si>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</si>
  <si>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</si>
  <si>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</si>
  <si>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</si>
  <si>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</si>
  <si>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</si>
  <si>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</si>
  <si>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</si>
  <si>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</si>
  <si>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</si>
  <si>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</si>
  <si>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</si>
  <si>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</si>
  <si>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</si>
  <si>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</si>
  <si>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</si>
  <si>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</si>
  <si>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</si>
  <si>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</si>
  <si>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</si>
  <si>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</si>
  <si>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</si>
  <si>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</si>
  <si>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</si>
  <si>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</si>
  <si>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</si>
  <si>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</si>
  <si>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</si>
  <si>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</si>
  <si>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</si>
  <si>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</si>
  <si>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</si>
  <si>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</si>
  <si>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</si>
  <si>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</si>
  <si>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</si>
  <si>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</si>
  <si>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</si>
  <si>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</si>
  <si>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</si>
  <si>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</si>
  <si>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</si>
  <si>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</si>
  <si>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</si>
  <si>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</si>
  <si>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</si>
  <si>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</si>
  <si>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</si>
  <si>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</si>
  <si>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</si>
  <si>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</si>
  <si>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</si>
  <si>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</si>
  <si>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</si>
  <si>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</si>
  <si>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</si>
  <si>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</si>
  <si>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</si>
  <si>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</si>
  <si>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</si>
  <si>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</si>
  <si>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</si>
  <si>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</si>
  <si>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</si>
  <si>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</si>
  <si>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</si>
  <si>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</si>
  <si>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</si>
  <si>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</si>
  <si>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</si>
  <si>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</si>
  <si>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</si>
  <si>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</si>
  <si>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</si>
  <si>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</si>
  <si>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</si>
  <si>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</si>
  <si>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</si>
  <si>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</si>
  <si>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</si>
  <si>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</si>
  <si>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</si>
  <si>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</si>
  <si>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</si>
  <si>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</si>
  <si>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</si>
  <si>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</si>
  <si>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</si>
  <si>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</si>
  <si>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</si>
  <si>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</si>
  <si>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</si>
  <si>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</si>
  <si>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</si>
  <si>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</si>
  <si>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</si>
  <si>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</si>
  <si>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</si>
  <si>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</si>
  <si>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</si>
  <si>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</si>
  <si>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</si>
  <si>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</si>
  <si>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</si>
  <si>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</si>
  <si>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</si>
  <si>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</si>
  <si>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</si>
  <si>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</si>
  <si>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</si>
  <si>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</si>
  <si>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</si>
  <si>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</si>
  <si>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</si>
  <si>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</si>
  <si>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</si>
  <si>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</si>
  <si>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</si>
  <si>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</si>
  <si>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</si>
  <si>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</si>
  <si>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</si>
  <si>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</si>
  <si>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</si>
  <si>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</si>
  <si>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</si>
  <si>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</si>
  <si>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</si>
  <si>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</si>
  <si>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</si>
  <si>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</si>
  <si>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</si>
  <si>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</si>
  <si>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</si>
  <si>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</si>
  <si>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</si>
  <si>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</si>
  <si>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</si>
  <si>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</si>
  <si>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</si>
  <si>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</si>
  <si>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</si>
  <si>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</si>
  <si>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</si>
  <si>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</si>
  <si>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</si>
  <si>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</si>
  <si>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</si>
  <si>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</si>
  <si>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</si>
  <si>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</si>
  <si>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</si>
  <si>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</si>
  <si>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</si>
  <si>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</si>
  <si>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</si>
  <si>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</si>
  <si>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</si>
  <si>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</si>
  <si>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</si>
  <si>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</si>
  <si>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</si>
  <si>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</si>
  <si>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</si>
  <si>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</si>
  <si>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</si>
  <si>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</si>
  <si>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</si>
  <si>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</si>
  <si>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</si>
  <si>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</si>
  <si>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</si>
  <si>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</si>
  <si>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</si>
  <si>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</si>
  <si>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</si>
  <si>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</si>
  <si>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</si>
  <si>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</si>
  <si>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</si>
  <si>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</si>
  <si>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</si>
  <si>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</si>
  <si>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</si>
  <si>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</si>
  <si>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</si>
  <si>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</si>
  <si>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</si>
  <si>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</si>
  <si>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</si>
  <si>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</si>
  <si>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</si>
  <si>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</si>
  <si>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</si>
  <si>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</si>
  <si>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</si>
  <si>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</si>
  <si>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</si>
  <si>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</si>
  <si>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</si>
  <si>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</si>
  <si>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</si>
  <si>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</si>
  <si>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</si>
  <si>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</si>
  <si>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</si>
  <si>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</si>
  <si>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</si>
  <si>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</si>
  <si>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</si>
  <si>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</si>
  <si>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</si>
  <si>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</si>
  <si>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</si>
  <si>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</si>
  <si>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</si>
  <si>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</si>
  <si>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</si>
  <si>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</si>
  <si>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</si>
  <si>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</si>
  <si>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</si>
  <si>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</si>
  <si>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</si>
  <si>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</si>
  <si>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</si>
  <si>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</si>
  <si>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</si>
  <si>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</si>
  <si>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</si>
  <si>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</si>
  <si>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</si>
  <si>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</si>
  <si>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</si>
  <si>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</si>
  <si>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</si>
  <si>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</si>
  <si>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</si>
  <si>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</si>
  <si>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</si>
  <si>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</si>
  <si>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</si>
  <si>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</si>
  <si>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</si>
  <si>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</si>
  <si>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</si>
  <si>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</si>
  <si>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</si>
  <si>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</si>
  <si>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</si>
  <si>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</si>
  <si>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</si>
  <si>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</si>
  <si>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</si>
  <si>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</si>
  <si>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</si>
  <si>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</si>
  <si>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</si>
  <si>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</si>
  <si>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</si>
  <si>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</si>
  <si>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</si>
  <si>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</si>
  <si>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</si>
  <si>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</si>
  <si>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</si>
  <si>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</si>
  <si>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</si>
  <si>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</si>
  <si>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</si>
  <si>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</si>
  <si>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</si>
  <si>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</si>
  <si>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</si>
  <si>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</si>
  <si>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</si>
  <si>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</si>
  <si>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</si>
  <si>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</si>
  <si>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</si>
  <si>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</si>
  <si>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</si>
  <si>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</si>
  <si>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</si>
  <si>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</si>
  <si>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</si>
  <si>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</si>
  <si>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</si>
  <si>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</si>
  <si>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</si>
  <si>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</si>
  <si>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</si>
  <si>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</si>
  <si>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</si>
  <si>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</si>
  <si>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</si>
  <si>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</si>
  <si>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</si>
  <si>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</si>
  <si>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</si>
  <si>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</si>
  <si>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</si>
  <si>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</si>
  <si>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</si>
  <si>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</si>
  <si>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</si>
  <si>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</si>
  <si>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</si>
  <si>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</si>
  <si>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</si>
  <si>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</si>
  <si>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</si>
  <si>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</si>
  <si>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</si>
  <si>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</si>
  <si>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</si>
  <si>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</si>
  <si>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</si>
  <si>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</si>
  <si>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</si>
  <si>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</si>
  <si>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</si>
  <si>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</si>
  <si>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</si>
  <si>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</si>
  <si>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</si>
  <si>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</si>
  <si>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</si>
  <si>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</si>
  <si>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</si>
  <si>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</si>
  <si>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</si>
  <si>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</si>
  <si>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</si>
  <si>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</si>
  <si>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</si>
  <si>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</si>
  <si>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</si>
  <si>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</si>
  <si>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</si>
  <si>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</si>
  <si>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</si>
  <si>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</si>
  <si>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</si>
  <si>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</si>
  <si>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</si>
  <si>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</si>
  <si>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</si>
  <si>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</si>
  <si>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</si>
  <si>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</si>
  <si>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</si>
  <si>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</si>
  <si>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</si>
  <si>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</si>
  <si>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</si>
  <si>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</si>
  <si>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</si>
  <si>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</si>
  <si>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</si>
  <si>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</si>
  <si>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</si>
  <si>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</si>
  <si>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</si>
  <si>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</si>
  <si>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</si>
  <si>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</si>
  <si>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</si>
  <si>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</si>
  <si>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</si>
  <si>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</si>
  <si>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</si>
  <si>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</si>
  <si>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</si>
  <si>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</si>
  <si>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</si>
  <si>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</si>
  <si>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</si>
  <si>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</si>
  <si>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</si>
  <si>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</si>
  <si>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</si>
  <si>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</si>
  <si>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</si>
  <si>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</si>
  <si>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</si>
  <si>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</si>
  <si>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</si>
  <si>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</si>
  <si>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</si>
  <si>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</si>
  <si>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</si>
  <si>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</si>
  <si>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</si>
  <si>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</si>
  <si>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</si>
  <si>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</si>
  <si>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</si>
  <si>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</si>
  <si>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</si>
  <si>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</si>
  <si>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</si>
  <si>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</si>
  <si>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</si>
  <si>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</si>
  <si>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</si>
  <si>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</si>
  <si>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</si>
  <si>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</si>
  <si>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</si>
  <si>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</si>
  <si>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</si>
  <si>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</si>
  <si>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</si>
  <si>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</si>
  <si>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</si>
  <si>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</si>
  <si>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</si>
  <si>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</si>
  <si>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</si>
  <si>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</si>
  <si>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</si>
  <si>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</si>
  <si>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</si>
  <si>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</si>
  <si>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</si>
  <si>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</si>
  <si>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</si>
  <si>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</si>
  <si>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</si>
  <si>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</si>
  <si>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</si>
  <si>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</si>
  <si>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</si>
  <si>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</si>
  <si>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</si>
  <si>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</si>
  <si>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</si>
  <si>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</si>
  <si>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</si>
  <si>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</si>
  <si>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</si>
  <si>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</si>
  <si>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</si>
  <si>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</si>
  <si>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</si>
  <si>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</si>
  <si>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</si>
  <si>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</si>
  <si>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</si>
  <si>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</si>
  <si>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</si>
  <si>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</si>
  <si>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</si>
  <si>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</si>
  <si>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</si>
  <si>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</si>
  <si>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</si>
  <si>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</si>
  <si>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</si>
  <si>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</si>
  <si>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</si>
  <si>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</si>
  <si>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</si>
  <si>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</si>
  <si>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</si>
  <si>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</si>
  <si>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</si>
  <si>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</si>
  <si>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</si>
  <si>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</si>
  <si>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</si>
  <si>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</si>
  <si>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</si>
  <si>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</si>
  <si>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</si>
  <si>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</si>
  <si>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</si>
  <si>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</si>
  <si>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</si>
  <si>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</si>
  <si>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</si>
  <si>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</si>
  <si>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</si>
  <si>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</si>
  <si>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</si>
  <si>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</si>
  <si>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</si>
  <si>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</si>
  <si>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</si>
  <si>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</si>
  <si>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</si>
  <si>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</si>
  <si>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</si>
  <si>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</si>
  <si>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</si>
  <si>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</si>
  <si>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</si>
  <si>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</si>
  <si>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</si>
  <si>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</si>
  <si>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</si>
  <si>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</si>
  <si>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</si>
  <si>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</si>
  <si>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</si>
  <si>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</si>
  <si>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</si>
  <si>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</si>
  <si>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</si>
  <si>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</si>
  <si>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</si>
  <si>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</si>
  <si>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</si>
  <si>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</si>
  <si>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</si>
  <si>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</si>
  <si>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</si>
  <si>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</si>
  <si>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</si>
  <si>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</si>
  <si>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</si>
  <si>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</si>
  <si>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</si>
  <si>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</si>
  <si>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</si>
  <si>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</si>
  <si>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</si>
  <si>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</si>
  <si>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</si>
  <si>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</si>
  <si>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</si>
  <si>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</si>
  <si>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</si>
  <si>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</si>
  <si>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</si>
  <si>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</si>
  <si>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</si>
  <si>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</si>
  <si>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</si>
  <si>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</si>
  <si>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</si>
  <si>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</si>
  <si>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</si>
  <si>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</si>
  <si>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</si>
  <si>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</si>
  <si>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</si>
  <si>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</si>
  <si>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</si>
  <si>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</si>
  <si>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</si>
  <si>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</si>
  <si>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</si>
  <si>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</si>
  <si>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</si>
  <si>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</si>
  <si>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</si>
  <si>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</si>
  <si>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</si>
  <si>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</si>
  <si>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</si>
  <si>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</si>
  <si>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</si>
  <si>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</si>
  <si>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</si>
  <si>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</si>
  <si>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</si>
  <si>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</si>
  <si>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</si>
  <si>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</si>
  <si>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</si>
  <si>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</si>
  <si>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</si>
  <si>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</si>
  <si>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</si>
  <si>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</si>
  <si>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</si>
  <si>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</si>
  <si>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</si>
  <si>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</si>
  <si>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</si>
  <si>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</si>
  <si>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</si>
  <si>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</si>
  <si>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</si>
  <si>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</si>
  <si>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</si>
  <si>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</si>
  <si>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</si>
  <si>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</si>
  <si>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</si>
  <si>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</si>
  <si>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</si>
  <si>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</si>
  <si>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</si>
  <si>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</si>
  <si>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</si>
  <si>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</si>
  <si>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</si>
  <si>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</si>
  <si>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</si>
  <si>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</si>
  <si>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</si>
  <si>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</si>
  <si>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</si>
  <si>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</si>
  <si>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</si>
  <si>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</si>
  <si>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</si>
  <si>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</si>
  <si>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</si>
  <si>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</si>
  <si>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</si>
  <si>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</si>
  <si>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</si>
  <si>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</si>
  <si>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</si>
  <si>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</si>
  <si>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</si>
  <si>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</si>
  <si>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</si>
  <si>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</si>
  <si>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</si>
  <si>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</si>
  <si>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</si>
  <si>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</si>
  <si>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</si>
  <si>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</si>
  <si>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</si>
  <si>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</si>
  <si>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</si>
  <si>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</si>
  <si>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</si>
  <si>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</si>
  <si>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</si>
  <si>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</si>
  <si>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</si>
  <si>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</si>
  <si>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</si>
  <si>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</si>
  <si>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</si>
  <si>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</si>
  <si>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</si>
  <si>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</si>
  <si>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</si>
  <si>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</si>
  <si>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</si>
  <si>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</si>
  <si>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</si>
  <si>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</si>
  <si>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</si>
  <si>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</si>
  <si>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</si>
  <si>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</si>
  <si>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</si>
  <si>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</si>
  <si>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</si>
  <si>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</si>
  <si>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</si>
  <si>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</si>
  <si>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</si>
  <si>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</si>
  <si>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</si>
  <si>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</si>
  <si>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</si>
  <si>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</si>
  <si>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</si>
  <si>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</si>
  <si>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</si>
  <si>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</si>
  <si>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</si>
  <si>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</si>
  <si>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</si>
  <si>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</si>
  <si>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</si>
  <si>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</si>
  <si>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</si>
  <si>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</si>
  <si>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</si>
  <si>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</si>
  <si>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</si>
  <si>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</si>
  <si>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</si>
  <si>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</si>
  <si>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</si>
  <si>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</si>
  <si>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</si>
  <si>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</si>
  <si>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</si>
  <si>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</si>
  <si>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</si>
  <si>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</si>
  <si>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</si>
  <si>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</si>
  <si>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</si>
  <si>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</si>
  <si>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</si>
  <si>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</si>
  <si>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</si>
  <si>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</si>
  <si>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</si>
  <si>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</si>
  <si>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</si>
  <si>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</si>
  <si>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</si>
  <si>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</si>
  <si>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</si>
  <si>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</si>
  <si>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</si>
  <si>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</si>
  <si>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</si>
  <si>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</si>
  <si>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</si>
  <si>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</si>
  <si>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</si>
  <si>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</si>
  <si>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</si>
  <si>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</si>
  <si>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</si>
  <si>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</si>
  <si>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</si>
  <si>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</si>
  <si>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</si>
  <si>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</si>
  <si>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</si>
  <si>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</si>
  <si>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</si>
  <si>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</si>
  <si>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</si>
  <si>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</si>
  <si>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</si>
  <si>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</si>
  <si>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</si>
  <si>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</si>
  <si>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</si>
  <si>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</si>
  <si>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</si>
  <si>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</si>
  <si>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</si>
  <si>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</si>
  <si>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</si>
  <si>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</si>
  <si>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</si>
  <si>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</si>
  <si>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</si>
  <si>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</si>
  <si>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</si>
  <si>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</si>
  <si>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</si>
  <si>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</si>
  <si>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</si>
  <si>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</si>
  <si>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</si>
  <si>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</si>
  <si>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</si>
  <si>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</si>
  <si>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</si>
  <si>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</si>
  <si>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</si>
  <si>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</si>
  <si>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</si>
  <si>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</si>
  <si>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</si>
  <si>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</si>
  <si>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</si>
  <si>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</si>
  <si>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</si>
  <si>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</si>
  <si>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</si>
  <si>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</si>
  <si>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</si>
  <si>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</si>
  <si>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</si>
  <si>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</si>
  <si>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</si>
  <si>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</si>
  <si>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</si>
  <si>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</si>
  <si>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</si>
  <si>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</si>
  <si>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</si>
  <si>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</si>
  <si>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</si>
  <si>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</si>
  <si>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</si>
  <si>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</si>
  <si>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</si>
  <si>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</si>
  <si>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</si>
  <si>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</si>
  <si>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</si>
  <si>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</si>
  <si>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</si>
  <si>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</si>
  <si>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</si>
  <si>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</si>
  <si>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</si>
  <si>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</si>
  <si>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</si>
  <si>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</si>
  <si>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</si>
  <si>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</si>
  <si>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</si>
  <si>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</si>
  <si>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</si>
  <si>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</si>
  <si>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</si>
  <si>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</si>
  <si>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</si>
  <si>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</si>
  <si>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</si>
  <si>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</si>
  <si>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</si>
  <si>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</si>
  <si>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</si>
  <si>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</si>
  <si>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</si>
  <si>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</si>
  <si>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</si>
  <si>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</si>
  <si>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</si>
  <si>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</si>
  <si>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</si>
  <si>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</si>
  <si>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</si>
  <si>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</si>
  <si>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</si>
  <si>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</si>
  <si>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</si>
  <si>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</si>
  <si>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</si>
  <si>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</si>
  <si>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</si>
  <si>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</si>
  <si>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</si>
  <si>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</si>
  <si>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</si>
  <si>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</si>
  <si>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</si>
  <si>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</si>
  <si>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</si>
  <si>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</si>
  <si>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</si>
  <si>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</si>
  <si>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</si>
  <si>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</si>
  <si>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</si>
  <si>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</si>
  <si>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</si>
  <si>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</si>
  <si>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</si>
  <si>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</si>
  <si>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</si>
  <si>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</si>
  <si>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</si>
  <si>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</si>
  <si>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</si>
  <si>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</si>
  <si>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</si>
  <si>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</si>
  <si>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</si>
  <si>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</si>
  <si>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</si>
  <si>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</si>
  <si>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</si>
  <si>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</si>
  <si>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</si>
  <si>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</si>
  <si>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</si>
  <si>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</si>
  <si>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</si>
  <si>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</si>
  <si>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</si>
  <si>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</si>
  <si>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</si>
  <si>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</si>
  <si>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</si>
  <si>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</si>
  <si>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</si>
  <si>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</si>
  <si>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</si>
  <si>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</si>
  <si>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</si>
  <si>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</si>
  <si>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</si>
  <si>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</si>
  <si>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</si>
  <si>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</si>
  <si>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</si>
  <si>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</si>
  <si>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</si>
  <si>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</si>
  <si>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</si>
  <si>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</si>
  <si>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</si>
  <si>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</si>
  <si>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</si>
  <si>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</si>
  <si>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</si>
  <si>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</si>
  <si>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</si>
  <si>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</si>
  <si>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</si>
  <si>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</si>
  <si>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</si>
  <si>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</si>
  <si>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</si>
  <si>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</si>
  <si>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</si>
  <si>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</si>
  <si>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</si>
  <si>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</si>
  <si>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</si>
  <si>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</si>
  <si>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</si>
  <si>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</si>
  <si>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</si>
  <si>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</si>
  <si>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</si>
  <si>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</si>
  <si>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</si>
  <si>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</si>
  <si>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</si>
  <si>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</si>
  <si>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</si>
  <si>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</si>
  <si>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</si>
  <si>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</si>
  <si>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</si>
  <si>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</si>
  <si>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</si>
  <si>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</si>
  <si>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</si>
  <si>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</si>
  <si>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</si>
  <si>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</si>
  <si>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</si>
  <si>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</si>
  <si>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</si>
  <si>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</si>
  <si>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</si>
  <si>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</si>
  <si>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</si>
  <si>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</si>
  <si>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</si>
  <si>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</si>
  <si>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</si>
  <si>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</si>
  <si>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</si>
  <si>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</si>
  <si>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</si>
  <si>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</si>
  <si>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</si>
  <si>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</si>
  <si>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</si>
  <si>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</si>
  <si>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</si>
  <si>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</si>
  <si>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</si>
  <si>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</si>
  <si>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</si>
  <si>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</si>
  <si>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</si>
  <si>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</si>
  <si>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</si>
  <si>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</si>
  <si>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</si>
  <si>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</si>
  <si>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</si>
  <si>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</si>
  <si>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</si>
  <si>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</si>
  <si>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</si>
  <si>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</si>
  <si>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</si>
  <si>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</si>
  <si>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</si>
  <si>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</si>
  <si>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</si>
  <si>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</si>
  <si>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</si>
  <si>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</si>
  <si>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</si>
  <si>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</si>
  <si>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</si>
  <si>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</si>
  <si>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</si>
  <si>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</si>
  <si>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</si>
  <si>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</si>
  <si>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</si>
  <si>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</si>
  <si>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</si>
  <si>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</si>
  <si>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</si>
  <si>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</si>
  <si>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</si>
  <si>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</si>
  <si>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</si>
  <si>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</si>
  <si>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</si>
  <si>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</si>
  <si>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</si>
  <si>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</si>
  <si>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</si>
  <si>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</si>
  <si>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</si>
  <si>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</si>
  <si>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</si>
  <si>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</si>
  <si>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</si>
  <si>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</si>
  <si>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</si>
  <si>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</si>
  <si>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</si>
  <si>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</si>
  <si>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</si>
  <si>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</si>
  <si>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</si>
  <si>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</si>
  <si>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</si>
  <si>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</si>
  <si>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</si>
  <si>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</si>
  <si>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</si>
  <si>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</si>
  <si>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</si>
  <si>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</si>
  <si>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</si>
  <si>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</si>
  <si>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</si>
  <si>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</si>
  <si>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</si>
  <si>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</si>
  <si>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</si>
  <si>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</si>
  <si>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</si>
  <si>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</si>
  <si>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</si>
  <si>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</si>
  <si>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</si>
  <si>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</si>
  <si>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</si>
  <si>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</si>
  <si>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</si>
  <si>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</si>
  <si>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</si>
  <si>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</si>
  <si>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</si>
  <si>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</si>
  <si>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</si>
  <si>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</si>
  <si>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</si>
  <si>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</si>
  <si>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</si>
  <si>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</si>
  <si>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</si>
  <si>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</si>
  <si>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</si>
  <si>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</si>
  <si>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</si>
  <si>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</si>
  <si>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</si>
  <si>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</si>
  <si>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</si>
  <si>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</si>
  <si>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</si>
  <si>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</si>
  <si>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</si>
  <si>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</si>
  <si>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</si>
  <si>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</si>
  <si>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</si>
  <si>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</si>
  <si>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</si>
  <si>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</si>
  <si>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</si>
  <si>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</si>
  <si>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</si>
  <si>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</si>
  <si>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</si>
  <si>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</si>
  <si>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</si>
  <si>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</si>
  <si>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</si>
  <si>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</si>
  <si>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</si>
  <si>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</si>
  <si>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</si>
  <si>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</si>
  <si>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</si>
  <si>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</si>
  <si>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</si>
  <si>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</si>
  <si>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</si>
  <si>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</si>
  <si>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</si>
  <si>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</si>
  <si>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</si>
  <si>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</si>
  <si>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</si>
  <si>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</si>
  <si>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</si>
  <si>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</si>
  <si>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</si>
  <si>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</si>
  <si>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</si>
  <si>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</si>
  <si>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</si>
  <si>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</si>
  <si>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</si>
  <si>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</si>
  <si>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</si>
  <si>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</si>
  <si>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</si>
  <si>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</si>
  <si>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</si>
  <si>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</si>
  <si>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</si>
  <si>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</si>
  <si>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</si>
  <si>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</si>
  <si>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</si>
  <si>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</si>
  <si>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</si>
  <si>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</si>
  <si>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</si>
  <si>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</si>
  <si>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</si>
  <si>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</si>
  <si>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</si>
  <si>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</si>
  <si>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</si>
  <si>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</si>
  <si>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</si>
  <si>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</si>
  <si>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</si>
  <si>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</si>
  <si>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</si>
  <si>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</si>
  <si>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</si>
  <si>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</si>
  <si>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</si>
  <si>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</si>
  <si>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</si>
  <si>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</si>
  <si>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</si>
  <si>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</si>
  <si>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</si>
  <si>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</si>
  <si>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</si>
  <si>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</si>
  <si>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</si>
  <si>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</si>
  <si>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</si>
  <si>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</si>
  <si>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</si>
  <si>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</si>
  <si>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</si>
  <si>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</si>
  <si>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</si>
  <si>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</si>
  <si>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</si>
  <si>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</si>
  <si>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</si>
  <si>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</si>
  <si>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</si>
  <si>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</si>
  <si>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</si>
  <si>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</si>
  <si>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</si>
  <si>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</si>
  <si>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</si>
  <si>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</si>
  <si>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</si>
  <si>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</si>
  <si>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</si>
  <si>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</si>
  <si>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</si>
  <si>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</si>
  <si>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</si>
  <si>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</si>
  <si>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</si>
  <si>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</si>
  <si>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</si>
  <si>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</si>
  <si>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</si>
  <si>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</si>
  <si>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</si>
  <si>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</si>
  <si>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</si>
  <si>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</si>
  <si>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</si>
  <si>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</si>
  <si>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</si>
  <si>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</si>
  <si>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</si>
  <si>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</si>
  <si>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</si>
  <si>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</si>
  <si>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</si>
  <si>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</si>
  <si>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</si>
  <si>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</si>
  <si>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</si>
  <si>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</si>
  <si>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</si>
  <si>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</si>
  <si>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</si>
  <si>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</si>
  <si>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</si>
  <si>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</si>
  <si>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</si>
  <si>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</si>
  <si>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</si>
  <si>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</si>
  <si>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</si>
  <si>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</si>
  <si>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</si>
  <si>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</si>
  <si>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</si>
  <si>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</si>
  <si>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</si>
  <si>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</si>
  <si>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</si>
  <si>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</si>
  <si>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</si>
  <si>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</si>
  <si>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</si>
  <si>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</si>
  <si>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</si>
  <si>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</si>
  <si>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</si>
  <si>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</si>
  <si>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</si>
  <si>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</si>
  <si>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</si>
  <si>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</si>
  <si>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</si>
  <si>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</si>
  <si>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</si>
  <si>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</si>
  <si>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</si>
  <si>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</si>
  <si>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</si>
  <si>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</si>
  <si>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</si>
  <si>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</si>
  <si>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</si>
  <si>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</si>
  <si>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</si>
  <si>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</si>
  <si>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</si>
  <si>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</si>
  <si>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</si>
  <si>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</si>
  <si>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</si>
  <si>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</si>
  <si>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</si>
  <si>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</si>
  <si>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</si>
  <si>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</si>
  <si>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</si>
  <si>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</si>
  <si>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</si>
  <si>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</si>
  <si>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</si>
  <si>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</si>
  <si>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</si>
  <si>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</si>
  <si>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</si>
  <si>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</si>
  <si>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</si>
  <si>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</si>
  <si>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</si>
  <si>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</si>
  <si>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</si>
  <si>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</si>
  <si>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</si>
  <si>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</si>
  <si>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</si>
  <si>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</si>
  <si>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</si>
  <si>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</si>
  <si>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</si>
  <si>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</si>
  <si>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</si>
  <si>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</si>
  <si>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</si>
  <si>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</si>
  <si>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</si>
  <si>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</si>
  <si>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</si>
  <si>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</si>
  <si>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</si>
  <si>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</si>
  <si>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</si>
  <si>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</si>
  <si>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</si>
  <si>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</si>
  <si>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</si>
  <si>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</si>
  <si>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</si>
  <si>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</si>
  <si>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</si>
  <si>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</si>
  <si>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</si>
  <si>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</si>
  <si>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</si>
  <si>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</si>
  <si>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</si>
  <si>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</si>
  <si>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</si>
  <si>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</si>
  <si>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</si>
  <si>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</si>
  <si>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</si>
  <si>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</si>
  <si>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</si>
  <si>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</si>
  <si>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</si>
  <si>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</si>
  <si>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</si>
  <si>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</si>
  <si>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</si>
  <si>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</si>
  <si>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</si>
  <si>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</si>
  <si>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</si>
  <si>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</si>
  <si>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</si>
  <si>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</si>
  <si>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</si>
  <si>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</si>
  <si>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</si>
  <si>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</si>
  <si>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</si>
  <si>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</si>
  <si>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</si>
  <si>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</si>
  <si>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</si>
  <si>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</si>
  <si>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</si>
  <si>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</si>
  <si>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</si>
  <si>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</si>
  <si>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</si>
  <si>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</si>
  <si>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</si>
  <si>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</si>
  <si>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</si>
  <si>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</si>
  <si>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</si>
  <si>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</si>
  <si>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</si>
  <si>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</si>
  <si>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</si>
  <si>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</si>
  <si>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</si>
  <si>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</si>
  <si>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</si>
  <si>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</si>
  <si>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</si>
  <si>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</si>
  <si>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</si>
  <si>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</si>
  <si>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</si>
  <si>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</si>
  <si>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</si>
  <si>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</si>
  <si>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</si>
  <si>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</si>
  <si>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</si>
  <si>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</si>
  <si>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</si>
  <si>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</si>
  <si>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</si>
  <si>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</si>
  <si>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</si>
  <si>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</si>
  <si>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</si>
  <si>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</si>
  <si>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</si>
  <si>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</si>
  <si>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</si>
  <si>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</si>
  <si>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</si>
  <si>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</si>
  <si>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</si>
  <si>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</si>
  <si>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</si>
  <si>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</si>
  <si>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</si>
  <si>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</si>
  <si>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</si>
  <si>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</si>
  <si>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</si>
  <si>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</si>
  <si>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</si>
  <si>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</si>
  <si>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</si>
  <si>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</si>
  <si>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</si>
  <si>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</si>
  <si>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</si>
  <si>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</si>
  <si>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</si>
  <si>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</si>
  <si>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</si>
  <si>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</si>
  <si>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</si>
  <si>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</si>
  <si>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</si>
  <si>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</si>
  <si>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</si>
  <si>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</si>
  <si>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</si>
  <si>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</si>
  <si>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</si>
  <si>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</si>
  <si>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</si>
  <si>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</si>
  <si>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</si>
  <si>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</si>
  <si>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</si>
  <si>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</si>
  <si>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</si>
  <si>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</si>
  <si>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</si>
  <si>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</si>
  <si>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</si>
  <si>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</si>
  <si>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</si>
  <si>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</si>
  <si>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</si>
  <si>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</si>
  <si>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</si>
  <si>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</si>
  <si>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</si>
  <si>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</si>
  <si>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</si>
  <si>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</si>
  <si>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</si>
  <si>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</si>
  <si>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</si>
  <si>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</si>
  <si>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</si>
  <si>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</si>
  <si>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</si>
  <si>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</si>
  <si>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</si>
  <si>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</si>
  <si>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</si>
  <si>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</si>
  <si>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</si>
  <si>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</si>
  <si>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</si>
  <si>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</si>
  <si>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</si>
  <si>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</si>
  <si>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</si>
  <si>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</si>
  <si>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</si>
  <si>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</si>
  <si>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</si>
  <si>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</si>
  <si>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</si>
  <si>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</si>
  <si>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</si>
  <si>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</si>
  <si>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</si>
  <si>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</si>
  <si>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</si>
  <si>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</si>
  <si>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</si>
  <si>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</si>
  <si>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</si>
  <si>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</si>
  <si>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</si>
  <si>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</si>
  <si>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</si>
  <si>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</si>
  <si>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</si>
  <si>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</si>
  <si>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</si>
  <si>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</si>
  <si>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</si>
  <si>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</si>
  <si>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</si>
  <si>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</si>
  <si>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</si>
  <si>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</si>
  <si>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</si>
  <si>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</si>
  <si>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</si>
  <si>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</si>
  <si>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</si>
  <si>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</si>
  <si>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</si>
  <si>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</si>
  <si>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</si>
  <si>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</si>
  <si>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</si>
  <si>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</si>
  <si>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</si>
  <si>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</si>
  <si>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Wabash</t>
  </si>
  <si>
    <t>218 W. 13th Street</t>
  </si>
  <si>
    <t>Mt. Carmel, IL</t>
  </si>
  <si>
    <t>cbleyer@wabash348..com</t>
  </si>
  <si>
    <t>Charles Bleyer</t>
  </si>
  <si>
    <t>cbleyer@wabash348.com</t>
  </si>
  <si>
    <t>618-262-4181</t>
  </si>
  <si>
    <t>618-262-7912</t>
  </si>
  <si>
    <t>Kemper CPA Group LLP</t>
  </si>
  <si>
    <t>Michelle Smith, CPA</t>
  </si>
  <si>
    <t xml:space="preserve">7200 Eagle Crest Blvd. </t>
  </si>
  <si>
    <t>Evansville</t>
  </si>
  <si>
    <t>IN</t>
  </si>
  <si>
    <t>812-421-8000</t>
  </si>
  <si>
    <t>812-421-2292</t>
  </si>
  <si>
    <t>mdsmith@kempercpa.com</t>
  </si>
  <si>
    <t>PDF in Opinion Page with signature</t>
  </si>
  <si>
    <t>General obligation -School Bond Series 2018</t>
  </si>
  <si>
    <t>x</t>
  </si>
  <si>
    <t>Wabash and Ohio Valley Special Ed District (See below)</t>
  </si>
  <si>
    <t>Line 26:  Includes school districts within the counties of Edwards, Gallatin, Hamilton, Hardin, Pope, Saline, Wabash, Wayne and White.</t>
  </si>
  <si>
    <t>Line 31:  Includes school districts within the counties of Edwards, Gallatin, Hamilton, Hardin, Pope, Saline, Wabash, Wayne and White.</t>
  </si>
  <si>
    <t>DEPARTMENT OF AGRICULTURE</t>
  </si>
  <si>
    <t>Non Cash - Commodities</t>
  </si>
  <si>
    <t>DEPARTMENT OF EDUCATION</t>
  </si>
  <si>
    <t>Title I Grants to Local Educational Agencies</t>
  </si>
  <si>
    <t>DEPARTMENT OF HEALTH AND HUMAN SERVICES</t>
  </si>
  <si>
    <t>84.010A</t>
  </si>
  <si>
    <t>Fed.-Sp. Ed.-Pres-School Flow Through</t>
  </si>
  <si>
    <t>84.173A</t>
  </si>
  <si>
    <t>Fed.-Sp. Ed.-I.D.E.A. - Flow Through</t>
  </si>
  <si>
    <t>84.027A</t>
  </si>
  <si>
    <t>Medical Assistance Program</t>
  </si>
  <si>
    <t>DEPARTMENT OF TRANSPORTATION</t>
  </si>
  <si>
    <t>National Priority Safety Programs</t>
  </si>
  <si>
    <t>Gaining Early Awareness and Readiness of Undergraduate Programs</t>
  </si>
  <si>
    <t>N/A</t>
  </si>
  <si>
    <t>The accompanying Schedule of Expenditures of Federal Awards includes the federal grant activity of Wabash CUSD #348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</si>
  <si>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Unmodified</t>
  </si>
  <si>
    <t>10.553, 10.555</t>
  </si>
  <si>
    <t>Child Nutrition Cluster</t>
  </si>
  <si>
    <t xml:space="preserve">Illinois Compiled Statutes requires total expenditures disbursed to not exceed budgeted amounts. </t>
  </si>
  <si>
    <t>Management has allowed actual expenditures to exceed budgeted amounts in the Transportation fund.</t>
  </si>
  <si>
    <t>The Transportation Fund incurred actual expenditures that exceeded the budget by $2,384,</t>
  </si>
  <si>
    <t>The School District is authorizing and making disbursements that exceed the amounts represented to the citizens of the School District in the adopted budget.</t>
  </si>
  <si>
    <t xml:space="preserve">The School Board has the responsibility to monitor actual expenditures disbursed and to compare disbursements to the budget adopted by the School Board.  The School Board is approving disbursements without adequately monitoring the budget.  </t>
  </si>
  <si>
    <t xml:space="preserve">The School Board, School District administration, and management should compare actual expenditures disbursed with the amounts in the adopted budgets on a regular basis and adopt amended budgets as necessary under the circumstances.  </t>
  </si>
  <si>
    <t>2019-001</t>
  </si>
  <si>
    <t xml:space="preserve">The School District had two funds with expenditures in excess of appropriation.  </t>
  </si>
  <si>
    <t>Partially repeated as finding 2020-001.</t>
  </si>
  <si>
    <t>Page 10, Line 74, Account 1690:  Other Food Service:  Education Fund (10) ($24,826)</t>
  </si>
  <si>
    <t>Page 11, Line 107, Account 1999:  Other Local Revenues:  Education Fund (10)- Miscellaneous receipts $88,888; Transportation Fund (40) - Miscellaneous Receipts $4,437</t>
  </si>
  <si>
    <t>Line 265, Account 4998:  Education Fund (10)- IL GEAR Up $76,129, IDOT $34,661; Transporation Fund (40) - IDOT $33,240</t>
  </si>
  <si>
    <t>Line 73, Account 2900:</t>
  </si>
  <si>
    <t>Education Fund (10):  Column 100 $17,825 other support service salaries</t>
  </si>
  <si>
    <t>Educatino Fund (10):  Column 300 $11,255 Consultants/Contractual services</t>
  </si>
  <si>
    <t>Education Fund (10):  Column 400 $10,286 Supplies</t>
  </si>
  <si>
    <t>Education Fund (10):  Column 600 $16,398 IDOT safety grant indirect costs</t>
  </si>
  <si>
    <t>Transportation Fund (40):  Column 100 $59,308 IDOT safety grant salaries</t>
  </si>
  <si>
    <t>Transportation Fund (40):  Column 200 $17,303 IDOT employee benefits</t>
  </si>
  <si>
    <t>Transportation Fund (40):  Column 300 $19,500 IDOT safety grant contractual services</t>
  </si>
  <si>
    <t>Transporation Fund (40):  Column 400 $-710 IDOT safety grant supplies adjustment</t>
  </si>
  <si>
    <t>Line 237, Account 2190:  Municipal Retirement/Social Security Fund (50):  $12,036 Other Support Services - Pupils 0 Special ED IMRF and FICA</t>
  </si>
  <si>
    <t>Line 268, Account 2900:  Municipal Retirement/Social Security Fund (50):  $3,563 Other Support Services - Admin Transporation IMRF and FICA</t>
  </si>
  <si>
    <t>Page 18, Line 171, Account No. 5400 - Debt Services- Other</t>
  </si>
  <si>
    <t>Debt Services Fund (30) - Column 300 - Bond insurance $1,153</t>
  </si>
  <si>
    <t>Debt Services Fund (30) - Column 600 - Bond Fees $19,842</t>
  </si>
  <si>
    <t>ED- Data Processing Services - Purchased Services</t>
  </si>
  <si>
    <t>Specialized Data Systems</t>
  </si>
  <si>
    <t>Lumen Touch LLC</t>
  </si>
  <si>
    <t>ED - Community Services - Purchased Services</t>
  </si>
  <si>
    <t>Apptegy</t>
  </si>
  <si>
    <t>ED - Regular Programs - Purchased Services</t>
  </si>
  <si>
    <t>Gradpoint</t>
  </si>
  <si>
    <t>Project Lead the Way</t>
  </si>
  <si>
    <t>MobyMax LLC</t>
  </si>
  <si>
    <t>Renaissance Learning Inc</t>
  </si>
  <si>
    <t>Learning Without Tears</t>
  </si>
  <si>
    <t>Mystery Science Inc</t>
  </si>
  <si>
    <t xml:space="preserve">  Wabash CUSD 348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</si>
</sst>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4</xdr:col>
          <xdr:colOff>497032</xdr:colOff>
          <xdr:row>44</xdr:row>
          <xdr:rowOff>45893</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4"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2002</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2050</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t="s">
        <v>2050</v>
      </c>
      <c r="P12" s="97" t="s">
        <v>200</v>
      </c>
      <c r="Q12" s="71"/>
      <c r="R12" s="30"/>
      <c r="S12" s="30"/>
      <c r="T12" s="82" t="s">
        <v>263</v>
      </c>
      <c r="U12" s="48"/>
      <c r="V12" s="48"/>
      <c r="W12" s="48"/>
      <c r="X12" s="48"/>
      <c r="Y12" s="43"/>
      <c r="Z12" s="43"/>
      <c r="AA12" s="44"/>
    </row>
    <row r="13" spans="1:32" ht="13.5" customHeight="1" x14ac:dyDescent="0.2">
      <c r="A13" s="2100">
        <v>20093348026</v>
      </c>
      <c r="B13" s="2101"/>
      <c r="C13" s="2101"/>
      <c r="D13" s="2101"/>
      <c r="E13" s="2101"/>
      <c r="F13" s="2101"/>
      <c r="G13" s="2101"/>
      <c r="H13" s="2102"/>
      <c r="I13" s="31"/>
      <c r="J13" s="30"/>
      <c r="K13" s="28"/>
      <c r="L13" s="30"/>
      <c r="M13" s="30"/>
      <c r="N13" s="30"/>
      <c r="O13" s="30"/>
      <c r="P13" s="30"/>
      <c r="Q13" s="30"/>
      <c r="R13" s="30"/>
      <c r="S13" s="30"/>
      <c r="T13" s="2106" t="s">
        <v>2059</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2051</v>
      </c>
      <c r="B15" s="2104"/>
      <c r="C15" s="2104"/>
      <c r="D15" s="2104"/>
      <c r="E15" s="2104"/>
      <c r="F15" s="2104"/>
      <c r="G15" s="2104"/>
      <c r="H15" s="2105"/>
      <c r="T15" s="2110" t="s">
        <v>2060</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2130</v>
      </c>
      <c r="B17" s="2074"/>
      <c r="C17" s="2074"/>
      <c r="D17" s="2074"/>
      <c r="E17" s="2074"/>
      <c r="F17" s="2074"/>
      <c r="G17" s="2074"/>
      <c r="H17" s="2099"/>
      <c r="T17" s="2117" t="s">
        <v>2061</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2052</v>
      </c>
      <c r="B19" s="2059"/>
      <c r="C19" s="2059"/>
      <c r="D19" s="2059"/>
      <c r="E19" s="2059"/>
      <c r="F19" s="2059"/>
      <c r="G19" s="2059"/>
      <c r="H19" s="2039"/>
      <c r="I19" s="30"/>
      <c r="J19" s="96"/>
      <c r="K19" s="40"/>
      <c r="L19" s="38"/>
      <c r="M19" s="109" t="s">
        <v>312</v>
      </c>
      <c r="P19" s="27"/>
      <c r="Q19" s="27"/>
      <c r="R19" s="27"/>
      <c r="S19" s="31"/>
      <c r="T19" s="2103" t="s">
        <v>2062</v>
      </c>
      <c r="U19" s="2038"/>
      <c r="V19" s="2038"/>
      <c r="W19" s="2039"/>
      <c r="X19" s="2115" t="s">
        <v>2063</v>
      </c>
      <c r="Y19" s="2116"/>
      <c r="Z19" s="2113">
        <v>47715</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2053</v>
      </c>
      <c r="B21" s="2038"/>
      <c r="C21" s="2038"/>
      <c r="D21" s="2038"/>
      <c r="E21" s="2038"/>
      <c r="F21" s="2038"/>
      <c r="G21" s="2038"/>
      <c r="H21" s="2039"/>
      <c r="I21" s="2093" t="s">
        <v>673</v>
      </c>
      <c r="J21" s="2088"/>
      <c r="K21" s="2088"/>
      <c r="L21" s="2088"/>
      <c r="M21" s="2088"/>
      <c r="N21" s="2088"/>
      <c r="O21" s="2088"/>
      <c r="P21" s="2088"/>
      <c r="Q21" s="2088"/>
      <c r="R21" s="2088"/>
      <c r="S21" s="2094"/>
      <c r="T21" s="2128" t="s">
        <v>2064</v>
      </c>
      <c r="U21" s="2129"/>
      <c r="V21" s="2129"/>
      <c r="W21" s="2129"/>
      <c r="X21" s="2134" t="s">
        <v>2065</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2054</v>
      </c>
      <c r="B23" s="2091"/>
      <c r="C23" s="2091"/>
      <c r="D23" s="2091"/>
      <c r="E23" s="2091"/>
      <c r="F23" s="2091"/>
      <c r="G23" s="2091"/>
      <c r="H23" s="2092"/>
      <c r="T23" s="2073"/>
      <c r="U23" s="2127"/>
      <c r="V23" s="2127"/>
      <c r="W23" s="2127"/>
      <c r="X23" s="2131"/>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c r="B25" s="2038"/>
      <c r="C25" s="2038"/>
      <c r="D25" s="2038"/>
      <c r="E25" s="2038"/>
      <c r="F25" s="2038"/>
      <c r="G25" s="2038"/>
      <c r="H25" s="2039"/>
      <c r="I25" s="110"/>
      <c r="J25" s="2062"/>
      <c r="K25" s="2062"/>
      <c r="L25" s="2062"/>
      <c r="M25" s="2062"/>
      <c r="N25" s="2062"/>
      <c r="O25" s="2062"/>
      <c r="P25" s="2062"/>
      <c r="Q25" s="2062"/>
      <c r="R25" s="2062"/>
      <c r="S25" s="2063"/>
      <c r="T25" s="2124" t="s">
        <v>2066</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2050</v>
      </c>
      <c r="F29" s="137" t="s">
        <v>1305</v>
      </c>
      <c r="G29" s="111"/>
      <c r="I29" s="51"/>
      <c r="J29" s="144" t="s">
        <v>2050</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2050</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2050</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2055</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2056</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2057</v>
      </c>
      <c r="B42" s="2057"/>
      <c r="C42" s="2058"/>
      <c r="D42" s="2056" t="s">
        <v>2058</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24" sqref="D2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2393023</v>
      </c>
      <c r="C4" s="1722"/>
      <c r="D4" s="1723">
        <f>B4-C4</f>
        <v>2393023</v>
      </c>
      <c r="E4" s="1722"/>
      <c r="F4" s="1723">
        <f>E4-C4</f>
        <v>0</v>
      </c>
    </row>
    <row r="5" spans="1:8" ht="13.7" customHeight="1" x14ac:dyDescent="0.2">
      <c r="A5" s="579" t="s">
        <v>865</v>
      </c>
      <c r="B5" s="1724">
        <f>'Revenues 9-14'!D5</f>
        <v>650278</v>
      </c>
      <c r="C5" s="1664"/>
      <c r="D5" s="1725">
        <f t="shared" ref="D5:D18" si="0">B5-C5</f>
        <v>650278</v>
      </c>
      <c r="E5" s="1664"/>
      <c r="F5" s="1725">
        <f>E5-C5</f>
        <v>0</v>
      </c>
    </row>
    <row r="6" spans="1:8" ht="13.7" customHeight="1" x14ac:dyDescent="0.2">
      <c r="A6" s="579" t="s">
        <v>408</v>
      </c>
      <c r="B6" s="1724">
        <f>'Revenues 9-14'!E5</f>
        <v>700089</v>
      </c>
      <c r="C6" s="1664"/>
      <c r="D6" s="1725">
        <f t="shared" si="0"/>
        <v>700089</v>
      </c>
      <c r="E6" s="1664"/>
      <c r="F6" s="1725">
        <f t="shared" ref="F6:F18" si="1">E6-C6</f>
        <v>0</v>
      </c>
    </row>
    <row r="7" spans="1:8" ht="13.7" customHeight="1" x14ac:dyDescent="0.2">
      <c r="A7" s="579" t="s">
        <v>154</v>
      </c>
      <c r="B7" s="1724">
        <f>'Revenues 9-14'!F5</f>
        <v>260111</v>
      </c>
      <c r="C7" s="1664"/>
      <c r="D7" s="1725">
        <f t="shared" si="0"/>
        <v>260111</v>
      </c>
      <c r="E7" s="1664"/>
      <c r="F7" s="1725">
        <f t="shared" si="1"/>
        <v>0</v>
      </c>
    </row>
    <row r="8" spans="1:8" ht="13.7" customHeight="1" x14ac:dyDescent="0.2">
      <c r="A8" s="579" t="s">
        <v>1169</v>
      </c>
      <c r="B8" s="1724">
        <f>'Revenues 9-14'!G5</f>
        <v>333333</v>
      </c>
      <c r="C8" s="1664"/>
      <c r="D8" s="1725">
        <f t="shared" si="0"/>
        <v>333333</v>
      </c>
      <c r="E8" s="1664"/>
      <c r="F8" s="1725">
        <f t="shared" si="1"/>
        <v>0</v>
      </c>
    </row>
    <row r="9" spans="1:8" ht="13.7" customHeight="1" x14ac:dyDescent="0.2">
      <c r="A9" s="579" t="s">
        <v>405</v>
      </c>
      <c r="B9" s="1724">
        <f>'Revenues 9-14'!H5</f>
        <v>672284</v>
      </c>
      <c r="C9" s="1664"/>
      <c r="D9" s="1725">
        <f t="shared" si="0"/>
        <v>672284</v>
      </c>
      <c r="E9" s="1664"/>
      <c r="F9" s="1725">
        <f t="shared" si="1"/>
        <v>0</v>
      </c>
    </row>
    <row r="10" spans="1:8" ht="13.7" customHeight="1" x14ac:dyDescent="0.2">
      <c r="A10" s="579" t="s">
        <v>404</v>
      </c>
      <c r="B10" s="1724">
        <f>'Revenues 9-14'!I5</f>
        <v>65028</v>
      </c>
      <c r="C10" s="1664"/>
      <c r="D10" s="1725">
        <f t="shared" si="0"/>
        <v>65028</v>
      </c>
      <c r="E10" s="1664"/>
      <c r="F10" s="1725">
        <f t="shared" si="1"/>
        <v>0</v>
      </c>
    </row>
    <row r="11" spans="1:8" x14ac:dyDescent="0.2">
      <c r="A11" s="579" t="s">
        <v>406</v>
      </c>
      <c r="B11" s="1724">
        <f>'Revenues 9-14'!J5</f>
        <v>448432</v>
      </c>
      <c r="C11" s="1664"/>
      <c r="D11" s="1725">
        <f t="shared" si="0"/>
        <v>448432</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65028</v>
      </c>
      <c r="C13" s="1664"/>
      <c r="D13" s="1725">
        <f t="shared" si="0"/>
        <v>65028</v>
      </c>
      <c r="E13" s="1664"/>
      <c r="F13" s="1725">
        <f t="shared" si="1"/>
        <v>0</v>
      </c>
    </row>
    <row r="14" spans="1:8" ht="13.7" customHeight="1" x14ac:dyDescent="0.2">
      <c r="A14" s="579" t="s">
        <v>407</v>
      </c>
      <c r="B14" s="1724">
        <f>SUM('Revenues 9-14'!C7:D7,'Revenues 9-14'!F7:H7)</f>
        <v>52022</v>
      </c>
      <c r="C14" s="1664"/>
      <c r="D14" s="1725">
        <f t="shared" si="0"/>
        <v>52022</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305631</v>
      </c>
      <c r="C16" s="1664"/>
      <c r="D16" s="1725">
        <f t="shared" si="0"/>
        <v>305631</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5945259</v>
      </c>
      <c r="C19" s="1726">
        <f>SUM(C4:C18)</f>
        <v>0</v>
      </c>
      <c r="D19" s="1726">
        <f>SUM(D4:D18)</f>
        <v>5945259</v>
      </c>
      <c r="E19" s="1726">
        <f>SUM(E4:E18)</f>
        <v>0</v>
      </c>
      <c r="F19" s="1726">
        <f>SUM(F4:F18)</f>
        <v>0</v>
      </c>
    </row>
    <row r="20" spans="1:6" ht="13.5" thickTop="1" x14ac:dyDescent="0.2">
      <c r="B20" s="578"/>
      <c r="F20" s="580"/>
    </row>
    <row r="21" spans="1:6" x14ac:dyDescent="0.2">
      <c r="A21" s="581" t="s">
        <v>1784</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1"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1778</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2005</v>
      </c>
      <c r="B24" s="2304"/>
      <c r="C24" s="2298"/>
      <c r="D24" s="2299"/>
      <c r="E24" s="2299"/>
      <c r="F24" s="2300"/>
    </row>
    <row r="25" spans="1:11" ht="13.5" thickBot="1" x14ac:dyDescent="0.25">
      <c r="A25" s="2305" t="s">
        <v>2006</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43172</v>
      </c>
      <c r="C31" s="1734">
        <v>2057200</v>
      </c>
      <c r="D31" s="1735">
        <v>1</v>
      </c>
      <c r="E31" s="1734">
        <v>2057200</v>
      </c>
      <c r="F31" s="1734"/>
      <c r="G31" s="1734">
        <v>9600</v>
      </c>
      <c r="H31" s="1734">
        <v>613800</v>
      </c>
      <c r="I31" s="1736">
        <f>((E31+F31)-H31)+G31</f>
        <v>1453000</v>
      </c>
      <c r="J31" s="1734">
        <v>1395533</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2057200</v>
      </c>
      <c r="D49" s="1742"/>
      <c r="E49" s="1736">
        <f t="shared" ref="E49:J49" si="2">SUM(E31:E48)</f>
        <v>2057200</v>
      </c>
      <c r="F49" s="1736">
        <f t="shared" si="2"/>
        <v>0</v>
      </c>
      <c r="G49" s="1736">
        <f t="shared" si="2"/>
        <v>9600</v>
      </c>
      <c r="H49" s="1736">
        <f t="shared" si="2"/>
        <v>613800</v>
      </c>
      <c r="I49" s="1736">
        <f t="shared" si="2"/>
        <v>1453000</v>
      </c>
      <c r="J49" s="1736">
        <f t="shared" si="2"/>
        <v>1395533</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O21" sqref="O2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1788</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52022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600</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19268</v>
      </c>
    </row>
    <row r="10" spans="1:11" x14ac:dyDescent="0.2">
      <c r="A10" s="2322" t="s">
        <v>1789</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52022</v>
      </c>
      <c r="I12" s="1755">
        <f>SUM(I5:I11)</f>
        <v>0</v>
      </c>
      <c r="J12" s="1755">
        <f>SUM(J5:J11)</f>
        <v>0</v>
      </c>
      <c r="K12" s="1755">
        <f>SUM(K5:K11)</f>
        <v>19868</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52022</v>
      </c>
      <c r="I14" s="1749"/>
      <c r="J14" s="1751"/>
      <c r="K14" s="1745">
        <v>19868</v>
      </c>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1785</v>
      </c>
      <c r="B19" s="2331"/>
      <c r="C19" s="2331"/>
      <c r="D19" s="2331"/>
      <c r="E19" s="2332"/>
      <c r="F19" s="635" t="s">
        <v>927</v>
      </c>
      <c r="G19" s="1753"/>
      <c r="H19" s="1753"/>
      <c r="I19" s="1753"/>
      <c r="J19" s="1745"/>
      <c r="K19" s="1763"/>
    </row>
    <row r="20" spans="1:15" x14ac:dyDescent="0.2">
      <c r="A20" s="2333" t="s">
        <v>1790</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1791</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52022</v>
      </c>
      <c r="I23" s="1755">
        <f>SUM(I14:I16,I21,I22)</f>
        <v>0</v>
      </c>
      <c r="J23" s="1755">
        <f>SUM(J14:J16,J21,J22)</f>
        <v>0</v>
      </c>
      <c r="K23" s="1755">
        <f>SUM(K14:K16,K21,K22)</f>
        <v>19868</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1792</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1786</v>
      </c>
      <c r="B46" s="382" t="s">
        <v>1656</v>
      </c>
    </row>
    <row r="47" spans="1:11" s="663" customFormat="1" ht="12.75" customHeight="1" x14ac:dyDescent="0.2">
      <c r="A47" s="661"/>
      <c r="B47" s="662" t="s">
        <v>1657</v>
      </c>
      <c r="E47" s="662"/>
      <c r="K47" s="664"/>
    </row>
    <row r="48" spans="1:11" ht="12.75" customHeight="1" x14ac:dyDescent="0.2">
      <c r="A48" s="1300" t="s">
        <v>1787</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16" sqref="A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1874</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561878</v>
      </c>
      <c r="D5" s="1770"/>
      <c r="E5" s="1770"/>
      <c r="F5" s="1765">
        <f>(C5+D5)-E5</f>
        <v>561878</v>
      </c>
      <c r="G5" s="676"/>
      <c r="H5" s="680"/>
      <c r="I5" s="680"/>
      <c r="J5" s="680"/>
      <c r="K5" s="637"/>
      <c r="L5" s="1442">
        <f>F5-K5</f>
        <v>561878</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19048893</v>
      </c>
      <c r="D8" s="1771">
        <v>306790</v>
      </c>
      <c r="E8" s="1771"/>
      <c r="F8" s="1765">
        <f>(C8+D8)-E8</f>
        <v>19355683</v>
      </c>
      <c r="G8" s="681">
        <v>50</v>
      </c>
      <c r="H8" s="619">
        <v>10592076</v>
      </c>
      <c r="I8" s="619">
        <v>471001</v>
      </c>
      <c r="J8" s="619"/>
      <c r="K8" s="1442">
        <f>(H8+I8)-J8</f>
        <v>11063077</v>
      </c>
      <c r="L8" s="1442">
        <f>F8-K8</f>
        <v>8292606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324208</v>
      </c>
      <c r="D10" s="1772">
        <v>29719</v>
      </c>
      <c r="E10" s="1772"/>
      <c r="F10" s="1773">
        <f>(C10+D10)-E10</f>
        <v>353927</v>
      </c>
      <c r="G10" s="681">
        <v>20</v>
      </c>
      <c r="H10" s="683">
        <v>269611</v>
      </c>
      <c r="I10" s="683">
        <v>12806</v>
      </c>
      <c r="J10" s="683"/>
      <c r="K10" s="1442">
        <f>(H10+I10)-J10</f>
        <v>282417</v>
      </c>
      <c r="L10" s="1442">
        <f>F10-K10</f>
        <v>71510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1782033</v>
      </c>
      <c r="D12" s="1771"/>
      <c r="E12" s="1771"/>
      <c r="F12" s="1765">
        <f>(C12+D12)-E12</f>
        <v>1782033</v>
      </c>
      <c r="G12" s="681">
        <v>10</v>
      </c>
      <c r="H12" s="619">
        <v>1707571</v>
      </c>
      <c r="I12" s="619">
        <v>13350</v>
      </c>
      <c r="J12" s="619"/>
      <c r="K12" s="1442">
        <f>(H12+I12)-J12</f>
        <v>1720921</v>
      </c>
      <c r="L12" s="1442">
        <f>F12-K12</f>
        <v>61112</v>
      </c>
    </row>
    <row r="13" spans="1:14" ht="14.25" thickTop="1" thickBot="1" x14ac:dyDescent="0.25">
      <c r="A13" s="684" t="s">
        <v>1112</v>
      </c>
      <c r="B13" s="679">
        <v>252</v>
      </c>
      <c r="C13" s="1771">
        <v>2041508</v>
      </c>
      <c r="D13" s="1771">
        <v>118439</v>
      </c>
      <c r="E13" s="1771">
        <v>659633</v>
      </c>
      <c r="F13" s="1765">
        <f>(C13+D13)-E13</f>
        <v>1500314</v>
      </c>
      <c r="G13" s="681">
        <v>5</v>
      </c>
      <c r="H13" s="619">
        <v>1908350</v>
      </c>
      <c r="I13" s="619">
        <v>27992</v>
      </c>
      <c r="J13" s="619">
        <v>659633</v>
      </c>
      <c r="K13" s="1442">
        <f>(H13+I13)-J13</f>
        <v>1276709</v>
      </c>
      <c r="L13" s="1442">
        <f>F13-K13</f>
        <v>223605</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23758520</v>
      </c>
      <c r="D16" s="1765">
        <f>SUM(D3,D5:D6,D8:D10,D12:D15)</f>
        <v>454948</v>
      </c>
      <c r="E16" s="1765">
        <f>SUM(E3,E5:E6,E8:E10,E12:E15)</f>
        <v>659633</v>
      </c>
      <c r="F16" s="1765">
        <f>SUM(F3,F5:F6,F8:F10,F12:F15)</f>
        <v>23553835</v>
      </c>
      <c r="G16" s="681"/>
      <c r="H16" s="1435">
        <f>SUM(H3,H6,H8:H10,H12:H14,)</f>
        <v>14477608</v>
      </c>
      <c r="I16" s="1435">
        <f>SUM(I3,I6,I8:I10,I12:I14,)</f>
        <v>525149</v>
      </c>
      <c r="J16" s="1435">
        <f>SUM(J3,J6,J8:J10,J12:J14,)</f>
        <v>659633</v>
      </c>
      <c r="K16" s="1435">
        <f>(H16+I16)-J16</f>
        <v>14343124</v>
      </c>
      <c r="L16" s="1435">
        <f>F16-K16</f>
        <v>9210711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525149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B122" colorId="8" zoomScale="110" zoomScaleNormal="110" workbookViewId="0">
      <selection activeCell="D161" sqref="D16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11216503</v>
      </c>
      <c r="G8" s="701"/>
    </row>
    <row r="9" spans="1:9" x14ac:dyDescent="0.2">
      <c r="A9" s="705" t="s">
        <v>457</v>
      </c>
      <c r="B9" s="706" t="s">
        <v>1847</v>
      </c>
      <c r="C9" s="707"/>
      <c r="D9" s="705" t="s">
        <v>498</v>
      </c>
      <c r="E9" s="704"/>
      <c r="F9" s="1775">
        <f>'Expenditures 15-22'!K151</f>
        <v>1180799</v>
      </c>
      <c r="G9" s="708"/>
    </row>
    <row r="10" spans="1:9" x14ac:dyDescent="0.2">
      <c r="A10" s="705" t="s">
        <v>496</v>
      </c>
      <c r="B10" s="706" t="s">
        <v>1848</v>
      </c>
      <c r="C10" s="707"/>
      <c r="D10" s="705" t="s">
        <v>498</v>
      </c>
      <c r="E10" s="704"/>
      <c r="F10" s="1775">
        <f>'Expenditures 15-22'!K174</f>
        <v>695358</v>
      </c>
      <c r="G10" s="708"/>
    </row>
    <row r="11" spans="1:9" x14ac:dyDescent="0.2">
      <c r="A11" s="705" t="s">
        <v>458</v>
      </c>
      <c r="B11" s="706" t="s">
        <v>1849</v>
      </c>
      <c r="C11" s="707"/>
      <c r="D11" s="705" t="s">
        <v>498</v>
      </c>
      <c r="E11" s="704"/>
      <c r="F11" s="1775">
        <f>'Expenditures 15-22'!K210</f>
        <v>743519</v>
      </c>
      <c r="G11" s="708"/>
    </row>
    <row r="12" spans="1:9" x14ac:dyDescent="0.2">
      <c r="A12" s="705" t="s">
        <v>459</v>
      </c>
      <c r="B12" s="706" t="s">
        <v>1850</v>
      </c>
      <c r="C12" s="707"/>
      <c r="D12" s="705" t="s">
        <v>498</v>
      </c>
      <c r="E12" s="704"/>
      <c r="F12" s="1775">
        <f>'Expenditures 15-22'!K295</f>
        <v>568279</v>
      </c>
      <c r="G12" s="708"/>
    </row>
    <row r="13" spans="1:9" x14ac:dyDescent="0.2">
      <c r="A13" s="705" t="s">
        <v>106</v>
      </c>
      <c r="B13" s="706" t="s">
        <v>1851</v>
      </c>
      <c r="C13" s="707"/>
      <c r="D13" s="705" t="s">
        <v>498</v>
      </c>
      <c r="E13" s="704"/>
      <c r="F13" s="1775">
        <f>'Expenditures 15-22'!K342</f>
        <v>325241</v>
      </c>
      <c r="G13" s="709"/>
    </row>
    <row r="14" spans="1:9" ht="12" customHeight="1" thickBot="1" x14ac:dyDescent="0.25">
      <c r="A14" s="1443"/>
      <c r="B14" s="1444"/>
      <c r="C14" s="1445"/>
      <c r="D14" s="1446" t="s">
        <v>498</v>
      </c>
      <c r="E14" s="1447" t="s">
        <v>952</v>
      </c>
      <c r="F14" s="1776">
        <f>SUM(F8:F13)</f>
        <v>14729699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1905</v>
      </c>
      <c r="C30" s="716">
        <f>'Revenues 9-14'!B150</f>
        <v>3499</v>
      </c>
      <c r="D30" s="717" t="str">
        <f>'Revenues 9-14'!A150</f>
        <v>Adult Ed - Other (Describe &amp; Itemize)</v>
      </c>
      <c r="E30" s="704"/>
      <c r="F30" s="1783">
        <f>('Revenues 9-14'!D150+'Revenues 9-14'!F150)</f>
        <v>0</v>
      </c>
      <c r="G30" s="701"/>
    </row>
    <row r="31" spans="1:7" x14ac:dyDescent="0.2">
      <c r="A31" s="705" t="s">
        <v>1088</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1908</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187653</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118654</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205173</v>
      </c>
      <c r="G52" s="701"/>
    </row>
    <row r="53" spans="1:7" x14ac:dyDescent="0.2">
      <c r="A53" s="705" t="s">
        <v>456</v>
      </c>
      <c r="B53" s="705" t="s">
        <v>1458</v>
      </c>
      <c r="C53" s="724">
        <f>'Expenditures 15-22'!B102</f>
        <v>4000</v>
      </c>
      <c r="D53" s="723" t="str">
        <f>'Expenditures 15-22'!A102</f>
        <v>Total Payments to Other Govt Units</v>
      </c>
      <c r="E53" s="704"/>
      <c r="F53" s="1782">
        <f>'Expenditures 15-22'!K102</f>
        <v>353995</v>
      </c>
      <c r="G53" s="701"/>
    </row>
    <row r="54" spans="1:7" x14ac:dyDescent="0.2">
      <c r="A54" s="705" t="s">
        <v>456</v>
      </c>
      <c r="B54" s="705" t="s">
        <v>1459</v>
      </c>
      <c r="C54" s="724" t="s">
        <v>975</v>
      </c>
      <c r="D54" s="720" t="s">
        <v>1086</v>
      </c>
      <c r="E54" s="704"/>
      <c r="F54" s="1782">
        <f>'Expenditures 15-22'!G114</f>
        <v>112169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1852</v>
      </c>
      <c r="C57" s="724">
        <f>'Expenditures 15-22'!B139</f>
        <v>4000</v>
      </c>
      <c r="D57" s="722" t="str">
        <f>'Expenditures 15-22'!A139</f>
        <v>Total Payments to Other Govt Units</v>
      </c>
      <c r="E57" s="704"/>
      <c r="F57" s="1782">
        <f>'Expenditures 15-22'!K139</f>
        <v>0</v>
      </c>
      <c r="G57" s="701"/>
    </row>
    <row r="58" spans="1:7" x14ac:dyDescent="0.2">
      <c r="A58" s="705" t="s">
        <v>457</v>
      </c>
      <c r="B58" s="705" t="s">
        <v>1853</v>
      </c>
      <c r="C58" s="721" t="s">
        <v>975</v>
      </c>
      <c r="D58" s="720" t="s">
        <v>1086</v>
      </c>
      <c r="E58" s="704"/>
      <c r="F58" s="1784">
        <f>'Expenditures 15-22'!G151</f>
        <v>0</v>
      </c>
      <c r="G58" s="701"/>
    </row>
    <row r="59" spans="1:7" x14ac:dyDescent="0.2">
      <c r="A59" s="728" t="s">
        <v>457</v>
      </c>
      <c r="B59" s="692" t="s">
        <v>1854</v>
      </c>
      <c r="C59" s="729" t="s">
        <v>975</v>
      </c>
      <c r="D59" s="692" t="s">
        <v>288</v>
      </c>
      <c r="F59" s="1785">
        <f>'Expenditures 15-22'!I151</f>
        <v>0</v>
      </c>
      <c r="G59" s="701"/>
    </row>
    <row r="60" spans="1:7" x14ac:dyDescent="0.2">
      <c r="A60" s="728" t="s">
        <v>496</v>
      </c>
      <c r="B60" s="692" t="s">
        <v>1855</v>
      </c>
      <c r="C60" s="729">
        <v>4000</v>
      </c>
      <c r="D60" s="692" t="s">
        <v>309</v>
      </c>
      <c r="F60" s="1783">
        <f>'Expenditures 15-22'!K160</f>
        <v>0</v>
      </c>
      <c r="G60" s="701"/>
    </row>
    <row r="61" spans="1:7" x14ac:dyDescent="0.2">
      <c r="A61" s="730" t="s">
        <v>496</v>
      </c>
      <c r="B61" s="730" t="s">
        <v>1856</v>
      </c>
      <c r="C61" s="731" t="str">
        <f>'Expenditures 15-22'!B170</f>
        <v>5300</v>
      </c>
      <c r="D61" s="732" t="s">
        <v>308</v>
      </c>
      <c r="E61" s="715"/>
      <c r="F61" s="1782">
        <f>'Expenditures 15-22'!K170</f>
        <v>613800</v>
      </c>
      <c r="G61" s="701"/>
    </row>
    <row r="62" spans="1:7" x14ac:dyDescent="0.2">
      <c r="A62" s="705" t="s">
        <v>458</v>
      </c>
      <c r="B62" s="705" t="s">
        <v>1857</v>
      </c>
      <c r="C62" s="721">
        <f>'Expenditures 15-22'!B185</f>
        <v>3000</v>
      </c>
      <c r="D62" s="712" t="s">
        <v>446</v>
      </c>
      <c r="E62" s="704"/>
      <c r="F62" s="1782">
        <f>'Expenditures 15-22'!K185-SUM('Expenditures 15-22'!G185,'Expenditures 15-22'!I185)</f>
        <v>0</v>
      </c>
      <c r="G62" s="701"/>
    </row>
    <row r="63" spans="1:7" x14ac:dyDescent="0.2">
      <c r="A63" s="705" t="s">
        <v>458</v>
      </c>
      <c r="B63" s="705" t="s">
        <v>1858</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1859</v>
      </c>
      <c r="C64" s="731" t="str">
        <f>'Expenditures 15-22'!B206</f>
        <v>5300</v>
      </c>
      <c r="D64" s="727" t="s">
        <v>308</v>
      </c>
      <c r="E64" s="704"/>
      <c r="F64" s="1782">
        <f>'Expenditures 15-22'!K206</f>
        <v>0</v>
      </c>
      <c r="G64" s="701"/>
    </row>
    <row r="65" spans="1:9" x14ac:dyDescent="0.2">
      <c r="A65" s="705" t="s">
        <v>458</v>
      </c>
      <c r="B65" s="705" t="s">
        <v>1860</v>
      </c>
      <c r="C65" s="721" t="s">
        <v>975</v>
      </c>
      <c r="D65" s="720" t="s">
        <v>1086</v>
      </c>
      <c r="E65" s="704"/>
      <c r="F65" s="1782">
        <f>'Expenditures 15-22'!G210</f>
        <v>118439</v>
      </c>
      <c r="G65" s="701"/>
    </row>
    <row r="66" spans="1:9" x14ac:dyDescent="0.2">
      <c r="A66" s="705" t="s">
        <v>458</v>
      </c>
      <c r="B66" s="705" t="s">
        <v>1861</v>
      </c>
      <c r="C66" s="721" t="s">
        <v>975</v>
      </c>
      <c r="D66" s="720" t="s">
        <v>288</v>
      </c>
      <c r="E66" s="704"/>
      <c r="F66" s="1782">
        <f>'Expenditures 15-22'!I210</f>
        <v>0</v>
      </c>
      <c r="G66" s="701"/>
    </row>
    <row r="67" spans="1:9" x14ac:dyDescent="0.2">
      <c r="A67" s="705" t="s">
        <v>459</v>
      </c>
      <c r="B67" s="705" t="s">
        <v>1862</v>
      </c>
      <c r="C67" s="721" t="str">
        <f>'Expenditures 15-22'!B216</f>
        <v>1125</v>
      </c>
      <c r="D67" s="727" t="str">
        <f>'Expenditures 15-22'!A216</f>
        <v>Pre-K Programs</v>
      </c>
      <c r="E67" s="704"/>
      <c r="F67" s="1782">
        <f>'Expenditures 15-22'!K216</f>
        <v>9684</v>
      </c>
      <c r="G67" s="701"/>
    </row>
    <row r="68" spans="1:9" x14ac:dyDescent="0.2">
      <c r="A68" s="705" t="s">
        <v>459</v>
      </c>
      <c r="B68" s="705" t="s">
        <v>1462</v>
      </c>
      <c r="C68" s="721" t="str">
        <f>'Expenditures 15-22'!B218</f>
        <v>1225</v>
      </c>
      <c r="D68" s="727" t="str">
        <f>'Expenditures 15-22'!A218</f>
        <v>Special Education Programs - Pre-K</v>
      </c>
      <c r="E68" s="704"/>
      <c r="F68" s="1782">
        <f>'Expenditures 15-22'!K218</f>
        <v>1206</v>
      </c>
      <c r="G68" s="701"/>
    </row>
    <row r="69" spans="1:9" x14ac:dyDescent="0.2">
      <c r="A69" s="705" t="s">
        <v>459</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1864</v>
      </c>
      <c r="C70" s="721">
        <f>'Expenditures 15-22'!B221</f>
        <v>1300</v>
      </c>
      <c r="D70" s="722" t="str">
        <f>'Expenditures 15-22'!A221</f>
        <v>Adult/Continuing Education Programs</v>
      </c>
      <c r="E70" s="704"/>
      <c r="F70" s="1782">
        <f>'Expenditures 15-22'!K221</f>
        <v>0</v>
      </c>
      <c r="G70" s="701"/>
    </row>
    <row r="71" spans="1:9" x14ac:dyDescent="0.2">
      <c r="A71" s="705" t="s">
        <v>459</v>
      </c>
      <c r="B71" s="705" t="s">
        <v>1865</v>
      </c>
      <c r="C71" s="721">
        <f>'Expenditures 15-22'!B224</f>
        <v>1600</v>
      </c>
      <c r="D71" s="722" t="str">
        <f>'Expenditures 15-22'!A224</f>
        <v>Summer School Programs</v>
      </c>
      <c r="E71" s="704"/>
      <c r="F71" s="1782">
        <f>'Expenditures 15-22'!K224</f>
        <v>0</v>
      </c>
      <c r="G71" s="701"/>
    </row>
    <row r="72" spans="1:9" x14ac:dyDescent="0.2">
      <c r="A72" s="705" t="s">
        <v>459</v>
      </c>
      <c r="B72" s="705" t="s">
        <v>1866</v>
      </c>
      <c r="C72" s="721">
        <f>'Expenditures 15-22'!B280</f>
        <v>3000</v>
      </c>
      <c r="D72" s="712" t="s">
        <v>446</v>
      </c>
      <c r="E72" s="704"/>
      <c r="F72" s="1782">
        <f>'Expenditures 15-22'!K280</f>
        <v>29298</v>
      </c>
      <c r="G72" s="701"/>
    </row>
    <row r="73" spans="1:9" x14ac:dyDescent="0.2">
      <c r="A73" s="705" t="s">
        <v>459</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1868</v>
      </c>
      <c r="C74" s="721" t="s">
        <v>855</v>
      </c>
      <c r="D74" s="722" t="s">
        <v>1470</v>
      </c>
      <c r="E74" s="704"/>
      <c r="F74" s="1786">
        <f>'Expenditures 15-22'!K334</f>
        <v>0</v>
      </c>
      <c r="G74" s="701"/>
    </row>
    <row r="75" spans="1:9" x14ac:dyDescent="0.2">
      <c r="A75" s="705" t="s">
        <v>2007</v>
      </c>
      <c r="B75" s="705" t="s">
        <v>2008</v>
      </c>
      <c r="C75" s="721" t="s">
        <v>975</v>
      </c>
      <c r="D75" s="722" t="s">
        <v>1086</v>
      </c>
      <c r="E75" s="704"/>
      <c r="F75" s="1786">
        <f>'Expenditures 15-22'!G342</f>
        <v>0</v>
      </c>
      <c r="G75" s="701"/>
    </row>
    <row r="76" spans="1:9" ht="10.5" customHeight="1" x14ac:dyDescent="0.2">
      <c r="A76" s="701" t="s">
        <v>433</v>
      </c>
      <c r="B76" s="705" t="s">
        <v>2009</v>
      </c>
      <c r="C76" s="711" t="s">
        <v>975</v>
      </c>
      <c r="D76" s="701" t="s">
        <v>288</v>
      </c>
      <c r="E76" s="704"/>
      <c r="F76" s="1786">
        <f>'Expenditures 15-22'!I342</f>
        <v>0</v>
      </c>
      <c r="G76" s="703"/>
    </row>
    <row r="77" spans="1:9" ht="12" thickBot="1" x14ac:dyDescent="0.25">
      <c r="A77" s="1443"/>
      <c r="B77" s="1448"/>
      <c r="C77" s="1445"/>
      <c r="D77" s="1449" t="s">
        <v>2010</v>
      </c>
      <c r="E77" s="1447" t="s">
        <v>952</v>
      </c>
      <c r="F77" s="1787">
        <f>SUM(F18:F76)</f>
        <v>1750071</v>
      </c>
      <c r="G77" s="701"/>
    </row>
    <row r="78" spans="1:9" s="728" customFormat="1" ht="12" customHeight="1" thickTop="1" thickBot="1" x14ac:dyDescent="0.25">
      <c r="A78" s="1450"/>
      <c r="B78" s="1448"/>
      <c r="C78" s="1445"/>
      <c r="D78" s="1449" t="s">
        <v>2011</v>
      </c>
      <c r="E78" s="1447"/>
      <c r="F78" s="1788">
        <f>(F14-F77)</f>
        <v>12979628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1368.3</v>
      </c>
      <c r="G79" s="733"/>
      <c r="H79" s="705"/>
      <c r="I79" s="705"/>
    </row>
    <row r="80" spans="1:9" s="728" customFormat="1" ht="12" customHeight="1" thickBot="1" x14ac:dyDescent="0.25">
      <c r="A80" s="1452"/>
      <c r="B80" s="1448"/>
      <c r="C80" s="1445"/>
      <c r="D80" s="1449" t="s">
        <v>2012</v>
      </c>
      <c r="E80" s="1447" t="s">
        <v>952</v>
      </c>
      <c r="F80" s="1790">
        <f>IF(F79&gt;0,F78/F79," Complete Line 79")</f>
        <v>9485.9519111305999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86152</v>
      </c>
      <c r="G95" s="745"/>
    </row>
    <row r="96" spans="1:7" x14ac:dyDescent="0.2">
      <c r="A96" s="741" t="s">
        <v>139</v>
      </c>
      <c r="B96" s="741" t="s">
        <v>174</v>
      </c>
      <c r="C96" s="743">
        <v>1700</v>
      </c>
      <c r="D96" s="751" t="str">
        <f>'Revenues 9-14'!A82</f>
        <v>Total District/School Activity Income</v>
      </c>
      <c r="E96" s="739"/>
      <c r="F96" s="1793">
        <f>SUM('Revenues 9-14'!C82,'Revenues 9-14'!D82)</f>
        <v>85693</v>
      </c>
      <c r="G96" s="745"/>
    </row>
    <row r="97" spans="1:7" x14ac:dyDescent="0.2">
      <c r="A97" s="741" t="s">
        <v>456</v>
      </c>
      <c r="B97" s="741" t="s">
        <v>175</v>
      </c>
      <c r="C97" s="743">
        <f>'Revenues 9-14'!B84</f>
        <v>1811</v>
      </c>
      <c r="D97" s="744" t="str">
        <f>'Revenues 9-14'!A84</f>
        <v>Rentals - Regular Textbooks</v>
      </c>
      <c r="E97" s="739"/>
      <c r="F97" s="1793">
        <f>'Revenues 9-14'!C84</f>
        <v>23194</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1909</v>
      </c>
      <c r="C106" s="746">
        <v>3100</v>
      </c>
      <c r="D106" s="752" t="str">
        <f>'Revenues 9-14'!A132</f>
        <v>Total Special Education</v>
      </c>
      <c r="E106" s="739"/>
      <c r="F106" s="1793">
        <f>SUM('Revenues 9-14'!C132:D132,'Revenues 9-14'!F132)</f>
        <v>31105</v>
      </c>
      <c r="G106" s="745"/>
    </row>
    <row r="107" spans="1:7" x14ac:dyDescent="0.2">
      <c r="A107" s="741" t="s">
        <v>668</v>
      </c>
      <c r="B107" s="741" t="s">
        <v>1910</v>
      </c>
      <c r="C107" s="753">
        <v>3200</v>
      </c>
      <c r="D107" s="744" t="str">
        <f>'Revenues 9-14'!A141</f>
        <v>Total Career and Technical Education</v>
      </c>
      <c r="E107" s="739"/>
      <c r="F107" s="1793">
        <f>SUM('Revenues 9-14'!C141,'Revenues 9-14'!D141,'Revenues 9-14'!G141)</f>
        <v>30392</v>
      </c>
      <c r="G107" s="745"/>
    </row>
    <row r="108" spans="1:7" x14ac:dyDescent="0.2">
      <c r="A108" s="754" t="s">
        <v>659</v>
      </c>
      <c r="B108" s="741" t="s">
        <v>1911</v>
      </c>
      <c r="C108" s="753">
        <v>3300</v>
      </c>
      <c r="D108" s="744" t="str">
        <f>'Revenues 9-14'!A145</f>
        <v>Total Bilingual Ed</v>
      </c>
      <c r="E108" s="739"/>
      <c r="F108" s="1793">
        <f>SUM('Revenues 9-14'!C145,'Revenues 9-14'!G145)</f>
        <v>0</v>
      </c>
      <c r="G108" s="745"/>
    </row>
    <row r="109" spans="1:7" x14ac:dyDescent="0.2">
      <c r="A109" s="741" t="s">
        <v>456</v>
      </c>
      <c r="B109" s="741" t="s">
        <v>1912</v>
      </c>
      <c r="C109" s="753">
        <f>'Revenues 9-14'!B146</f>
        <v>3360</v>
      </c>
      <c r="D109" s="744" t="str">
        <f>'Revenues 9-14'!A146</f>
        <v>State Free Lunch &amp; Breakfast</v>
      </c>
      <c r="E109" s="739"/>
      <c r="F109" s="1793">
        <f>'Revenues 9-14'!C146</f>
        <v>4447</v>
      </c>
      <c r="G109" s="745"/>
    </row>
    <row r="110" spans="1:7" x14ac:dyDescent="0.2">
      <c r="A110" s="741" t="s">
        <v>668</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19268</v>
      </c>
      <c r="G111" s="745"/>
    </row>
    <row r="112" spans="1:7" x14ac:dyDescent="0.2">
      <c r="A112" s="741" t="s">
        <v>663</v>
      </c>
      <c r="B112" s="741" t="s">
        <v>1915</v>
      </c>
      <c r="C112" s="755">
        <v>3500</v>
      </c>
      <c r="D112" s="744" t="str">
        <f>'Revenues 9-14'!A155</f>
        <v>Total Transportation</v>
      </c>
      <c r="E112" s="739"/>
      <c r="F112" s="1793">
        <f>SUM('Revenues 9-14'!C155,'Revenues 9-14'!D155,'Revenues 9-14'!F155,'Revenues 9-14'!G155)</f>
        <v>389255</v>
      </c>
      <c r="G112" s="745"/>
    </row>
    <row r="113" spans="1:7" x14ac:dyDescent="0.2">
      <c r="A113" s="741" t="s">
        <v>456</v>
      </c>
      <c r="B113" s="741" t="s">
        <v>1916</v>
      </c>
      <c r="C113" s="753">
        <f>'Revenues 9-14'!B156</f>
        <v>3610</v>
      </c>
      <c r="D113" s="744" t="str">
        <f>'Revenues 9-14'!A156</f>
        <v>Learning Improvement - Change Grants</v>
      </c>
      <c r="E113" s="739"/>
      <c r="F113" s="1793">
        <f>'Revenues 9-14'!C156</f>
        <v>0</v>
      </c>
      <c r="G113" s="745"/>
    </row>
    <row r="114" spans="1:7" x14ac:dyDescent="0.2">
      <c r="A114" s="741" t="s">
        <v>663</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1922</v>
      </c>
      <c r="C119" s="757">
        <f>'Revenues 9-14'!B163</f>
        <v>3780</v>
      </c>
      <c r="D119" s="758" t="str">
        <f>'Revenues 9-14'!A163</f>
        <v>Technology - Technology for Success</v>
      </c>
      <c r="E119" s="739"/>
      <c r="F119" s="1792">
        <f>SUM('Revenues 9-14'!C163:G163)</f>
        <v>0</v>
      </c>
      <c r="G119" s="745"/>
    </row>
    <row r="120" spans="1:7" x14ac:dyDescent="0.2">
      <c r="A120" s="756" t="s">
        <v>501</v>
      </c>
      <c r="B120" s="756" t="s">
        <v>1923</v>
      </c>
      <c r="C120" s="757">
        <f>'Revenues 9-14'!B164</f>
        <v>3815</v>
      </c>
      <c r="D120" s="758" t="str">
        <f>'Revenues 9-14'!A164</f>
        <v>State Charter Schools</v>
      </c>
      <c r="E120" s="739"/>
      <c r="F120" s="1792">
        <f>SUM('Revenues 9-14'!C164,'Revenues 9-14'!F164)</f>
        <v>0</v>
      </c>
      <c r="G120" s="745"/>
    </row>
    <row r="121" spans="1:7" x14ac:dyDescent="0.2">
      <c r="A121" s="760" t="s">
        <v>457</v>
      </c>
      <c r="B121" s="760" t="s">
        <v>1924</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1925</v>
      </c>
      <c r="C122" s="761">
        <f>'Revenues 9-14'!B168</f>
        <v>3999</v>
      </c>
      <c r="D122" s="762" t="s">
        <v>540</v>
      </c>
      <c r="E122" s="764"/>
      <c r="F122" s="1793">
        <f>SUM('Revenues 9-14'!C168:G168,'Revenues 9-14'!J168)</f>
        <v>0</v>
      </c>
      <c r="G122" s="763"/>
    </row>
    <row r="123" spans="1:7" x14ac:dyDescent="0.2">
      <c r="A123" s="760" t="s">
        <v>456</v>
      </c>
      <c r="B123" s="760" t="s">
        <v>1926</v>
      </c>
      <c r="C123" s="765">
        <f>'Revenues 9-14'!B177</f>
        <v>4045</v>
      </c>
      <c r="D123" s="762" t="str">
        <f>'Revenues 9-14'!A177 &amp; " (Subtract)"</f>
        <v>Head Start (Subtract)</v>
      </c>
      <c r="E123" s="739"/>
      <c r="F123" s="1793">
        <f>SUM(-'Revenues 9-14'!C177)</f>
        <v>0</v>
      </c>
      <c r="G123" s="763"/>
    </row>
    <row r="124" spans="1:7" x14ac:dyDescent="0.2">
      <c r="A124" s="760" t="s">
        <v>663</v>
      </c>
      <c r="B124" s="760" t="s">
        <v>1927</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1928</v>
      </c>
      <c r="C125" s="765">
        <v>4100</v>
      </c>
      <c r="D125" s="766" t="str">
        <f>'Revenues 9-14'!A188</f>
        <v>Total Title V</v>
      </c>
      <c r="E125" s="739"/>
      <c r="F125" s="1793">
        <f>SUM('Revenues 9-14'!C188,'Revenues 9-14'!D188,'Revenues 9-14'!F188,'Revenues 9-14'!G188)</f>
        <v>0</v>
      </c>
      <c r="G125" s="763"/>
    </row>
    <row r="126" spans="1:7" x14ac:dyDescent="0.2">
      <c r="A126" s="760" t="s">
        <v>659</v>
      </c>
      <c r="B126" s="760" t="s">
        <v>1929</v>
      </c>
      <c r="C126" s="765">
        <v>4200</v>
      </c>
      <c r="D126" s="762" t="str">
        <f>'Revenues 9-14'!A198</f>
        <v>Total Food Service</v>
      </c>
      <c r="E126" s="739"/>
      <c r="F126" s="1793">
        <f>SUM('Revenues 9-14'!C198,'Revenues 9-14'!G198)</f>
        <v>316201</v>
      </c>
      <c r="G126" s="763"/>
    </row>
    <row r="127" spans="1:7" x14ac:dyDescent="0.2">
      <c r="A127" s="760" t="s">
        <v>663</v>
      </c>
      <c r="B127" s="760" t="s">
        <v>1930</v>
      </c>
      <c r="C127" s="765">
        <v>4300</v>
      </c>
      <c r="D127" s="766" t="str">
        <f>'Revenues 9-14'!A204</f>
        <v>Total Title I</v>
      </c>
      <c r="E127" s="739"/>
      <c r="F127" s="1793">
        <f>SUM('Revenues 9-14'!C204,'Revenues 9-14'!D204,'Revenues 9-14'!F204,'Revenues 9-14'!G204)</f>
        <v>548928</v>
      </c>
      <c r="G127" s="763"/>
    </row>
    <row r="128" spans="1:7" x14ac:dyDescent="0.2">
      <c r="A128" s="760" t="s">
        <v>663</v>
      </c>
      <c r="B128" s="760" t="s">
        <v>1931</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1932</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1933</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1935</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1950</v>
      </c>
      <c r="C158" s="773" t="s">
        <v>836</v>
      </c>
      <c r="D158" s="774" t="s">
        <v>772</v>
      </c>
      <c r="E158" s="775"/>
      <c r="F158" s="1793">
        <f>SUM(F134:F157)</f>
        <v>0</v>
      </c>
      <c r="G158" s="738"/>
    </row>
    <row r="159" spans="1:7" s="703" customFormat="1" x14ac:dyDescent="0.2">
      <c r="A159" s="771" t="s">
        <v>456</v>
      </c>
      <c r="B159" s="772" t="s">
        <v>1951</v>
      </c>
      <c r="C159" s="773" t="s">
        <v>1410</v>
      </c>
      <c r="D159" s="774" t="s">
        <v>1411</v>
      </c>
      <c r="E159" s="775"/>
      <c r="F159" s="1793">
        <f>SUM('Revenues 9-14'!C253)</f>
        <v>0</v>
      </c>
      <c r="G159" s="738"/>
    </row>
    <row r="160" spans="1:7" s="703" customFormat="1" x14ac:dyDescent="0.2">
      <c r="A160" s="771" t="s">
        <v>497</v>
      </c>
      <c r="B160" s="772" t="s">
        <v>1952</v>
      </c>
      <c r="C160" s="773" t="s">
        <v>1449</v>
      </c>
      <c r="D160" s="774" t="s">
        <v>1450</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1957</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1959</v>
      </c>
      <c r="C169" s="765">
        <f>'Revenues 9-14'!B263</f>
        <v>4991</v>
      </c>
      <c r="D169" s="766" t="str">
        <f>'Revenues 9-14'!A263</f>
        <v>Medicaid Matching Funds - Administrative Outreach</v>
      </c>
      <c r="E169" s="739"/>
      <c r="F169" s="1793">
        <f>SUM('Revenues 9-14'!C263:D263,'Revenues 9-14'!F263:G263)</f>
        <v>27251</v>
      </c>
      <c r="G169" s="780">
        <v>6320</v>
      </c>
    </row>
    <row r="170" spans="1:7" x14ac:dyDescent="0.2">
      <c r="A170" s="760" t="s">
        <v>663</v>
      </c>
      <c r="B170" s="760" t="s">
        <v>1960</v>
      </c>
      <c r="C170" s="765">
        <f>'Revenues 9-14'!B264</f>
        <v>4992</v>
      </c>
      <c r="D170" s="766" t="str">
        <f>'Revenues 9-14'!A264</f>
        <v>Medicaid Matching Funds - Fee-for-Service Program</v>
      </c>
      <c r="E170" s="739"/>
      <c r="F170" s="1793">
        <f>SUM('Revenues 9-14'!C264:D264,'Revenues 9-14'!F264:G264)</f>
        <v>136165</v>
      </c>
      <c r="G170" s="780"/>
    </row>
    <row r="171" spans="1:7" x14ac:dyDescent="0.2">
      <c r="A171" s="781" t="s">
        <v>663</v>
      </c>
      <c r="B171" s="777" t="s">
        <v>1961</v>
      </c>
      <c r="C171" s="778">
        <f>'Revenues 9-14'!B265</f>
        <v>4998</v>
      </c>
      <c r="D171" s="779" t="str">
        <f>'Revenues 9-14'!A265</f>
        <v>Other Restricted Revenue from Federal Sources (Describe &amp; Itemize)</v>
      </c>
      <c r="E171" s="739"/>
      <c r="F171" s="1793">
        <f>SUM('Revenues 9-14'!C265:D265,'Revenues 9-14'!F265:G265)</f>
        <v>144030</v>
      </c>
      <c r="G171" s="760"/>
    </row>
    <row r="172" spans="1:7" x14ac:dyDescent="0.2">
      <c r="A172" s="1529" t="s">
        <v>5</v>
      </c>
      <c r="B172" s="1530" t="s">
        <v>1884</v>
      </c>
      <c r="C172" s="1531">
        <v>3100</v>
      </c>
      <c r="D172" s="1532" t="s">
        <v>1886</v>
      </c>
      <c r="E172" s="739"/>
      <c r="F172" s="1794">
        <v>457537</v>
      </c>
      <c r="G172" s="760"/>
    </row>
    <row r="173" spans="1:7" x14ac:dyDescent="0.2">
      <c r="A173" s="1529" t="s">
        <v>659</v>
      </c>
      <c r="B173" s="1530" t="s">
        <v>1884</v>
      </c>
      <c r="C173" s="1531">
        <v>3300</v>
      </c>
      <c r="D173" s="1532" t="s">
        <v>1887</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952</v>
      </c>
      <c r="F175" s="1796">
        <f>SUM(F85:F133,F158:F173)</f>
        <v>2349718</v>
      </c>
    </row>
    <row r="176" spans="1:7" ht="12" customHeight="1" x14ac:dyDescent="0.2">
      <c r="A176" s="1443"/>
      <c r="B176" s="1453"/>
      <c r="C176" s="1454"/>
      <c r="D176" s="1455" t="s">
        <v>2013</v>
      </c>
      <c r="E176" s="1456"/>
      <c r="F176" s="1793">
        <f>'PCTC-OEPP 27-28'!F78-F175</f>
        <v>10629910</v>
      </c>
    </row>
    <row r="177" spans="1:9" ht="12" customHeight="1" x14ac:dyDescent="0.2">
      <c r="A177" s="1443"/>
      <c r="B177" s="1453"/>
      <c r="C177" s="1454"/>
      <c r="D177" s="1455" t="s">
        <v>1793</v>
      </c>
      <c r="E177" s="1456"/>
      <c r="F177" s="1793">
        <f>'Cap Outlay Deprec 26'!I18</f>
        <v>525149</v>
      </c>
    </row>
    <row r="178" spans="1:9" ht="12" customHeight="1" x14ac:dyDescent="0.2">
      <c r="A178" s="1443"/>
      <c r="B178" s="1453"/>
      <c r="C178" s="1454"/>
      <c r="D178" s="1455" t="s">
        <v>2014</v>
      </c>
      <c r="E178" s="1456"/>
      <c r="F178" s="1793">
        <f>F176+F177</f>
        <v>11155059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1368.3</v>
      </c>
      <c r="G179" s="763"/>
      <c r="I179" s="701"/>
    </row>
    <row r="180" spans="1:9" ht="12" customHeight="1" thickBot="1" x14ac:dyDescent="0.25">
      <c r="A180" s="1443"/>
      <c r="B180" s="1457"/>
      <c r="C180" s="1454"/>
      <c r="D180" s="1455" t="s">
        <v>2016</v>
      </c>
      <c r="E180" s="1456" t="s">
        <v>1528</v>
      </c>
      <c r="F180" s="1798">
        <f>F178/F179</f>
        <v>8152.4950668713009</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election activeCell="I11" sqref="I11"/>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1806</v>
      </c>
      <c r="B1" s="1860"/>
      <c r="C1" s="1861"/>
      <c r="D1" s="1861"/>
      <c r="E1" s="1861"/>
      <c r="F1" s="1861"/>
    </row>
    <row r="2" spans="1:6" x14ac:dyDescent="0.25">
      <c r="A2" s="1863"/>
      <c r="B2" s="1864"/>
      <c r="C2" s="1913" t="s">
        <v>2002</v>
      </c>
      <c r="D2" s="1863"/>
      <c r="E2" s="1863"/>
      <c r="F2" s="1863"/>
    </row>
    <row r="3" spans="1:6" ht="5.25" customHeight="1" x14ac:dyDescent="0.25">
      <c r="A3" s="1865"/>
      <c r="B3" s="1866"/>
      <c r="C3" s="1865"/>
      <c r="D3" s="1865"/>
      <c r="E3" s="1865"/>
      <c r="F3" s="1865"/>
    </row>
    <row r="4" spans="1:6" ht="18.75" customHeight="1" x14ac:dyDescent="0.25">
      <c r="A4" s="2377" t="s">
        <v>1794</v>
      </c>
      <c r="B4" s="2378"/>
      <c r="C4" s="2378"/>
      <c r="D4" s="2378"/>
      <c r="E4" s="2378"/>
      <c r="F4" s="2379"/>
    </row>
    <row r="5" spans="1:6" x14ac:dyDescent="0.25">
      <c r="A5" s="2380"/>
      <c r="B5" s="2381"/>
      <c r="C5" s="2381"/>
      <c r="D5" s="2381"/>
      <c r="E5" s="2381"/>
      <c r="F5" s="2382"/>
    </row>
    <row r="6" spans="1:6" ht="18.75" x14ac:dyDescent="0.25">
      <c r="A6" s="1867" t="s">
        <v>1795</v>
      </c>
      <c r="B6" s="1868"/>
      <c r="C6" s="1869"/>
      <c r="D6" s="1869"/>
      <c r="E6" s="1869"/>
      <c r="F6" s="1870"/>
    </row>
    <row r="7" spans="1:6" ht="47.25" customHeight="1" x14ac:dyDescent="0.25">
      <c r="A7" s="2383" t="s">
        <v>1984</v>
      </c>
      <c r="B7" s="2384"/>
      <c r="C7" s="2384"/>
      <c r="D7" s="2384"/>
      <c r="E7" s="2384"/>
      <c r="F7" s="2385"/>
    </row>
    <row r="8" spans="1:6" ht="20.25" customHeight="1" x14ac:dyDescent="0.25">
      <c r="A8" s="1902" t="s">
        <v>1986</v>
      </c>
      <c r="B8" s="1903"/>
      <c r="C8" s="1903"/>
      <c r="D8" s="1903"/>
      <c r="E8" s="1871"/>
      <c r="F8" s="1872"/>
    </row>
    <row r="9" spans="1:6" ht="18" customHeight="1" x14ac:dyDescent="0.25">
      <c r="A9" s="1873" t="s">
        <v>1983</v>
      </c>
      <c r="B9" s="1875"/>
      <c r="C9" s="1875"/>
      <c r="D9" s="1875"/>
      <c r="E9" s="1871"/>
      <c r="F9" s="1872"/>
    </row>
    <row r="10" spans="1:6" ht="15.75" customHeight="1" x14ac:dyDescent="0.25">
      <c r="A10" s="2386" t="s">
        <v>1980</v>
      </c>
      <c r="B10" s="2387"/>
      <c r="C10" s="2387"/>
      <c r="D10" s="2387"/>
      <c r="E10" s="2387"/>
      <c r="F10" s="2388"/>
    </row>
    <row r="11" spans="1:6" ht="33" customHeight="1" x14ac:dyDescent="0.25">
      <c r="A11" s="2383" t="s">
        <v>1985</v>
      </c>
      <c r="B11" s="2384"/>
      <c r="C11" s="2384"/>
      <c r="D11" s="2384"/>
      <c r="E11" s="2384"/>
      <c r="F11" s="2385"/>
    </row>
    <row r="12" spans="1:6" ht="15" customHeight="1" x14ac:dyDescent="0.25">
      <c r="A12" s="1873" t="s">
        <v>1981</v>
      </c>
      <c r="B12" s="1874"/>
      <c r="C12" s="1875"/>
      <c r="D12" s="1875"/>
      <c r="E12" s="1875"/>
      <c r="F12" s="1876"/>
    </row>
    <row r="13" spans="1:6" ht="17.25" customHeight="1" x14ac:dyDescent="0.25">
      <c r="A13" s="2383" t="s">
        <v>1982</v>
      </c>
      <c r="B13" s="2384"/>
      <c r="C13" s="2384"/>
      <c r="D13" s="2384"/>
      <c r="E13" s="2384"/>
      <c r="F13" s="2385"/>
    </row>
    <row r="14" spans="1:6" ht="15" customHeight="1" x14ac:dyDescent="0.25">
      <c r="A14" s="1873" t="s">
        <v>1799</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7" t="s">
        <v>1798</v>
      </c>
      <c r="C17" s="1881" t="s">
        <v>1796</v>
      </c>
      <c r="D17" s="1882">
        <v>500000</v>
      </c>
      <c r="E17" s="1882" t="str">
        <f>IF(D17&lt;25000,D17,"25,000")</f>
        <v>25,000</v>
      </c>
      <c r="F17" s="1883">
        <f>IF(D17&gt;=25000,(D17-E17),"0")</f>
        <v>475000</v>
      </c>
    </row>
    <row r="18" spans="1:7" x14ac:dyDescent="0.25">
      <c r="A18" s="2035" t="s">
        <v>2118</v>
      </c>
      <c r="B18" s="1908">
        <v>102660300</v>
      </c>
      <c r="C18" s="2036" t="s">
        <v>2119</v>
      </c>
      <c r="D18" s="1886">
        <v>9640</v>
      </c>
      <c r="E18" s="1906">
        <f t="shared" ref="E18:E81" si="0">IF(D18&lt;25000,D18,"25,000")</f>
        <v>9640</v>
      </c>
      <c r="F18" s="1906" t="str">
        <f t="shared" ref="F18:F81" si="1">IF(D18&gt;=25000,(D18-E18),"0")</f>
        <v>0</v>
      </c>
      <c r="G18" s="1887"/>
    </row>
    <row r="19" spans="1:7" x14ac:dyDescent="0.25">
      <c r="A19" s="2035" t="s">
        <v>2118</v>
      </c>
      <c r="B19" s="1908">
        <v>102660300</v>
      </c>
      <c r="C19" s="2036" t="s">
        <v>2120</v>
      </c>
      <c r="D19" s="1886">
        <v>13627</v>
      </c>
      <c r="E19" s="1906">
        <f t="shared" si="0"/>
        <v>13627</v>
      </c>
      <c r="F19" s="1906" t="str">
        <f t="shared" si="1"/>
        <v>0</v>
      </c>
    </row>
    <row r="20" spans="1:7" x14ac:dyDescent="0.25">
      <c r="A20" s="2035" t="s">
        <v>2121</v>
      </c>
      <c r="B20" s="1908">
        <v>103000300</v>
      </c>
      <c r="C20" s="2036" t="s">
        <v>2122</v>
      </c>
      <c r="D20" s="1886">
        <v>18000</v>
      </c>
      <c r="E20" s="1906">
        <f t="shared" si="0"/>
        <v>18000</v>
      </c>
      <c r="F20" s="1906" t="str">
        <f t="shared" si="1"/>
        <v>0</v>
      </c>
    </row>
    <row r="21" spans="1:7" x14ac:dyDescent="0.25">
      <c r="A21" s="2035" t="s">
        <v>2123</v>
      </c>
      <c r="B21" s="1908">
        <v>101000300</v>
      </c>
      <c r="C21" s="2036" t="s">
        <v>2124</v>
      </c>
      <c r="D21" s="1886">
        <v>11786</v>
      </c>
      <c r="E21" s="1906">
        <f t="shared" si="0"/>
        <v>11786</v>
      </c>
      <c r="F21" s="1906" t="str">
        <f t="shared" si="1"/>
        <v>0</v>
      </c>
    </row>
    <row r="22" spans="1:7" x14ac:dyDescent="0.25">
      <c r="A22" s="2035" t="s">
        <v>2123</v>
      </c>
      <c r="B22" s="1908">
        <v>101000300</v>
      </c>
      <c r="C22" s="2036" t="s">
        <v>2125</v>
      </c>
      <c r="D22" s="1886">
        <v>2750</v>
      </c>
      <c r="E22" s="1906">
        <f t="shared" si="0"/>
        <v>2750</v>
      </c>
      <c r="F22" s="1906" t="str">
        <f t="shared" si="1"/>
        <v>0</v>
      </c>
    </row>
    <row r="23" spans="1:7" x14ac:dyDescent="0.25">
      <c r="A23" s="2035" t="s">
        <v>2123</v>
      </c>
      <c r="B23" s="1908">
        <v>101000300</v>
      </c>
      <c r="C23" s="2036" t="s">
        <v>2126</v>
      </c>
      <c r="D23" s="1886">
        <v>4990</v>
      </c>
      <c r="E23" s="1906">
        <f t="shared" si="0"/>
        <v>4990</v>
      </c>
      <c r="F23" s="1906" t="str">
        <f t="shared" si="1"/>
        <v>0</v>
      </c>
    </row>
    <row r="24" spans="1:7" x14ac:dyDescent="0.25">
      <c r="A24" s="2035" t="s">
        <v>2123</v>
      </c>
      <c r="B24" s="1908">
        <v>101000300</v>
      </c>
      <c r="C24" s="2036" t="s">
        <v>2127</v>
      </c>
      <c r="D24" s="1886">
        <v>7011</v>
      </c>
      <c r="E24" s="1906">
        <f t="shared" si="0"/>
        <v>7011</v>
      </c>
      <c r="F24" s="1906" t="str">
        <f t="shared" si="1"/>
        <v>0</v>
      </c>
    </row>
    <row r="25" spans="1:7" x14ac:dyDescent="0.25">
      <c r="A25" s="2035" t="s">
        <v>2123</v>
      </c>
      <c r="B25" s="1908">
        <v>101000300</v>
      </c>
      <c r="C25" s="2036" t="s">
        <v>2128</v>
      </c>
      <c r="D25" s="1886">
        <v>1914</v>
      </c>
      <c r="E25" s="1906">
        <f t="shared" si="0"/>
        <v>1914</v>
      </c>
      <c r="F25" s="1906" t="str">
        <f t="shared" si="1"/>
        <v>0</v>
      </c>
    </row>
    <row r="26" spans="1:7" x14ac:dyDescent="0.25">
      <c r="A26" s="2035" t="s">
        <v>2123</v>
      </c>
      <c r="B26" s="1908">
        <v>101000300</v>
      </c>
      <c r="C26" s="2036" t="s">
        <v>2129</v>
      </c>
      <c r="D26" s="1886">
        <v>1998</v>
      </c>
      <c r="E26" s="1906">
        <f t="shared" si="0"/>
        <v>1998</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71716</v>
      </c>
      <c r="E142" s="1893">
        <f>SUM(E18:E141)</f>
        <v>71716</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E30" sqref="E3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37913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8064218</v>
      </c>
      <c r="F19" s="1802"/>
      <c r="G19" s="1804">
        <f>'Expenditures 15-22'!K33-SUM('Expenditures 15-22'!G33,'Expenditures 15-22'!I33)+'Expenditures 15-22'!D229</f>
        <v>8064218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1122544</v>
      </c>
      <c r="F21" s="1805"/>
      <c r="G21" s="1808">
        <f>'Expenditures 15-22'!K42-SUM('Expenditures 15-22'!G42,'Expenditures 15-22'!I42)+'Expenditures 15-22'!K120-SUM('Expenditures 15-22'!G120,'Expenditures 15-22'!I120)+'Expenditures 15-22'!K180-SUM('Expenditures 15-22'!G180,'Expenditures 15-22'!I180)+'Expenditures 15-22'!D238</f>
        <v>1122544</v>
      </c>
      <c r="H21" s="817"/>
      <c r="I21" s="157"/>
    </row>
    <row r="22" spans="1:9" s="542" customFormat="1" ht="12" customHeight="1" x14ac:dyDescent="0.2">
      <c r="A22" s="824" t="s">
        <v>560</v>
      </c>
      <c r="B22" s="825"/>
      <c r="C22" s="823">
        <v>2200</v>
      </c>
      <c r="D22" s="1805"/>
      <c r="E22" s="1807">
        <f>'Expenditures 15-22'!K47-SUM('Expenditures 15-22'!G47,'Expenditures 15-22'!I47)+'Expenditures 15-22'!D243</f>
        <v>186382</v>
      </c>
      <c r="F22" s="1805"/>
      <c r="G22" s="1808">
        <f>'Expenditures 15-22'!K47-SUM('Expenditures 15-22'!G47,'Expenditures 15-22'!I47)+'Expenditures 15-22'!D243</f>
        <v>186382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686387</v>
      </c>
      <c r="F23" s="1805"/>
      <c r="G23" s="1807">
        <f>'Expenditures 15-22'!K53-SUM('Expenditures 15-22'!G53,'Expenditures 15-22'!I53)+'Expenditures 15-22'!D257+'Expenditures 15-22'!K330-SUM('Expenditures 15-22'!G330,'Expenditures 15-22'!I330)</f>
        <v>686387</v>
      </c>
      <c r="H23" s="817"/>
      <c r="I23" s="157"/>
    </row>
    <row r="24" spans="1:9" s="542" customFormat="1" ht="12" customHeight="1" x14ac:dyDescent="0.2">
      <c r="A24" s="824" t="s">
        <v>562</v>
      </c>
      <c r="B24" s="825"/>
      <c r="C24" s="823">
        <v>2400</v>
      </c>
      <c r="D24" s="1805"/>
      <c r="E24" s="1807">
        <f>'Expenditures 15-22'!K57-SUM('Expenditures 15-22'!G57,'Expenditures 15-22'!I57)+'Expenditures 15-22'!D261</f>
        <v>688152</v>
      </c>
      <c r="F24" s="1805"/>
      <c r="G24" s="1808">
        <f>'Expenditures 15-22'!K57-SUM('Expenditures 15-22'!G57,'Expenditures 15-22'!I57)+'Expenditures 15-22'!D261</f>
        <v>688152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1300595</v>
      </c>
      <c r="F28" s="1809">
        <f>'Expenditures 15-22'!K61-SUM('Expenditures 15-22'!G61,'Expenditures 15-22'!I61)+'Expenditures 15-22'!K124-SUM('Expenditures 15-22'!G124,'Expenditures 15-22'!I124)+'Expenditures 15-22'!D266-E9</f>
        <v>1300595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498941</v>
      </c>
      <c r="F29" s="1805"/>
      <c r="G29" s="1808">
        <f>'Expenditures 15-22'!K62-SUM('Expenditures 15-22'!G62,'Expenditures 15-22'!I62)+'Expenditures 15-22'!K125-SUM('Expenditures 15-22'!G125,'Expenditures 15-22'!I125)+'Expenditures 15-22'!K182-SUM('Expenditures 15-22'!G182,'Expenditures 15-22'!I182)+'Expenditures 15-22'!D267</f>
        <v>498941</v>
      </c>
      <c r="H29" s="815"/>
    </row>
    <row r="30" spans="1:9" ht="12" customHeight="1" x14ac:dyDescent="0.2">
      <c r="A30" s="824" t="s">
        <v>100</v>
      </c>
      <c r="B30" s="827"/>
      <c r="C30" s="823">
        <v>2560</v>
      </c>
      <c r="D30" s="1805"/>
      <c r="E30" s="1807">
        <f>'Expenditures 15-22'!K63-SUM('Expenditures 15-22'!G63,'Expenditures 15-22'!I63)+'Expenditures 15-22'!D268-E10</f>
        <v>372381</v>
      </c>
      <c r="F30" s="1805"/>
      <c r="G30" s="1807">
        <f>'Expenditures 15-22'!K63-SUM('Expenditures 15-22'!G63,'Expenditures 15-22'!I63)+'Expenditures 15-22'!D268-E10</f>
        <v>372381</v>
      </c>
    </row>
    <row r="31" spans="1:9" ht="12" customHeight="1" x14ac:dyDescent="0.2">
      <c r="A31" s="824" t="s">
        <v>101</v>
      </c>
      <c r="B31" s="827"/>
      <c r="C31" s="823">
        <v>2570</v>
      </c>
      <c r="D31" s="1807">
        <f>'Expenditures 15-22'!K64-SUM('Expenditures 15-22'!G64,'Expenditures 15-22'!I64)+'Expenditures 15-22'!D269-E12</f>
        <v>8289</v>
      </c>
      <c r="E31" s="1807">
        <f>E12</f>
        <v>0</v>
      </c>
      <c r="F31" s="1807">
        <f>'Expenditures 15-22'!K64-SUM('Expenditures 15-22'!G64,'Expenditures 15-22'!I64)+'Expenditures 15-22'!D269-E12</f>
        <v>8289</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114823</v>
      </c>
      <c r="F34" s="1805"/>
      <c r="G34" s="1807">
        <f>'Expenditures 15-22'!K68-SUM('Expenditures 15-22'!G68,'Expenditures 15-22'!I68)+'Expenditures 15-22'!D273</f>
        <v>114823</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17827</v>
      </c>
      <c r="E37" s="1807">
        <f>E14</f>
        <v>0</v>
      </c>
      <c r="F37" s="1807">
        <f>'Expenditures 15-22'!K71-SUM('Expenditures 15-22'!G71,'Expenditures 15-22'!I71)+'Expenditures 15-22'!D276-E14</f>
        <v>17827</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154728</v>
      </c>
      <c r="F38" s="1805"/>
      <c r="G38" s="1807">
        <f>'Expenditures 15-22'!K73-SUM('Expenditures 15-22'!G73,'Expenditures 15-22'!I73)+'Expenditures 15-22'!K128-SUM('Expenditures 15-22'!G128,'Expenditures 15-22'!I128)+'Expenditures 15-22'!K183-SUM('Expenditures 15-22'!G183,'Expenditures 15-22'!I183)+'Expenditures 15-22'!D278</f>
        <v>154728</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234471</v>
      </c>
      <c r="F39" s="1805"/>
      <c r="G39" s="1807">
        <f>'Expenditures 15-22'!K75-SUM('Expenditures 15-22'!G75,'Expenditures 15-22'!I75)+'Expenditures 15-22'!K130-SUM('Expenditures 15-22'!G130,'Expenditures 15-22'!I130)+'Expenditures 15-22'!K185-SUM('Expenditures 15-22'!G185,'Expenditures 15-22'!I185)+'Expenditures 15-22'!D280</f>
        <v>234471</v>
      </c>
    </row>
    <row r="40" spans="1:7" ht="12" customHeight="1" x14ac:dyDescent="0.2">
      <c r="A40" s="820" t="s">
        <v>1797</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26116</v>
      </c>
      <c r="E41" s="1809">
        <f>SUM(E19:E40)</f>
        <v>13423622</v>
      </c>
      <c r="F41" s="1809">
        <f>SUM(F19:F39)</f>
        <v>1326711</v>
      </c>
      <c r="G41" s="1809">
        <f>SUM(G19:G40)</f>
        <v>12123027</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26116</v>
      </c>
      <c r="F43" s="1458" t="s">
        <v>470</v>
      </c>
      <c r="G43" s="1810">
        <f>F41</f>
        <v>1326711</v>
      </c>
    </row>
    <row r="44" spans="1:7" ht="12" customHeight="1" x14ac:dyDescent="0.2">
      <c r="A44" s="817"/>
      <c r="B44" s="157"/>
      <c r="C44" s="831"/>
      <c r="D44" s="1458" t="s">
        <v>471</v>
      </c>
      <c r="E44" s="1810">
        <f>E41</f>
        <v>13423622</v>
      </c>
      <c r="F44" s="1458" t="s">
        <v>471</v>
      </c>
      <c r="G44" s="1810">
        <f>G41</f>
        <v>12123027</v>
      </c>
    </row>
    <row r="45" spans="1:7" ht="12" customHeight="1" x14ac:dyDescent="0.2">
      <c r="A45" s="817"/>
      <c r="B45" s="157"/>
      <c r="C45" s="157"/>
      <c r="D45" s="1459" t="s">
        <v>999</v>
      </c>
      <c r="E45" s="1811">
        <f>(E43/E44)</f>
        <v>1.9455255816947169E-3</v>
      </c>
      <c r="F45" s="1459" t="s">
        <v>999</v>
      </c>
      <c r="G45" s="1811">
        <f>(G43/G44)</f>
        <v>0.10943727173089692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A43" sqref="A43:F4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Wabash CUSD 348</v>
      </c>
      <c r="D6" s="2415"/>
      <c r="E6" s="2415"/>
      <c r="F6" s="1482"/>
      <c r="G6" s="1507"/>
      <c r="L6" s="1507"/>
      <c r="M6" s="1855"/>
      <c r="N6" s="1855"/>
      <c r="O6" s="1855"/>
    </row>
    <row r="7" spans="1:15" ht="11.25" customHeight="1" thickBot="1" x14ac:dyDescent="0.3">
      <c r="A7" s="1480"/>
      <c r="B7" s="1481"/>
      <c r="C7" s="2416">
        <f>COVER!A13</f>
        <v>20093348026</v>
      </c>
      <c r="D7" s="2416"/>
      <c r="E7" s="2416"/>
      <c r="F7" s="1482"/>
      <c r="G7" s="1507"/>
      <c r="L7" s="1507"/>
      <c r="M7" s="1855"/>
      <c r="N7" s="1855"/>
      <c r="O7" s="1855"/>
    </row>
    <row r="8" spans="1:15" ht="25.5" customHeight="1" thickBot="1" x14ac:dyDescent="0.25">
      <c r="A8" s="1519" t="s">
        <v>1873</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2069</v>
      </c>
      <c r="D14" s="1495" t="s">
        <v>2069</v>
      </c>
      <c r="E14" s="1498"/>
      <c r="F14" s="1497"/>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t="s">
        <v>2069</v>
      </c>
      <c r="D18" s="1495" t="s">
        <v>2069</v>
      </c>
      <c r="E18" s="1498"/>
      <c r="F18" s="1497"/>
      <c r="G18" s="1507"/>
      <c r="H18" s="1507">
        <f t="shared" si="0"/>
        <v>5</v>
      </c>
      <c r="I18" s="1507">
        <f t="shared" si="1"/>
        <v>5</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2069</v>
      </c>
      <c r="D26" s="1495" t="s">
        <v>2069</v>
      </c>
      <c r="E26" s="1498"/>
      <c r="F26" s="1497" t="s">
        <v>2070</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2069</v>
      </c>
      <c r="D31" s="1495" t="s">
        <v>2069</v>
      </c>
      <c r="E31" s="1498"/>
      <c r="F31" s="1497" t="s">
        <v>2070</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0</v>
      </c>
      <c r="K34" s="1507">
        <f>SUM(H34:J34)</f>
        <v>40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t="s">
        <v>2071</v>
      </c>
      <c r="B41" s="2409"/>
      <c r="C41" s="2409"/>
      <c r="D41" s="2409"/>
      <c r="E41" s="2409"/>
      <c r="F41" s="2410"/>
      <c r="H41" s="1508"/>
      <c r="I41" s="1508"/>
      <c r="J41" s="1508"/>
      <c r="K41" s="1508"/>
    </row>
    <row r="42" spans="1:15" s="1499" customFormat="1" ht="12" customHeight="1" x14ac:dyDescent="0.25">
      <c r="A42" s="2408" t="s">
        <v>2072</v>
      </c>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0" zoomScaleNormal="100" workbookViewId="0">
      <selection activeCell="M67" sqref="M67"/>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2001</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 xml:space="preserve">  Wabash CUSD 348</v>
      </c>
      <c r="K6" s="2437"/>
      <c r="L6" s="2451"/>
      <c r="M6" s="838"/>
      <c r="N6" s="1998"/>
    </row>
    <row r="7" spans="1:14" x14ac:dyDescent="0.2">
      <c r="A7" s="2452" t="s">
        <v>864</v>
      </c>
      <c r="B7" s="2453"/>
      <c r="C7" s="2453"/>
      <c r="D7" s="2453"/>
      <c r="E7" s="2454"/>
      <c r="F7" s="839"/>
      <c r="G7" s="838"/>
      <c r="H7" s="838"/>
      <c r="I7" s="1924" t="s">
        <v>369</v>
      </c>
      <c r="J7" s="2439">
        <f>COVER!A13</f>
        <v>20093348026</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2017</v>
      </c>
      <c r="F9" s="1857"/>
      <c r="G9" s="1857"/>
      <c r="H9" s="1857"/>
      <c r="I9" s="1929" t="s">
        <v>2018</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2019</v>
      </c>
      <c r="H11" s="1939" t="s">
        <v>155</v>
      </c>
      <c r="I11" s="1937" t="s">
        <v>64</v>
      </c>
      <c r="J11" s="1937" t="s">
        <v>6</v>
      </c>
      <c r="K11" s="1938" t="s">
        <v>2000</v>
      </c>
      <c r="L11" s="1939" t="s">
        <v>155</v>
      </c>
      <c r="M11" s="838"/>
      <c r="N11" s="1998"/>
    </row>
    <row r="12" spans="1:14" x14ac:dyDescent="0.2">
      <c r="A12" s="2003">
        <v>1</v>
      </c>
      <c r="B12" s="1940" t="s">
        <v>813</v>
      </c>
      <c r="C12" s="842"/>
      <c r="D12" s="1941">
        <v>2320</v>
      </c>
      <c r="E12" s="1944">
        <f>'Expenditures 15-22'!K50</f>
        <v>291312</v>
      </c>
      <c r="F12" s="1942"/>
      <c r="G12" s="1968">
        <f>G68</f>
        <v>0</v>
      </c>
      <c r="H12" s="1944">
        <f t="shared" ref="H12:H18" si="0">SUM(E12:G12)</f>
        <v>291312</v>
      </c>
      <c r="I12" s="1943">
        <v>313080</v>
      </c>
      <c r="J12" s="1942"/>
      <c r="K12" s="1943"/>
      <c r="L12" s="1944">
        <f t="shared" ref="L12:L18" si="1">SUM(I12:K12)</f>
        <v>313080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8" t="s">
        <v>7</v>
      </c>
      <c r="C18" s="2459"/>
      <c r="D18" s="246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291312</v>
      </c>
      <c r="F19" s="1950">
        <f t="shared" si="2"/>
        <v>0</v>
      </c>
      <c r="G19" s="1950">
        <f t="shared" ref="G19" si="3">SUM(G12:G17)-G18</f>
        <v>0</v>
      </c>
      <c r="H19" s="1950">
        <f t="shared" si="2"/>
        <v>291312</v>
      </c>
      <c r="I19" s="1950">
        <f t="shared" si="2"/>
        <v>313080</v>
      </c>
      <c r="J19" s="1950">
        <f t="shared" si="2"/>
        <v>0</v>
      </c>
      <c r="K19" s="1950">
        <f t="shared" si="2"/>
        <v>0</v>
      </c>
      <c r="L19" s="1950">
        <f t="shared" si="2"/>
        <v>313080</v>
      </c>
      <c r="M19" s="838"/>
      <c r="N19" s="1998"/>
    </row>
    <row r="20" spans="1:14" ht="13.5" thickTop="1" x14ac:dyDescent="0.2">
      <c r="A20" s="2003">
        <v>9</v>
      </c>
      <c r="B20" s="2461" t="s">
        <v>2020</v>
      </c>
      <c r="C20" s="2461"/>
      <c r="D20" s="2462"/>
      <c r="E20" s="1951"/>
      <c r="F20" s="1951"/>
      <c r="G20" s="1951"/>
      <c r="H20" s="1951"/>
      <c r="I20" s="1951"/>
      <c r="J20" s="1951"/>
      <c r="K20" s="1951"/>
      <c r="L20" s="1952">
        <f>IF(AND(H19&gt;0,L19&gt;0),(((L19-H19)/H19)),"Enter Budget Data")</f>
        <v>7.4724007249958813E-2</v>
      </c>
      <c r="M20" s="838"/>
      <c r="N20" s="1998"/>
    </row>
    <row r="21" spans="1:14" x14ac:dyDescent="0.2">
      <c r="A21" s="2005" t="s">
        <v>194</v>
      </c>
      <c r="B21" s="2006" t="s">
        <v>2045</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2021</v>
      </c>
      <c r="B24" s="2010"/>
      <c r="C24" s="2011"/>
      <c r="D24" s="2011"/>
      <c r="E24" s="2011"/>
      <c r="F24" s="2011"/>
      <c r="G24" s="2011"/>
      <c r="H24" s="2011"/>
      <c r="I24" s="2011"/>
      <c r="J24" s="2011"/>
      <c r="K24" s="2011"/>
      <c r="L24" s="838"/>
      <c r="M24" s="838"/>
      <c r="N24" s="1998"/>
    </row>
    <row r="25" spans="1:14" x14ac:dyDescent="0.2">
      <c r="A25" s="2009" t="s">
        <v>2022</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1492</v>
      </c>
      <c r="G28" s="2465"/>
      <c r="H28" s="2465"/>
      <c r="I28" s="838"/>
      <c r="J28" s="838"/>
      <c r="K28" s="838"/>
      <c r="L28" s="838"/>
      <c r="M28" s="838"/>
      <c r="N28" s="1998"/>
    </row>
    <row r="29" spans="1:14" x14ac:dyDescent="0.2">
      <c r="A29" s="1997"/>
      <c r="B29" s="2007"/>
      <c r="C29" s="2466"/>
      <c r="D29" s="2466"/>
      <c r="E29" s="845"/>
      <c r="F29" s="2466"/>
      <c r="G29" s="2466"/>
      <c r="H29" s="2466"/>
      <c r="I29" s="838"/>
      <c r="J29" s="838"/>
      <c r="K29" s="838"/>
      <c r="L29" s="838"/>
      <c r="M29" s="838"/>
      <c r="N29" s="1998"/>
    </row>
    <row r="30" spans="1:14" x14ac:dyDescent="0.2">
      <c r="A30" s="1997"/>
      <c r="B30" s="2007"/>
      <c r="C30" s="1960" t="s">
        <v>1544</v>
      </c>
      <c r="D30" s="838"/>
      <c r="E30" s="1959"/>
      <c r="F30" s="2450" t="s">
        <v>1493</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2023</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2024</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t="s">
        <v>2069</v>
      </c>
      <c r="C40" s="2429" t="s">
        <v>2025</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2026</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2027</v>
      </c>
      <c r="B45" s="1983"/>
      <c r="C45" s="1983"/>
      <c r="D45" s="1983"/>
      <c r="E45" s="1983"/>
      <c r="F45" s="1983"/>
      <c r="G45" s="1983"/>
      <c r="H45" s="1983"/>
      <c r="I45" s="1983"/>
      <c r="J45" s="1983"/>
      <c r="K45" s="1983"/>
      <c r="L45" s="1983"/>
      <c r="M45" s="1983"/>
      <c r="N45" s="1984"/>
    </row>
    <row r="46" spans="1:14" x14ac:dyDescent="0.2">
      <c r="A46" s="2434" t="s">
        <v>2028</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2044</v>
      </c>
      <c r="B49" s="2024"/>
      <c r="C49" s="2024"/>
      <c r="D49" s="2025"/>
      <c r="E49" s="2025"/>
      <c r="F49" s="2025"/>
      <c r="G49" s="2025"/>
      <c r="H49" s="2025"/>
      <c r="I49" s="2025"/>
      <c r="J49" s="2025"/>
      <c r="K49" s="2025"/>
      <c r="L49" s="2025"/>
      <c r="M49" s="2025"/>
      <c r="N49" s="2026"/>
    </row>
    <row r="50" spans="1:14" ht="15" x14ac:dyDescent="0.25">
      <c r="A50" s="2028" t="s">
        <v>2043</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 xml:space="preserve">  Wabash CUSD 348</v>
      </c>
      <c r="M52" s="2437"/>
      <c r="N52" s="2438"/>
    </row>
    <row r="53" spans="1:14" x14ac:dyDescent="0.2">
      <c r="A53" s="1982"/>
      <c r="B53" s="1983"/>
      <c r="C53" s="1983"/>
      <c r="D53" s="1983"/>
      <c r="E53" s="1983"/>
      <c r="F53" s="1983"/>
      <c r="G53" s="1983"/>
      <c r="H53" s="1983"/>
      <c r="I53" s="1983"/>
      <c r="J53" s="1983"/>
      <c r="K53" s="1924" t="s">
        <v>369</v>
      </c>
      <c r="L53" s="2439">
        <f>J7</f>
        <v>20093348026</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2029</v>
      </c>
      <c r="H55" s="2443"/>
      <c r="I55" s="2443"/>
      <c r="J55" s="2443"/>
      <c r="K55" s="2443"/>
      <c r="L55" s="2443"/>
      <c r="M55" s="2443"/>
      <c r="N55" s="2444"/>
    </row>
    <row r="56" spans="1:14" ht="63.75" x14ac:dyDescent="0.2">
      <c r="A56" s="2445" t="s">
        <v>2030</v>
      </c>
      <c r="B56" s="2446"/>
      <c r="C56" s="2447"/>
      <c r="D56" s="1964" t="s">
        <v>2031</v>
      </c>
      <c r="E56" s="1964" t="s">
        <v>2032</v>
      </c>
      <c r="F56" s="1971"/>
      <c r="G56" s="1964" t="s">
        <v>2033</v>
      </c>
      <c r="H56" s="1964" t="s">
        <v>2034</v>
      </c>
      <c r="I56" s="1964" t="s">
        <v>2035</v>
      </c>
      <c r="J56" s="1964" t="s">
        <v>2036</v>
      </c>
      <c r="K56" s="1964" t="s">
        <v>2037</v>
      </c>
      <c r="L56" s="1964" t="s">
        <v>2038</v>
      </c>
      <c r="M56" s="1964" t="s">
        <v>2039</v>
      </c>
      <c r="N56" s="1965" t="s">
        <v>2046</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2040</v>
      </c>
      <c r="B58" s="2426"/>
      <c r="C58" s="2426"/>
      <c r="D58" s="1967">
        <v>2362</v>
      </c>
      <c r="E58" s="1977">
        <f>'Expenditures 15-22'!K320</f>
        <v>68939</v>
      </c>
      <c r="F58" s="1972"/>
      <c r="G58" s="2031"/>
      <c r="H58" s="2032"/>
      <c r="I58" s="2032"/>
      <c r="J58" s="2032"/>
      <c r="K58" s="2032"/>
      <c r="L58" s="2032"/>
      <c r="M58" s="2032">
        <v>68939</v>
      </c>
      <c r="N58" s="1975">
        <f>IF((SUM(G58:M58))=E58,SUM(G58:M58),"Column N does not agree with Column E")</f>
        <v>68939</v>
      </c>
    </row>
    <row r="59" spans="1:14" ht="24.75" customHeight="1" x14ac:dyDescent="0.2">
      <c r="A59" s="2419" t="s">
        <v>297</v>
      </c>
      <c r="B59" s="2420"/>
      <c r="C59" s="2420"/>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19" t="s">
        <v>236</v>
      </c>
      <c r="B60" s="2420"/>
      <c r="C60" s="2420"/>
      <c r="D60" s="1967">
        <v>2364</v>
      </c>
      <c r="E60" s="1977">
        <f>'Expenditures 15-22'!K322</f>
        <v>9214</v>
      </c>
      <c r="F60" s="1972"/>
      <c r="G60" s="2031"/>
      <c r="H60" s="2032"/>
      <c r="I60" s="2032"/>
      <c r="J60" s="2032"/>
      <c r="K60" s="2032"/>
      <c r="L60" s="2032"/>
      <c r="M60" s="2032">
        <v>9214</v>
      </c>
      <c r="N60" s="1975">
        <f t="shared" ref="N60:N67" si="4">IF((SUM(G60:M60))=E60,SUM(G60:M60),"Column N does not agree with Column E")</f>
        <v>9214</v>
      </c>
    </row>
    <row r="61" spans="1:14" ht="24.75" customHeight="1" x14ac:dyDescent="0.2">
      <c r="A61" s="2419" t="s">
        <v>697</v>
      </c>
      <c r="B61" s="2420"/>
      <c r="C61" s="2420"/>
      <c r="D61" s="1967">
        <v>2365</v>
      </c>
      <c r="E61" s="1977">
        <f>'Expenditures 15-22'!K323</f>
        <v>91168</v>
      </c>
      <c r="F61" s="1972"/>
      <c r="G61" s="2031"/>
      <c r="H61" s="2032"/>
      <c r="I61" s="2032"/>
      <c r="J61" s="2032"/>
      <c r="K61" s="2032"/>
      <c r="L61" s="2032"/>
      <c r="M61" s="2032">
        <v>91168</v>
      </c>
      <c r="N61" s="1975">
        <f t="shared" si="4"/>
        <v>91168</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0</v>
      </c>
      <c r="F63" s="1972"/>
      <c r="G63" s="2031"/>
      <c r="H63" s="2032"/>
      <c r="I63" s="2032"/>
      <c r="J63" s="2032"/>
      <c r="K63" s="2032"/>
      <c r="L63" s="2032"/>
      <c r="M63" s="2032"/>
      <c r="N63" s="1975">
        <f t="shared" si="4"/>
        <v>0</v>
      </c>
    </row>
    <row r="64" spans="1:14" ht="24" customHeight="1" x14ac:dyDescent="0.2">
      <c r="A64" s="2419" t="s">
        <v>1023</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965</v>
      </c>
      <c r="B65" s="2420"/>
      <c r="C65" s="2420"/>
      <c r="D65" s="1967">
        <v>2369</v>
      </c>
      <c r="E65" s="1977">
        <f>'Expenditures 15-22'!K327</f>
        <v>4010</v>
      </c>
      <c r="F65" s="1972"/>
      <c r="G65" s="2031"/>
      <c r="H65" s="2032"/>
      <c r="I65" s="2032"/>
      <c r="J65" s="2032"/>
      <c r="K65" s="2032"/>
      <c r="L65" s="2032"/>
      <c r="M65" s="2032">
        <v>4010</v>
      </c>
      <c r="N65" s="1975">
        <f t="shared" si="4"/>
        <v>4010</v>
      </c>
    </row>
    <row r="66" spans="1:14" ht="24" customHeight="1" x14ac:dyDescent="0.2">
      <c r="A66" s="2419" t="s">
        <v>469</v>
      </c>
      <c r="B66" s="2420"/>
      <c r="C66" s="2420"/>
      <c r="D66" s="1967">
        <v>2371</v>
      </c>
      <c r="E66" s="1977">
        <f>'Expenditures 15-22'!K328</f>
        <v>151910</v>
      </c>
      <c r="F66" s="1972"/>
      <c r="G66" s="2031"/>
      <c r="H66" s="2032"/>
      <c r="I66" s="2032"/>
      <c r="J66" s="2032"/>
      <c r="K66" s="2032"/>
      <c r="L66" s="2032"/>
      <c r="M66" s="2032">
        <v>151910</v>
      </c>
      <c r="N66" s="1975">
        <f t="shared" si="4"/>
        <v>151910</v>
      </c>
    </row>
    <row r="67" spans="1:14" ht="24.75" customHeight="1" x14ac:dyDescent="0.2">
      <c r="A67" s="2421" t="s">
        <v>2041</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1151</v>
      </c>
      <c r="B68" s="2424"/>
      <c r="C68" s="2424"/>
      <c r="D68" s="1970"/>
      <c r="E68" s="1974">
        <f>SUM(E57:E67)</f>
        <v>325241</v>
      </c>
      <c r="F68" s="1973"/>
      <c r="G68" s="1974">
        <f t="shared" ref="G68:N68" si="5">SUM(G57:G67)</f>
        <v>0</v>
      </c>
      <c r="H68" s="1974">
        <f t="shared" si="5"/>
        <v>0</v>
      </c>
      <c r="I68" s="1974">
        <f t="shared" si="5"/>
        <v>0</v>
      </c>
      <c r="J68" s="1974">
        <f t="shared" si="5"/>
        <v>0</v>
      </c>
      <c r="K68" s="1974">
        <f t="shared" si="5"/>
        <v>0</v>
      </c>
      <c r="L68" s="1974">
        <f t="shared" si="5"/>
        <v>0</v>
      </c>
      <c r="M68" s="1974">
        <f t="shared" si="5"/>
        <v>325241</v>
      </c>
      <c r="N68" s="1988">
        <f t="shared" si="5"/>
        <v>325241</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2042</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5" sqref="B1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2101</v>
      </c>
    </row>
    <row r="6" spans="1:2" x14ac:dyDescent="0.2">
      <c r="A6" s="847">
        <v>2</v>
      </c>
      <c r="B6" s="307" t="s">
        <v>2102</v>
      </c>
    </row>
    <row r="7" spans="1:2" x14ac:dyDescent="0.2">
      <c r="A7" s="847">
        <v>3</v>
      </c>
      <c r="B7" s="307" t="s">
        <v>2103</v>
      </c>
    </row>
    <row r="8" spans="1:2" x14ac:dyDescent="0.2">
      <c r="A8" s="847">
        <v>4</v>
      </c>
      <c r="B8" s="307" t="s">
        <v>2104</v>
      </c>
    </row>
    <row r="9" spans="1:2" x14ac:dyDescent="0.2">
      <c r="A9" s="848"/>
      <c r="B9" s="307" t="s">
        <v>2105</v>
      </c>
    </row>
    <row r="10" spans="1:2" x14ac:dyDescent="0.2">
      <c r="A10" s="848"/>
      <c r="B10" s="307" t="s">
        <v>2106</v>
      </c>
    </row>
    <row r="11" spans="1:2" x14ac:dyDescent="0.2">
      <c r="A11" s="848"/>
      <c r="B11" s="307" t="s">
        <v>2107</v>
      </c>
    </row>
    <row r="12" spans="1:2" x14ac:dyDescent="0.2">
      <c r="A12" s="848"/>
      <c r="B12" s="307" t="s">
        <v>2108</v>
      </c>
    </row>
    <row r="13" spans="1:2" x14ac:dyDescent="0.2">
      <c r="A13" s="848"/>
      <c r="B13" s="307" t="s">
        <v>2109</v>
      </c>
    </row>
    <row r="14" spans="1:2" x14ac:dyDescent="0.2">
      <c r="A14" s="848"/>
      <c r="B14" s="307" t="s">
        <v>2110</v>
      </c>
    </row>
    <row r="15" spans="1:2" x14ac:dyDescent="0.2">
      <c r="A15" s="848"/>
      <c r="B15" s="307" t="s">
        <v>2111</v>
      </c>
    </row>
    <row r="16" spans="1:2" x14ac:dyDescent="0.2">
      <c r="A16" s="848"/>
      <c r="B16" s="307" t="s">
        <v>2112</v>
      </c>
    </row>
    <row r="17" spans="1:2" x14ac:dyDescent="0.2">
      <c r="A17" s="848">
        <v>5</v>
      </c>
      <c r="B17" s="307" t="s">
        <v>2113</v>
      </c>
    </row>
    <row r="18" spans="1:2" x14ac:dyDescent="0.2">
      <c r="A18" s="848">
        <v>6</v>
      </c>
      <c r="B18" s="307" t="s">
        <v>2114</v>
      </c>
    </row>
    <row r="19" spans="1:2" x14ac:dyDescent="0.2">
      <c r="A19" s="848">
        <v>7</v>
      </c>
      <c r="B19" s="307" t="s">
        <v>2115</v>
      </c>
    </row>
    <row r="20" spans="1:2" x14ac:dyDescent="0.2">
      <c r="A20" s="848"/>
      <c r="B20" s="307" t="s">
        <v>2116</v>
      </c>
    </row>
    <row r="21" spans="1:2" x14ac:dyDescent="0.2">
      <c r="A21" s="848"/>
      <c r="B21" s="307" t="s">
        <v>2117</v>
      </c>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Wabash CUSD 348</v>
      </c>
    </row>
    <row r="65" spans="2:2" x14ac:dyDescent="0.2">
      <c r="B65" s="849">
        <f>COVER!A13</f>
        <v>20093348026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1829</v>
      </c>
      <c r="C4" s="157" t="s">
        <v>1159</v>
      </c>
      <c r="D4" s="164" t="s">
        <v>10</v>
      </c>
      <c r="E4" s="165" t="s">
        <v>22</v>
      </c>
    </row>
    <row r="5" spans="1:5" x14ac:dyDescent="0.2">
      <c r="A5" s="163" t="s">
        <v>1831</v>
      </c>
      <c r="C5" s="157" t="s">
        <v>1159</v>
      </c>
      <c r="D5" s="164" t="s">
        <v>10</v>
      </c>
      <c r="E5" s="165" t="s">
        <v>22</v>
      </c>
    </row>
    <row r="6" spans="1:5" x14ac:dyDescent="0.2">
      <c r="A6" s="163" t="s">
        <v>1830</v>
      </c>
      <c r="C6" s="157" t="s">
        <v>1159</v>
      </c>
      <c r="D6" s="162" t="s">
        <v>11</v>
      </c>
      <c r="E6" s="165" t="s">
        <v>935</v>
      </c>
    </row>
    <row r="7" spans="1:5" x14ac:dyDescent="0.2">
      <c r="A7" s="163" t="s">
        <v>1832</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1833</v>
      </c>
      <c r="C11" s="157" t="s">
        <v>1159</v>
      </c>
      <c r="D11" s="164" t="s">
        <v>14</v>
      </c>
      <c r="E11" s="165" t="s">
        <v>1146</v>
      </c>
    </row>
    <row r="12" spans="1:5" x14ac:dyDescent="0.2">
      <c r="B12" s="164" t="s">
        <v>1834</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1835</v>
      </c>
      <c r="C15" s="157" t="s">
        <v>1159</v>
      </c>
      <c r="D15" s="164" t="s">
        <v>17</v>
      </c>
      <c r="E15" s="165" t="s">
        <v>631</v>
      </c>
    </row>
    <row r="16" spans="1:5" x14ac:dyDescent="0.2">
      <c r="A16" s="167"/>
      <c r="B16" s="157" t="s">
        <v>1836</v>
      </c>
      <c r="C16" s="157" t="s">
        <v>1159</v>
      </c>
      <c r="D16" s="164" t="s">
        <v>676</v>
      </c>
      <c r="E16" s="165" t="s">
        <v>1033</v>
      </c>
    </row>
    <row r="17" spans="1:5" x14ac:dyDescent="0.2">
      <c r="B17" s="162" t="s">
        <v>981</v>
      </c>
      <c r="C17" s="157" t="s">
        <v>1159</v>
      </c>
    </row>
    <row r="18" spans="1:5" x14ac:dyDescent="0.2">
      <c r="B18" s="162" t="s">
        <v>1842</v>
      </c>
      <c r="D18" s="164" t="s">
        <v>18</v>
      </c>
      <c r="E18" s="165" t="s">
        <v>1034</v>
      </c>
    </row>
    <row r="19" spans="1:5" x14ac:dyDescent="0.2">
      <c r="A19" s="163" t="s">
        <v>1090</v>
      </c>
      <c r="C19" s="157" t="s">
        <v>1159</v>
      </c>
      <c r="D19" s="164"/>
      <c r="E19" s="166"/>
    </row>
    <row r="20" spans="1:5" x14ac:dyDescent="0.2">
      <c r="B20" s="162" t="s">
        <v>1837</v>
      </c>
      <c r="C20" s="157" t="s">
        <v>1159</v>
      </c>
      <c r="D20" s="164" t="s">
        <v>19</v>
      </c>
      <c r="E20" s="165" t="s">
        <v>51</v>
      </c>
    </row>
    <row r="21" spans="1:5" x14ac:dyDescent="0.2">
      <c r="B21" s="162" t="s">
        <v>1838</v>
      </c>
      <c r="C21" s="157" t="s">
        <v>1159</v>
      </c>
      <c r="D21" s="164" t="s">
        <v>20</v>
      </c>
      <c r="E21" s="165" t="s">
        <v>1593</v>
      </c>
    </row>
    <row r="22" spans="1:5" x14ac:dyDescent="0.2">
      <c r="A22" s="163"/>
      <c r="B22" s="157" t="s">
        <v>1826</v>
      </c>
      <c r="C22" s="157" t="s">
        <v>1159</v>
      </c>
      <c r="D22" s="162" t="s">
        <v>1828</v>
      </c>
      <c r="E22" s="1470" t="s">
        <v>1594</v>
      </c>
    </row>
    <row r="23" spans="1:5" x14ac:dyDescent="0.2">
      <c r="A23" s="163"/>
      <c r="B23" s="157" t="s">
        <v>1827</v>
      </c>
      <c r="D23" s="162" t="s">
        <v>632</v>
      </c>
      <c r="E23" s="1470" t="s">
        <v>953</v>
      </c>
    </row>
    <row r="24" spans="1:5" x14ac:dyDescent="0.2">
      <c r="A24" s="163" t="s">
        <v>1592</v>
      </c>
      <c r="C24" s="157" t="s">
        <v>1159</v>
      </c>
      <c r="D24" s="162" t="s">
        <v>1377</v>
      </c>
      <c r="E24" s="165" t="s">
        <v>954</v>
      </c>
    </row>
    <row r="25" spans="1:5" x14ac:dyDescent="0.2">
      <c r="A25" s="163" t="s">
        <v>1839</v>
      </c>
      <c r="C25" s="157" t="s">
        <v>1159</v>
      </c>
      <c r="D25" s="164" t="s">
        <v>21</v>
      </c>
      <c r="E25" s="1470" t="s">
        <v>2047</v>
      </c>
    </row>
    <row r="26" spans="1:5" x14ac:dyDescent="0.2">
      <c r="A26" s="163" t="s">
        <v>1840</v>
      </c>
      <c r="C26" s="157" t="s">
        <v>1159</v>
      </c>
      <c r="D26" s="164" t="s">
        <v>559</v>
      </c>
      <c r="E26" s="1470" t="s">
        <v>678</v>
      </c>
    </row>
    <row r="27" spans="1:5" x14ac:dyDescent="0.2">
      <c r="A27" s="163" t="s">
        <v>1841</v>
      </c>
      <c r="C27" s="157" t="s">
        <v>1159</v>
      </c>
      <c r="D27" s="164" t="s">
        <v>553</v>
      </c>
      <c r="E27" s="1470" t="s">
        <v>1350</v>
      </c>
    </row>
    <row r="28" spans="1:5" x14ac:dyDescent="0.2">
      <c r="A28" s="163" t="s">
        <v>1843</v>
      </c>
      <c r="D28" s="164" t="s">
        <v>679</v>
      </c>
      <c r="E28" s="1470" t="s">
        <v>1359</v>
      </c>
    </row>
    <row r="29" spans="1:5" x14ac:dyDescent="0.2">
      <c r="A29" s="163" t="s">
        <v>1844</v>
      </c>
      <c r="D29" s="164" t="s">
        <v>1378</v>
      </c>
      <c r="E29" s="1470" t="s">
        <v>2048</v>
      </c>
    </row>
    <row r="30" spans="1:5" x14ac:dyDescent="0.2">
      <c r="A30" s="168" t="s">
        <v>1845</v>
      </c>
      <c r="C30" s="157" t="s">
        <v>1159</v>
      </c>
      <c r="D30" s="164" t="s">
        <v>40</v>
      </c>
      <c r="E30" s="165" t="s">
        <v>975</v>
      </c>
    </row>
    <row r="31" spans="1:5" x14ac:dyDescent="0.2">
      <c r="A31" s="163" t="s">
        <v>1504</v>
      </c>
      <c r="C31" s="157" t="s">
        <v>1159</v>
      </c>
      <c r="D31" s="162"/>
      <c r="E31" s="166"/>
    </row>
    <row r="32" spans="1:5" x14ac:dyDescent="0.2">
      <c r="B32" s="162" t="s">
        <v>1846</v>
      </c>
      <c r="C32" s="157" t="s">
        <v>1159</v>
      </c>
      <c r="D32" s="164" t="s">
        <v>1505</v>
      </c>
      <c r="E32" s="165" t="s">
        <v>2049</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1869</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1599</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1602</v>
      </c>
    </row>
    <row r="72" spans="1:9" ht="9" customHeight="1" x14ac:dyDescent="0.2">
      <c r="A72" s="187"/>
      <c r="B72" s="194"/>
    </row>
    <row r="73" spans="1:9" x14ac:dyDescent="0.2">
      <c r="A73" s="184" t="s">
        <v>1603</v>
      </c>
      <c r="B73" s="164" t="s">
        <v>1760</v>
      </c>
    </row>
    <row r="74" spans="1:9" x14ac:dyDescent="0.2">
      <c r="A74" s="184"/>
      <c r="B74" s="164" t="s">
        <v>1759</v>
      </c>
    </row>
    <row r="75" spans="1:9" ht="8.25" customHeight="1" x14ac:dyDescent="0.2">
      <c r="A75" s="184"/>
      <c r="B75" s="184"/>
    </row>
    <row r="76" spans="1:9" ht="12.2" customHeight="1" x14ac:dyDescent="0.2">
      <c r="A76" s="184" t="s">
        <v>1604</v>
      </c>
      <c r="B76" s="193" t="s">
        <v>1761</v>
      </c>
    </row>
    <row r="77" spans="1:9" ht="12.2" customHeight="1" x14ac:dyDescent="0.2">
      <c r="A77" s="185"/>
      <c r="B77" s="164" t="s">
        <v>1605</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16" sqref="G16"/>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1972</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shapeId="43011" r:id="rId4">
          <objectPr defaultSize="0" r:id="rId5">
            <anchor moveWithCells="1">
              <from>
                <xdr:col>0</xdr:col>
                <xdr:colOff>0</xdr:colOff>
                <xdr:row>0</xdr:row>
                <xdr:rowOff>0</xdr:rowOff>
              </from>
              <to>
                <xdr:col>4</xdr:col>
                <xdr:colOff>504825</xdr:colOff>
                <xdr:row>43</xdr:row>
                <xdr:rowOff>104775</xdr:rowOff>
              </to>
            </anchor>
          </objectPr>
        </oleObject>
      </mc:Choice>
      <mc:Fallback>
        <oleObject progId="Acrobat Document" shapeId="4301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9" sqref="B9"/>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1971</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11248104</v>
      </c>
      <c r="C8" s="1813">
        <f>'Acct Summary 7-8'!D8</f>
        <v>1162481</v>
      </c>
      <c r="D8" s="1813">
        <f>'Acct Summary 7-8'!F8</f>
        <v>887713</v>
      </c>
      <c r="E8" s="1813">
        <f>'Acct Summary 7-8'!I8</f>
        <v>84927</v>
      </c>
      <c r="F8" s="1813">
        <f>SUM(B8:E8)</f>
        <v>13383225</v>
      </c>
    </row>
    <row r="9" spans="1:8" s="858" customFormat="1" ht="14.25" customHeight="1" thickBot="1" x14ac:dyDescent="0.25">
      <c r="A9" s="857" t="s">
        <v>1353</v>
      </c>
      <c r="B9" s="1814">
        <f>'Acct Summary 7-8'!C17</f>
        <v>11216503</v>
      </c>
      <c r="C9" s="1814">
        <f>'Acct Summary 7-8'!D17</f>
        <v>1180799</v>
      </c>
      <c r="D9" s="1814">
        <f>'Acct Summary 7-8'!F17</f>
        <v>743519</v>
      </c>
      <c r="E9" s="1813"/>
      <c r="F9" s="1813">
        <f>SUM(B9:E9)</f>
        <v>13140821</v>
      </c>
    </row>
    <row r="10" spans="1:8" s="858" customFormat="1" ht="14.25" thickTop="1" thickBot="1" x14ac:dyDescent="0.25">
      <c r="A10" s="859" t="s">
        <v>1354</v>
      </c>
      <c r="B10" s="1815">
        <f>(B8-B9)</f>
        <v>31601</v>
      </c>
      <c r="C10" s="1815">
        <f>(C8-C9)</f>
        <v>-18318</v>
      </c>
      <c r="D10" s="1815">
        <f>(D8-D9)</f>
        <v>144194</v>
      </c>
      <c r="E10" s="1814">
        <f>(E8-E9)</f>
        <v>84927</v>
      </c>
      <c r="F10" s="1816">
        <f>SUM(F8-F9)</f>
        <v>242404</v>
      </c>
    </row>
    <row r="11" spans="1:8" s="858" customFormat="1" ht="14.25" thickTop="1" thickBot="1" x14ac:dyDescent="0.25">
      <c r="A11" s="860" t="s">
        <v>1902</v>
      </c>
      <c r="B11" s="1817">
        <f>'Acct Summary 7-8'!C81</f>
        <v>-15208</v>
      </c>
      <c r="C11" s="1817">
        <f>'Acct Summary 7-8'!D81</f>
        <v>169659</v>
      </c>
      <c r="D11" s="1817">
        <f>'Acct Summary 7-8'!F81</f>
        <v>276787</v>
      </c>
      <c r="E11" s="1817">
        <f>'Acct Summary 7-8'!I81</f>
        <v>2884595</v>
      </c>
      <c r="F11" s="1818">
        <f>SUM(B11:E11)</f>
        <v>3315833</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C14" colorId="8" zoomScale="110" zoomScaleNormal="110" workbookViewId="0">
      <selection activeCell="I56" sqref="I56"/>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1014</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1966</v>
      </c>
      <c r="F1" s="1543" t="s">
        <v>1967</v>
      </c>
      <c r="G1" s="1900" t="s">
        <v>1977</v>
      </c>
    </row>
    <row r="2" spans="1:7" ht="15.75" x14ac:dyDescent="0.25">
      <c r="A2" t="s">
        <v>260</v>
      </c>
      <c r="B2" s="135">
        <f>COVER!A13</f>
        <v>20093348026</v>
      </c>
      <c r="E2" s="1542">
        <v>2020</v>
      </c>
      <c r="F2" s="1542">
        <v>1</v>
      </c>
      <c r="G2" s="1899">
        <v>101000300</v>
      </c>
    </row>
    <row r="3" spans="1:7" ht="15" x14ac:dyDescent="0.25">
      <c r="A3" t="s">
        <v>950</v>
      </c>
      <c r="B3" s="135" t="str">
        <f>COVER!A15</f>
        <v>Wabash</v>
      </c>
      <c r="E3" s="1830" t="s">
        <v>1970</v>
      </c>
      <c r="F3" s="1830" t="s">
        <v>1969</v>
      </c>
      <c r="G3" s="1899">
        <v>101000400</v>
      </c>
    </row>
    <row r="4" spans="1:7" ht="15" x14ac:dyDescent="0.25">
      <c r="A4" t="s">
        <v>1000</v>
      </c>
      <c r="B4" s="135" t="str">
        <f>COVER!A17</f>
        <v xml:space="preserve">  Wabash CUSD 348</v>
      </c>
      <c r="E4" s="1828">
        <v>44119</v>
      </c>
      <c r="F4" s="1829">
        <v>44151</v>
      </c>
      <c r="G4" s="1899">
        <v>101000600</v>
      </c>
    </row>
    <row r="5" spans="1:7" ht="15" x14ac:dyDescent="0.25">
      <c r="A5" t="s">
        <v>699</v>
      </c>
      <c r="B5" s="135" t="str">
        <f>COVER!A38</f>
        <v>Charles Bleyer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Yes</v>
      </c>
      <c r="G14" s="1899">
        <v>402100300</v>
      </c>
    </row>
    <row r="15" spans="1:7" ht="15" x14ac:dyDescent="0.25">
      <c r="A15" t="s">
        <v>573</v>
      </c>
      <c r="B15" s="135">
        <f>COVER!T23</f>
        <v>0</v>
      </c>
      <c r="G15" s="1899">
        <v>402100400</v>
      </c>
    </row>
    <row r="16" spans="1:7" ht="15" x14ac:dyDescent="0.25">
      <c r="A16" t="s">
        <v>419</v>
      </c>
      <c r="B16" s="135" t="str">
        <f>COVER!T13</f>
        <v>Kemper CPA Group LLP</v>
      </c>
      <c r="G16" s="1899">
        <v>402100600</v>
      </c>
    </row>
    <row r="17" spans="1:7" ht="15" x14ac:dyDescent="0.25">
      <c r="A17" t="s">
        <v>878</v>
      </c>
      <c r="B17" s="135" t="str">
        <f>COVER!T15</f>
        <v>Michelle Smith, CPA</v>
      </c>
      <c r="G17" s="1899">
        <v>402100800</v>
      </c>
    </row>
    <row r="18" spans="1:7" ht="15" x14ac:dyDescent="0.25">
      <c r="A18" t="s">
        <v>1140</v>
      </c>
      <c r="B18" s="135" t="str">
        <f>COVER!T17</f>
        <v xml:space="preserve">7200 Eagle Crest Blvd. </v>
      </c>
      <c r="G18" s="1899">
        <v>102200300</v>
      </c>
    </row>
    <row r="19" spans="1:7" ht="15" x14ac:dyDescent="0.25">
      <c r="A19" t="s">
        <v>880</v>
      </c>
      <c r="B19" s="135" t="str">
        <f>COVER!T25</f>
        <v>mdsmith@kempercpa.com</v>
      </c>
      <c r="G19" s="1899">
        <v>102200400</v>
      </c>
    </row>
    <row r="20" spans="1:7" ht="15" x14ac:dyDescent="0.25">
      <c r="A20" t="s">
        <v>881</v>
      </c>
      <c r="B20" s="135" t="str">
        <f>COVER!T19</f>
        <v>Evansville</v>
      </c>
      <c r="G20" s="1899">
        <v>102200600</v>
      </c>
    </row>
    <row r="21" spans="1:7" ht="15" x14ac:dyDescent="0.25">
      <c r="A21" t="s">
        <v>476</v>
      </c>
      <c r="B21" s="135" t="str">
        <f>COVER!X19</f>
        <v>IN</v>
      </c>
      <c r="G21" s="1899">
        <v>102200800</v>
      </c>
    </row>
    <row r="22" spans="1:7" ht="15" x14ac:dyDescent="0.25">
      <c r="A22" t="s">
        <v>882</v>
      </c>
      <c r="B22" s="135">
        <f>COVER!Z19</f>
        <v>47715</v>
      </c>
      <c r="G22" s="1899">
        <v>102300300</v>
      </c>
    </row>
    <row r="23" spans="1:7" ht="15" x14ac:dyDescent="0.25">
      <c r="A23" t="s">
        <v>1142</v>
      </c>
      <c r="B23" s="135" t="str">
        <f>COVER!T21</f>
        <v>812-421-8000</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2616563</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3874163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2616563</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3889371</v>
      </c>
      <c r="C91" s="2" t="s">
        <v>569</v>
      </c>
      <c r="D91" s="2" t="str">
        <f t="shared" si="0"/>
        <v>Error?</v>
      </c>
      <c r="G91" s="1899">
        <v>102640400</v>
      </c>
    </row>
    <row r="92" spans="1:7" ht="15" x14ac:dyDescent="0.25">
      <c r="A92" s="5">
        <v>31</v>
      </c>
      <c r="B92" s="1832">
        <f>'Assets-Liab 5-6'!C39</f>
        <v>-15208</v>
      </c>
      <c r="D92" s="2" t="str">
        <f t="shared" si="0"/>
        <v>Error?</v>
      </c>
      <c r="G92" s="1899">
        <v>102640600</v>
      </c>
    </row>
    <row r="93" spans="1:7" ht="15" x14ac:dyDescent="0.25">
      <c r="A93" s="5">
        <v>32</v>
      </c>
      <c r="B93" s="1832">
        <f>'Assets-Liab 5-6'!C41</f>
        <v>3874163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677862</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890155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677862</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720496</v>
      </c>
      <c r="C122" s="2" t="s">
        <v>569</v>
      </c>
      <c r="D122" s="2" t="str">
        <f t="shared" si="0"/>
        <v>Error?</v>
      </c>
      <c r="G122" s="1899">
        <v>203000300</v>
      </c>
    </row>
    <row r="123" spans="1:7" ht="15" x14ac:dyDescent="0.25">
      <c r="A123" s="5">
        <v>62</v>
      </c>
      <c r="B123" s="1832">
        <f>'Assets-Liab 5-6'!D39</f>
        <v>-18318</v>
      </c>
      <c r="D123" s="2" t="str">
        <f t="shared" si="0"/>
        <v>Error?</v>
      </c>
      <c r="G123" s="1899">
        <v>203000400</v>
      </c>
    </row>
    <row r="124" spans="1:7" ht="15" x14ac:dyDescent="0.25">
      <c r="A124" s="5">
        <v>63</v>
      </c>
      <c r="B124" s="1832">
        <f>'Assets-Liab 5-6'!D41</f>
        <v>890155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694853</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752320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694853</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694853</v>
      </c>
      <c r="C139" s="2" t="s">
        <v>569</v>
      </c>
      <c r="D139" s="2" t="str">
        <f t="shared" si="1"/>
        <v>Error?</v>
      </c>
    </row>
    <row r="140" spans="1:7" x14ac:dyDescent="0.2">
      <c r="A140" s="5">
        <v>79</v>
      </c>
      <c r="B140" s="1832">
        <f>'Assets-Liab 5-6'!E39</f>
        <v>57467</v>
      </c>
      <c r="D140" s="2" t="str">
        <f t="shared" si="1"/>
        <v>Error?</v>
      </c>
    </row>
    <row r="141" spans="1:7" x14ac:dyDescent="0.2">
      <c r="A141" s="5">
        <v>80</v>
      </c>
      <c r="B141" s="1832">
        <f>'Assets-Liab 5-6'!E41</f>
        <v>752320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271150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594396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271150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317609</v>
      </c>
      <c r="C169" s="2" t="s">
        <v>569</v>
      </c>
      <c r="D169" s="2" t="str">
        <f t="shared" si="1"/>
        <v>Error?</v>
      </c>
    </row>
    <row r="170" spans="1:4" x14ac:dyDescent="0.2">
      <c r="A170" s="5">
        <v>109</v>
      </c>
      <c r="B170" s="1832">
        <f>'Assets-Liab 5-6'!F39</f>
        <v>276787</v>
      </c>
      <c r="D170" s="2" t="str">
        <f t="shared" si="1"/>
        <v>Error?</v>
      </c>
    </row>
    <row r="171" spans="1:4" x14ac:dyDescent="0.2">
      <c r="A171" s="5">
        <v>110</v>
      </c>
      <c r="B171" s="1832">
        <f>'Assets-Liab 5-6'!F41</f>
        <v>594396</v>
      </c>
      <c r="C171" s="2" t="s">
        <v>569</v>
      </c>
      <c r="D171" s="2" t="str">
        <f t="shared" si="1"/>
        <v>Error?</v>
      </c>
    </row>
    <row r="172" spans="1:4" x14ac:dyDescent="0.2">
      <c r="A172" s="10">
        <v>111</v>
      </c>
      <c r="B172" s="1832"/>
      <c r="D172" s="2" t="str">
        <f t="shared" si="1"/>
        <v>OK</v>
      </c>
    </row>
    <row r="173" spans="1:4" x14ac:dyDescent="0.2">
      <c r="A173" s="5">
        <v>112</v>
      </c>
      <c r="B173" s="1832">
        <f>'Assets-Liab 5-6'!G6</f>
        <v>666134</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1120042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666134</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666134</v>
      </c>
      <c r="C188" s="2" t="s">
        <v>569</v>
      </c>
      <c r="D188" s="2" t="str">
        <f t="shared" si="1"/>
        <v>Error?</v>
      </c>
    </row>
    <row r="189" spans="1:4" x14ac:dyDescent="0.2">
      <c r="A189" s="5">
        <v>128</v>
      </c>
      <c r="B189" s="1832">
        <f>'Assets-Liab 5-6'!G39</f>
        <v>453908</v>
      </c>
      <c r="D189" s="2" t="str">
        <f t="shared" si="1"/>
        <v>Error?</v>
      </c>
    </row>
    <row r="190" spans="1:4" x14ac:dyDescent="0.2">
      <c r="A190" s="5">
        <v>129</v>
      </c>
      <c r="B190" s="1832">
        <f>'Assets-Liab 5-6'!G41</f>
        <v>1120042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678735</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400000</v>
      </c>
      <c r="C211" s="2" t="s">
        <v>569</v>
      </c>
      <c r="D211" s="2" t="str">
        <f t="shared" si="2"/>
        <v>Error?</v>
      </c>
    </row>
    <row r="212" spans="1:4" x14ac:dyDescent="0.2">
      <c r="A212" s="5">
        <v>151</v>
      </c>
      <c r="B212" s="1832">
        <f>'Assets-Liab 5-6'!H39</f>
        <v>278735</v>
      </c>
      <c r="D212" s="2" t="str">
        <f t="shared" si="2"/>
        <v>Error?</v>
      </c>
    </row>
    <row r="213" spans="1:4" x14ac:dyDescent="0.2">
      <c r="A213" s="12">
        <v>152</v>
      </c>
      <c r="B213" s="1832">
        <f>'Assets-Liab 5-6'!H41</f>
        <v>678735</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561878</v>
      </c>
      <c r="D273" s="2" t="str">
        <f t="shared" si="3"/>
        <v>Error?</v>
      </c>
    </row>
    <row r="274" spans="1:4" x14ac:dyDescent="0.2">
      <c r="A274" s="5">
        <v>213</v>
      </c>
      <c r="B274" s="1832">
        <f>'Assets-Liab 5-6'!M17</f>
        <v>19355683</v>
      </c>
      <c r="D274" s="2" t="str">
        <f t="shared" si="3"/>
        <v>Error?</v>
      </c>
    </row>
    <row r="275" spans="1:4" x14ac:dyDescent="0.2">
      <c r="A275" s="5">
        <v>214</v>
      </c>
      <c r="B275" s="1832">
        <f>'Assets-Liab 5-6'!M18</f>
        <v>353927</v>
      </c>
      <c r="D275" s="2" t="str">
        <f t="shared" si="3"/>
        <v>Error?</v>
      </c>
    </row>
    <row r="276" spans="1:4" x14ac:dyDescent="0.2">
      <c r="A276" s="5">
        <v>215</v>
      </c>
      <c r="B276" s="1832">
        <f>'Assets-Liab 5-6'!M19</f>
        <v>3282347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23553835</v>
      </c>
      <c r="C279" s="2" t="s">
        <v>569</v>
      </c>
      <c r="D279" s="2" t="str">
        <f t="shared" si="3"/>
        <v>Error?</v>
      </c>
    </row>
    <row r="280" spans="1:4" x14ac:dyDescent="0.2">
      <c r="A280" s="5">
        <v>219</v>
      </c>
      <c r="B280" s="1832">
        <f>'Assets-Liab 5-6'!M40</f>
        <v>23553835</v>
      </c>
      <c r="D280" s="2" t="str">
        <f t="shared" si="3"/>
        <v>Error?</v>
      </c>
    </row>
    <row r="281" spans="1:4" x14ac:dyDescent="0.2">
      <c r="A281" s="5">
        <v>220</v>
      </c>
      <c r="B281" s="1832">
        <f>'Assets-Liab 5-6'!M41</f>
        <v>23553835</v>
      </c>
      <c r="C281" s="2" t="s">
        <v>569</v>
      </c>
      <c r="D281" s="2" t="str">
        <f t="shared" si="3"/>
        <v>Error?</v>
      </c>
    </row>
    <row r="282" spans="1:4" x14ac:dyDescent="0.2">
      <c r="A282" s="5">
        <v>221</v>
      </c>
      <c r="B282" s="1832">
        <f>'Assets-Liab 5-6'!N21</f>
        <v>57467</v>
      </c>
      <c r="D282" s="2" t="str">
        <f t="shared" si="3"/>
        <v>Error?</v>
      </c>
    </row>
    <row r="283" spans="1:4" x14ac:dyDescent="0.2">
      <c r="A283" s="5">
        <v>222</v>
      </c>
      <c r="B283" s="1832">
        <f>'Assets-Liab 5-6'!N22</f>
        <v>1395533</v>
      </c>
      <c r="D283" s="2" t="str">
        <f t="shared" si="3"/>
        <v>Error?</v>
      </c>
    </row>
    <row r="284" spans="1:4" x14ac:dyDescent="0.2">
      <c r="A284" s="5">
        <v>223</v>
      </c>
      <c r="B284" s="1832">
        <f>'Assets-Liab 5-6'!N23</f>
        <v>1453000</v>
      </c>
      <c r="C284" s="2" t="s">
        <v>569</v>
      </c>
      <c r="D284" s="2" t="str">
        <f t="shared" si="3"/>
        <v>Error?</v>
      </c>
    </row>
    <row r="285" spans="1:4" x14ac:dyDescent="0.2">
      <c r="A285" s="5">
        <v>224</v>
      </c>
      <c r="B285" s="1832">
        <f>'Assets-Liab 5-6'!N36</f>
        <v>1453000</v>
      </c>
      <c r="D285" s="2" t="str">
        <f t="shared" si="3"/>
        <v>Error?</v>
      </c>
    </row>
    <row r="286" spans="1:4" x14ac:dyDescent="0.2">
      <c r="A286" s="10">
        <v>225</v>
      </c>
      <c r="B286" s="1832"/>
      <c r="D286" s="2" t="str">
        <f t="shared" si="3"/>
        <v>OK</v>
      </c>
    </row>
    <row r="287" spans="1:4" x14ac:dyDescent="0.2">
      <c r="A287" s="5">
        <v>226</v>
      </c>
      <c r="B287" s="1832">
        <f>'Assets-Liab 5-6'!N37</f>
        <v>1453000</v>
      </c>
      <c r="C287" s="2" t="s">
        <v>569</v>
      </c>
      <c r="D287" s="2" t="str">
        <f t="shared" si="3"/>
        <v>Error?</v>
      </c>
    </row>
    <row r="288" spans="1:4" x14ac:dyDescent="0.2">
      <c r="A288" s="5">
        <v>227</v>
      </c>
      <c r="B288" s="1832">
        <f>'Assets-Liab 5-6'!N41</f>
        <v>1453000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4716729</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307947</v>
      </c>
      <c r="D717" s="2" t="str">
        <f t="shared" si="10"/>
        <v>Error?</v>
      </c>
    </row>
    <row r="718" spans="1:4" x14ac:dyDescent="0.2">
      <c r="A718" s="5">
        <v>657</v>
      </c>
      <c r="B718" s="1832">
        <f>'Expenditures 15-22'!C14</f>
        <v>124057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6359223</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324100</v>
      </c>
      <c r="D722" s="2" t="str">
        <f t="shared" si="10"/>
        <v>Error?</v>
      </c>
    </row>
    <row r="723" spans="1:4" x14ac:dyDescent="0.2">
      <c r="A723" s="5">
        <v>662</v>
      </c>
      <c r="B723" s="1832">
        <f>'Expenditures 15-22'!C38</f>
        <v>93389</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178693</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596182</v>
      </c>
      <c r="C727" s="2" t="s">
        <v>569</v>
      </c>
      <c r="D727" s="2" t="str">
        <f t="shared" si="10"/>
        <v>Error?</v>
      </c>
    </row>
    <row r="728" spans="1:4" x14ac:dyDescent="0.2">
      <c r="A728" s="5">
        <v>667</v>
      </c>
      <c r="B728" s="1832">
        <f>'Expenditures 15-22'!C44</f>
        <v>8500</v>
      </c>
      <c r="D728" s="2" t="str">
        <f t="shared" si="10"/>
        <v>Error?</v>
      </c>
    </row>
    <row r="729" spans="1:4" x14ac:dyDescent="0.2">
      <c r="A729" s="5">
        <v>668</v>
      </c>
      <c r="B729" s="1832">
        <f>'Expenditures 15-22'!C45</f>
        <v>105105</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113605</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202877</v>
      </c>
      <c r="D733" s="2" t="str">
        <f t="shared" si="10"/>
        <v>Error?</v>
      </c>
    </row>
    <row r="734" spans="1:4" x14ac:dyDescent="0.2">
      <c r="A734" s="5">
        <v>673</v>
      </c>
      <c r="B734" s="1832">
        <f>'Expenditures 15-22'!C53</f>
        <v>202877</v>
      </c>
      <c r="C734" s="2" t="s">
        <v>569</v>
      </c>
      <c r="D734" s="2" t="str">
        <f t="shared" si="10"/>
        <v>Error?</v>
      </c>
    </row>
    <row r="735" spans="1:4" x14ac:dyDescent="0.2">
      <c r="A735" s="5">
        <v>674</v>
      </c>
      <c r="B735" s="1832">
        <f>'Expenditures 15-22'!C55</f>
        <v>474148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474148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162605</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162605</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41109</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41109</v>
      </c>
      <c r="C753" s="2" t="s">
        <v>569</v>
      </c>
      <c r="D753" s="2" t="str">
        <f t="shared" si="10"/>
        <v>Error?</v>
      </c>
    </row>
    <row r="754" spans="1:4" x14ac:dyDescent="0.2">
      <c r="A754" s="5">
        <v>693</v>
      </c>
      <c r="B754" s="1832">
        <f>'Expenditures 15-22'!C73</f>
        <v>17825</v>
      </c>
      <c r="D754" s="2" t="str">
        <f t="shared" si="10"/>
        <v>Error?</v>
      </c>
    </row>
    <row r="755" spans="1:4" x14ac:dyDescent="0.2">
      <c r="A755" s="5">
        <v>694</v>
      </c>
      <c r="B755" s="1832">
        <f>'Expenditures 15-22'!C74</f>
        <v>1608351</v>
      </c>
      <c r="C755" s="2" t="s">
        <v>569</v>
      </c>
      <c r="D755" s="2" t="str">
        <f t="shared" si="10"/>
        <v>Error?</v>
      </c>
    </row>
    <row r="756" spans="1:4" x14ac:dyDescent="0.2">
      <c r="A756" s="5">
        <v>695</v>
      </c>
      <c r="B756" s="1832">
        <f>'Expenditures 15-22'!C75</f>
        <v>153223</v>
      </c>
      <c r="D756" s="2" t="str">
        <f t="shared" si="10"/>
        <v>Error?</v>
      </c>
    </row>
    <row r="757" spans="1:4" x14ac:dyDescent="0.2">
      <c r="A757" s="5">
        <v>696</v>
      </c>
      <c r="B757" s="1832">
        <f>'Expenditures 15-22'!C114</f>
        <v>8120797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813055</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52129</v>
      </c>
      <c r="D775" s="2" t="str">
        <f t="shared" si="11"/>
        <v>Error?</v>
      </c>
    </row>
    <row r="776" spans="1:4" x14ac:dyDescent="0.2">
      <c r="A776" s="5">
        <v>715</v>
      </c>
      <c r="B776" s="1832">
        <f>'Expenditures 15-22'!D14</f>
        <v>20619</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1123433</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52681</v>
      </c>
      <c r="D780" s="2" t="str">
        <f t="shared" si="11"/>
        <v>Error?</v>
      </c>
    </row>
    <row r="781" spans="1:4" x14ac:dyDescent="0.2">
      <c r="A781" s="5">
        <v>720</v>
      </c>
      <c r="B781" s="1832">
        <f>'Expenditures 15-22'!D38</f>
        <v>15326</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35627</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103634</v>
      </c>
      <c r="C785" s="2" t="s">
        <v>569</v>
      </c>
      <c r="D785" s="2" t="str">
        <f t="shared" si="11"/>
        <v>Error?</v>
      </c>
    </row>
    <row r="786" spans="1:4" x14ac:dyDescent="0.2">
      <c r="A786" s="5">
        <v>725</v>
      </c>
      <c r="B786" s="1832">
        <f>'Expenditures 15-22'!D44</f>
        <v>357</v>
      </c>
      <c r="D786" s="2" t="str">
        <f t="shared" si="11"/>
        <v>Error?</v>
      </c>
    </row>
    <row r="787" spans="1:4" x14ac:dyDescent="0.2">
      <c r="A787" s="5">
        <v>726</v>
      </c>
      <c r="B787" s="1832">
        <f>'Expenditures 15-22'!D45</f>
        <v>11384</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11741</v>
      </c>
      <c r="C789" s="2" t="s">
        <v>569</v>
      </c>
      <c r="D789" s="2" t="str">
        <f t="shared" si="11"/>
        <v>Error?</v>
      </c>
    </row>
    <row r="790" spans="1:4" x14ac:dyDescent="0.2">
      <c r="A790" s="5">
        <v>729</v>
      </c>
      <c r="B790" s="1832">
        <f>'Expenditures 15-22'!D49</f>
        <v>379</v>
      </c>
      <c r="D790" s="2" t="str">
        <f t="shared" si="11"/>
        <v>Error?</v>
      </c>
    </row>
    <row r="791" spans="1:4" x14ac:dyDescent="0.2">
      <c r="A791" s="5">
        <v>730</v>
      </c>
      <c r="B791" s="1832">
        <f>'Expenditures 15-22'!D50</f>
        <v>54338</v>
      </c>
      <c r="D791" s="2" t="str">
        <f t="shared" si="11"/>
        <v>Error?</v>
      </c>
    </row>
    <row r="792" spans="1:4" x14ac:dyDescent="0.2">
      <c r="A792" s="5">
        <v>731</v>
      </c>
      <c r="B792" s="1832">
        <f>'Expenditures 15-22'!D53</f>
        <v>54717</v>
      </c>
      <c r="C792" s="2" t="s">
        <v>569</v>
      </c>
      <c r="D792" s="2" t="str">
        <f t="shared" si="11"/>
        <v>Error?</v>
      </c>
    </row>
    <row r="793" spans="1:4" x14ac:dyDescent="0.2">
      <c r="A793" s="5">
        <v>732</v>
      </c>
      <c r="B793" s="1832">
        <f>'Expenditures 15-22'!D55</f>
        <v>109804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109804</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44940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44940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86</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86</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324922</v>
      </c>
      <c r="C813" s="2" t="s">
        <v>569</v>
      </c>
      <c r="D813" s="2" t="str">
        <f t="shared" si="11"/>
        <v>Error?</v>
      </c>
    </row>
    <row r="814" spans="1:4" x14ac:dyDescent="0.2">
      <c r="A814" s="5">
        <v>753</v>
      </c>
      <c r="B814" s="1832">
        <f>'Expenditures 15-22'!D75</f>
        <v>21727</v>
      </c>
      <c r="D814" s="2" t="str">
        <f t="shared" si="11"/>
        <v>Error?</v>
      </c>
    </row>
    <row r="815" spans="1:4" x14ac:dyDescent="0.2">
      <c r="A815" s="5">
        <v>754</v>
      </c>
      <c r="B815" s="1832">
        <f>'Expenditures 15-22'!D114</f>
        <v>1470082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50842</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2946</v>
      </c>
      <c r="D833" s="2" t="str">
        <f t="shared" si="12"/>
        <v>Error?</v>
      </c>
    </row>
    <row r="834" spans="1:4" x14ac:dyDescent="0.2">
      <c r="A834" s="5">
        <v>773</v>
      </c>
      <c r="B834" s="1832">
        <f>'Expenditures 15-22'!E14</f>
        <v>35744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96686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510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291211</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291721</v>
      </c>
      <c r="C843" s="2" t="s">
        <v>569</v>
      </c>
      <c r="D843" s="2" t="str">
        <f t="shared" si="12"/>
        <v>Error?</v>
      </c>
    </row>
    <row r="844" spans="1:4" x14ac:dyDescent="0.2">
      <c r="A844" s="5">
        <v>783</v>
      </c>
      <c r="B844" s="1832">
        <f>'Expenditures 15-22'!E44</f>
        <v>22727</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8855</v>
      </c>
      <c r="D846" s="2" t="str">
        <f t="shared" si="12"/>
        <v>Error?</v>
      </c>
    </row>
    <row r="847" spans="1:4" x14ac:dyDescent="0.2">
      <c r="A847" s="5">
        <v>786</v>
      </c>
      <c r="B847" s="1832">
        <f>'Expenditures 15-22'!E47</f>
        <v>31582</v>
      </c>
      <c r="C847" s="2" t="s">
        <v>569</v>
      </c>
      <c r="D847" s="2" t="str">
        <f t="shared" si="12"/>
        <v>Error?</v>
      </c>
    </row>
    <row r="848" spans="1:4" x14ac:dyDescent="0.2">
      <c r="A848" s="5">
        <v>787</v>
      </c>
      <c r="B848" s="1832">
        <f>'Expenditures 15-22'!E49</f>
        <v>21809</v>
      </c>
      <c r="D848" s="2" t="str">
        <f t="shared" si="12"/>
        <v>Error?</v>
      </c>
    </row>
    <row r="849" spans="1:4" x14ac:dyDescent="0.2">
      <c r="A849" s="5">
        <v>788</v>
      </c>
      <c r="B849" s="1832">
        <f>'Expenditures 15-22'!E50</f>
        <v>28336</v>
      </c>
      <c r="D849" s="2" t="str">
        <f t="shared" si="12"/>
        <v>Error?</v>
      </c>
    </row>
    <row r="850" spans="1:4" x14ac:dyDescent="0.2">
      <c r="A850" s="5">
        <v>789</v>
      </c>
      <c r="B850" s="1832">
        <f>'Expenditures 15-22'!E53</f>
        <v>50145</v>
      </c>
      <c r="C850" s="2" t="s">
        <v>569</v>
      </c>
      <c r="D850" s="2" t="str">
        <f t="shared" si="12"/>
        <v>Error?</v>
      </c>
    </row>
    <row r="851" spans="1:4" x14ac:dyDescent="0.2">
      <c r="A851" s="5">
        <v>790</v>
      </c>
      <c r="B851" s="1832">
        <f>'Expenditures 15-22'!E55</f>
        <v>73538</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73538</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462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462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47751</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17827</v>
      </c>
      <c r="D867" s="2" t="str">
        <f t="shared" si="12"/>
        <v>Error?</v>
      </c>
    </row>
    <row r="868" spans="1:4" x14ac:dyDescent="0.2">
      <c r="A868" s="10">
        <v>807</v>
      </c>
      <c r="B868" s="1832"/>
      <c r="D868" s="2" t="str">
        <f t="shared" si="12"/>
        <v>OK</v>
      </c>
    </row>
    <row r="869" spans="1:4" x14ac:dyDescent="0.2">
      <c r="A869" s="5">
        <v>808</v>
      </c>
      <c r="B869" s="1832">
        <f>'Expenditures 15-22'!E72</f>
        <v>65578</v>
      </c>
      <c r="C869" s="2" t="s">
        <v>569</v>
      </c>
      <c r="D869" s="2" t="str">
        <f t="shared" si="12"/>
        <v>Error?</v>
      </c>
    </row>
    <row r="870" spans="1:4" x14ac:dyDescent="0.2">
      <c r="A870" s="5">
        <v>809</v>
      </c>
      <c r="B870" s="1832">
        <f>'Expenditures 15-22'!E73</f>
        <v>11255</v>
      </c>
      <c r="D870" s="2" t="str">
        <f t="shared" si="12"/>
        <v>Error?</v>
      </c>
    </row>
    <row r="871" spans="1:4" x14ac:dyDescent="0.2">
      <c r="A871" s="5">
        <v>810</v>
      </c>
      <c r="B871" s="1832">
        <f>'Expenditures 15-22'!E74</f>
        <v>524281</v>
      </c>
      <c r="C871" s="2" t="s">
        <v>569</v>
      </c>
      <c r="D871" s="2" t="str">
        <f t="shared" si="12"/>
        <v>Error?</v>
      </c>
    </row>
    <row r="872" spans="1:4" x14ac:dyDescent="0.2">
      <c r="A872" s="5">
        <v>811</v>
      </c>
      <c r="B872" s="1832">
        <f>'Expenditures 15-22'!E75</f>
        <v>25493</v>
      </c>
      <c r="D872" s="2" t="str">
        <f t="shared" si="12"/>
        <v>Error?</v>
      </c>
    </row>
    <row r="873" spans="1:4" x14ac:dyDescent="0.2">
      <c r="A873" s="5">
        <v>812</v>
      </c>
      <c r="B873" s="1832">
        <f>'Expenditures 15-22'!E114</f>
        <v>1000455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213760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10940</v>
      </c>
      <c r="D891" s="2" t="str">
        <f t="shared" si="12"/>
        <v>Error?</v>
      </c>
    </row>
    <row r="892" spans="1:4" x14ac:dyDescent="0.2">
      <c r="A892" s="5">
        <v>831</v>
      </c>
      <c r="B892" s="1832">
        <f>'Expenditures 15-22'!F14</f>
        <v>20294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256319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297</v>
      </c>
      <c r="D896" s="2" t="str">
        <f t="shared" si="13"/>
        <v>Error?</v>
      </c>
    </row>
    <row r="897" spans="1:4" x14ac:dyDescent="0.2">
      <c r="A897" s="5">
        <v>836</v>
      </c>
      <c r="B897" s="1832">
        <f>'Expenditures 15-22'!F38</f>
        <v>5039</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1907</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7243</v>
      </c>
      <c r="C901" s="2" t="s">
        <v>569</v>
      </c>
      <c r="D901" s="2" t="str">
        <f t="shared" si="13"/>
        <v>Error?</v>
      </c>
    </row>
    <row r="902" spans="1:4" x14ac:dyDescent="0.2">
      <c r="A902" s="5">
        <v>841</v>
      </c>
      <c r="B902" s="1832">
        <f>'Expenditures 15-22'!F44</f>
        <v>3436</v>
      </c>
      <c r="D902" s="2" t="str">
        <f t="shared" si="13"/>
        <v>Error?</v>
      </c>
    </row>
    <row r="903" spans="1:4" x14ac:dyDescent="0.2">
      <c r="A903" s="5">
        <v>842</v>
      </c>
      <c r="B903" s="1832">
        <f>'Expenditures 15-22'!F45</f>
        <v>6051</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9487</v>
      </c>
      <c r="C905" s="2" t="s">
        <v>569</v>
      </c>
      <c r="D905" s="2" t="str">
        <f t="shared" si="13"/>
        <v>Error?</v>
      </c>
    </row>
    <row r="906" spans="1:4" x14ac:dyDescent="0.2">
      <c r="A906" s="5">
        <v>845</v>
      </c>
      <c r="B906" s="1832">
        <f>'Expenditures 15-22'!F49</f>
        <v>6105</v>
      </c>
      <c r="D906" s="2" t="str">
        <f t="shared" si="13"/>
        <v>Error?</v>
      </c>
    </row>
    <row r="907" spans="1:4" x14ac:dyDescent="0.2">
      <c r="A907" s="5">
        <v>846</v>
      </c>
      <c r="B907" s="1832">
        <f>'Expenditures 15-22'!F50</f>
        <v>4946</v>
      </c>
      <c r="D907" s="2" t="str">
        <f t="shared" si="13"/>
        <v>Error?</v>
      </c>
    </row>
    <row r="908" spans="1:4" x14ac:dyDescent="0.2">
      <c r="A908" s="5">
        <v>847</v>
      </c>
      <c r="B908" s="1832">
        <f>'Expenditures 15-22'!F53</f>
        <v>11051</v>
      </c>
      <c r="C908" s="2" t="s">
        <v>569</v>
      </c>
      <c r="D908" s="2" t="str">
        <f t="shared" si="13"/>
        <v>Error?</v>
      </c>
    </row>
    <row r="909" spans="1:4" x14ac:dyDescent="0.2">
      <c r="A909" s="5">
        <v>848</v>
      </c>
      <c r="B909" s="1832">
        <f>'Expenditures 15-22'!F55</f>
        <v>3564</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3564</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23032</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137158</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160190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25877</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25877</v>
      </c>
      <c r="C927" s="2" t="s">
        <v>569</v>
      </c>
      <c r="D927" s="2" t="str">
        <f t="shared" si="13"/>
        <v>Error?</v>
      </c>
    </row>
    <row r="928" spans="1:4" x14ac:dyDescent="0.2">
      <c r="A928" s="5">
        <v>867</v>
      </c>
      <c r="B928" s="1832">
        <f>'Expenditures 15-22'!F73</f>
        <v>10286</v>
      </c>
      <c r="D928" s="2" t="str">
        <f t="shared" si="13"/>
        <v>Error?</v>
      </c>
    </row>
    <row r="929" spans="1:4" x14ac:dyDescent="0.2">
      <c r="A929" s="5">
        <v>868</v>
      </c>
      <c r="B929" s="1832">
        <f>'Expenditures 15-22'!F74</f>
        <v>227698</v>
      </c>
      <c r="C929" s="2" t="s">
        <v>569</v>
      </c>
      <c r="D929" s="2" t="str">
        <f t="shared" si="13"/>
        <v>Error?</v>
      </c>
    </row>
    <row r="930" spans="1:4" x14ac:dyDescent="0.2">
      <c r="A930" s="5">
        <v>869</v>
      </c>
      <c r="B930" s="1832">
        <f>'Expenditures 15-22'!F75</f>
        <v>4730</v>
      </c>
      <c r="D930" s="2" t="str">
        <f t="shared" si="13"/>
        <v>Error?</v>
      </c>
    </row>
    <row r="931" spans="1:4" x14ac:dyDescent="0.2">
      <c r="A931" s="5">
        <v>870</v>
      </c>
      <c r="B931" s="1832">
        <f>'Expenditures 15-22'!F114</f>
        <v>488747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100030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110468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1701</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1701</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1701</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112169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833</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290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1123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5917</v>
      </c>
      <c r="D1022" s="2" t="str">
        <f t="shared" si="14"/>
        <v>Error?</v>
      </c>
    </row>
    <row r="1023" spans="1:4" x14ac:dyDescent="0.2">
      <c r="A1023" s="5">
        <v>962</v>
      </c>
      <c r="B1023" s="1832">
        <f>'Expenditures 15-22'!H50</f>
        <v>815</v>
      </c>
      <c r="D1023" s="2" t="str">
        <f t="shared" ref="D1023:D1086" si="15">IF(ISBLANK(B1023),"OK",IF(A1023-B1023=0,"OK","Error?"))</f>
        <v>Error?</v>
      </c>
    </row>
    <row r="1024" spans="1:4" x14ac:dyDescent="0.2">
      <c r="A1024" s="5">
        <v>963</v>
      </c>
      <c r="B1024" s="1832">
        <f>'Expenditures 15-22'!H53</f>
        <v>6732</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16398</v>
      </c>
      <c r="D1044" s="2" t="str">
        <f t="shared" si="15"/>
        <v>Error?</v>
      </c>
    </row>
    <row r="1045" spans="1:5" x14ac:dyDescent="0.2">
      <c r="A1045" s="5">
        <v>984</v>
      </c>
      <c r="B1045" s="1832">
        <f>'Expenditures 15-22'!H74</f>
        <v>23130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24253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1996</v>
      </c>
      <c r="E1056" s="4" t="s">
        <v>1995</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5895249</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373962</v>
      </c>
      <c r="C1105" s="2" t="s">
        <v>569</v>
      </c>
      <c r="D1105" s="2" t="str">
        <f t="shared" si="16"/>
        <v>Error?</v>
      </c>
    </row>
    <row r="1106" spans="1:4" x14ac:dyDescent="0.2">
      <c r="A1106" s="5">
        <v>1045</v>
      </c>
      <c r="B1106" s="1832">
        <f>'Expenditures 15-22'!K14</f>
        <v>201004</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7947252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377078</v>
      </c>
      <c r="C1110" s="2" t="s">
        <v>569</v>
      </c>
      <c r="D1110" s="2" t="str">
        <f t="shared" si="16"/>
        <v>Error?</v>
      </c>
    </row>
    <row r="1111" spans="1:4" x14ac:dyDescent="0.2">
      <c r="A1111" s="5">
        <v>1050</v>
      </c>
      <c r="B1111" s="1832">
        <f>'Expenditures 15-22'!K38</f>
        <v>114264</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507438</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998780</v>
      </c>
      <c r="C1115" s="2" t="s">
        <v>569</v>
      </c>
      <c r="D1115" s="2" t="str">
        <f t="shared" si="16"/>
        <v>Error?</v>
      </c>
    </row>
    <row r="1116" spans="1:4" x14ac:dyDescent="0.2">
      <c r="A1116" s="5">
        <v>1055</v>
      </c>
      <c r="B1116" s="1832">
        <f>'Expenditures 15-22'!K44</f>
        <v>35020</v>
      </c>
      <c r="C1116" s="2" t="s">
        <v>569</v>
      </c>
      <c r="D1116" s="2" t="str">
        <f t="shared" si="16"/>
        <v>Error?</v>
      </c>
    </row>
    <row r="1117" spans="1:4" x14ac:dyDescent="0.2">
      <c r="A1117" s="5">
        <v>1056</v>
      </c>
      <c r="B1117" s="1832">
        <f>'Expenditures 15-22'!K45</f>
        <v>122540</v>
      </c>
      <c r="C1117" s="2" t="s">
        <v>569</v>
      </c>
      <c r="D1117" s="2" t="str">
        <f t="shared" si="16"/>
        <v>Error?</v>
      </c>
    </row>
    <row r="1118" spans="1:4" x14ac:dyDescent="0.2">
      <c r="A1118" s="5">
        <v>1057</v>
      </c>
      <c r="B1118" s="1832">
        <f>'Expenditures 15-22'!K46</f>
        <v>8855</v>
      </c>
      <c r="C1118" s="2" t="s">
        <v>569</v>
      </c>
      <c r="D1118" s="2" t="str">
        <f t="shared" si="16"/>
        <v>Error?</v>
      </c>
    </row>
    <row r="1119" spans="1:4" x14ac:dyDescent="0.2">
      <c r="A1119" s="5">
        <v>1058</v>
      </c>
      <c r="B1119" s="1832">
        <f>'Expenditures 15-22'!K47</f>
        <v>166415</v>
      </c>
      <c r="C1119" s="2" t="s">
        <v>569</v>
      </c>
      <c r="D1119" s="2" t="str">
        <f t="shared" si="16"/>
        <v>Error?</v>
      </c>
    </row>
    <row r="1120" spans="1:4" x14ac:dyDescent="0.2">
      <c r="A1120" s="5">
        <v>1059</v>
      </c>
      <c r="B1120" s="1832">
        <f>'Expenditures 15-22'!K49</f>
        <v>35911</v>
      </c>
      <c r="C1120" s="2" t="s">
        <v>569</v>
      </c>
      <c r="D1120" s="2" t="str">
        <f t="shared" si="16"/>
        <v>Error?</v>
      </c>
    </row>
    <row r="1121" spans="1:4" x14ac:dyDescent="0.2">
      <c r="A1121" s="5">
        <v>1060</v>
      </c>
      <c r="B1121" s="1832">
        <f>'Expenditures 15-22'!K50</f>
        <v>291312</v>
      </c>
      <c r="C1121" s="2" t="s">
        <v>569</v>
      </c>
      <c r="D1121" s="2" t="str">
        <f t="shared" si="16"/>
        <v>Error?</v>
      </c>
    </row>
    <row r="1122" spans="1:4" x14ac:dyDescent="0.2">
      <c r="A1122" s="5">
        <v>1061</v>
      </c>
      <c r="B1122" s="1832">
        <f>'Expenditures 15-22'!K53</f>
        <v>327223</v>
      </c>
      <c r="C1122" s="2" t="s">
        <v>569</v>
      </c>
      <c r="D1122" s="2" t="str">
        <f t="shared" si="16"/>
        <v>Error?</v>
      </c>
    </row>
    <row r="1123" spans="1:4" x14ac:dyDescent="0.2">
      <c r="A1123" s="5">
        <v>1062</v>
      </c>
      <c r="B1123" s="1832">
        <f>'Expenditures 15-22'!K55</f>
        <v>661054</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661054</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23032</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345165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368197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114823</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17827</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132650</v>
      </c>
      <c r="C1141" s="2" t="s">
        <v>569</v>
      </c>
      <c r="D1141" s="2" t="str">
        <f t="shared" si="16"/>
        <v>Error?</v>
      </c>
    </row>
    <row r="1142" spans="1:4" x14ac:dyDescent="0.2">
      <c r="A1142" s="5">
        <v>1081</v>
      </c>
      <c r="B1142" s="1832">
        <f>'Expenditures 15-22'!K73</f>
        <v>55764</v>
      </c>
      <c r="C1142" s="2" t="s">
        <v>569</v>
      </c>
      <c r="D1142" s="2" t="str">
        <f t="shared" si="16"/>
        <v>Error?</v>
      </c>
    </row>
    <row r="1143" spans="1:4" x14ac:dyDescent="0.2">
      <c r="A1143" s="5">
        <v>1082</v>
      </c>
      <c r="B1143" s="1832">
        <f>'Expenditures 15-22'!K74</f>
        <v>2710083</v>
      </c>
      <c r="C1143" s="2" t="s">
        <v>569</v>
      </c>
      <c r="D1143" s="2" t="str">
        <f t="shared" si="16"/>
        <v>Error?</v>
      </c>
    </row>
    <row r="1144" spans="1:4" x14ac:dyDescent="0.2">
      <c r="A1144" s="5">
        <v>1083</v>
      </c>
      <c r="B1144" s="1832">
        <f>'Expenditures 15-22'!K75</f>
        <v>205173</v>
      </c>
      <c r="C1144" s="2" t="s">
        <v>569</v>
      </c>
      <c r="D1144" s="2" t="str">
        <f t="shared" si="16"/>
        <v>Error?</v>
      </c>
    </row>
    <row r="1145" spans="1:4" x14ac:dyDescent="0.2">
      <c r="A1145" s="5">
        <v>1084</v>
      </c>
      <c r="B1145" s="1832">
        <f>'Expenditures 15-22'!K102</f>
        <v>353995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11216503</v>
      </c>
      <c r="C1152" s="2" t="s">
        <v>569</v>
      </c>
      <c r="D1152" s="2" t="str">
        <f t="shared" si="17"/>
        <v>Error?</v>
      </c>
    </row>
    <row r="1153" spans="1:4" x14ac:dyDescent="0.2">
      <c r="A1153" s="5">
        <v>1092</v>
      </c>
      <c r="B1153" s="1832">
        <f>'Expenditures 15-22'!K115</f>
        <v>31601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527179</v>
      </c>
      <c r="D1221" s="2" t="str">
        <f t="shared" si="18"/>
        <v>Error?</v>
      </c>
    </row>
    <row r="1222" spans="1:4" x14ac:dyDescent="0.2">
      <c r="A1222" s="10">
        <v>1161</v>
      </c>
      <c r="B1222" s="1832"/>
      <c r="D1222" s="2" t="str">
        <f t="shared" si="18"/>
        <v>OK</v>
      </c>
    </row>
    <row r="1223" spans="1:4" x14ac:dyDescent="0.2">
      <c r="A1223" s="5">
        <v>1162</v>
      </c>
      <c r="B1223" s="1832">
        <f>'Expenditures 15-22'!C127</f>
        <v>527179</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527179</v>
      </c>
      <c r="C1225" s="2" t="s">
        <v>569</v>
      </c>
      <c r="D1225" s="2" t="str">
        <f t="shared" si="18"/>
        <v>Error?</v>
      </c>
    </row>
    <row r="1226" spans="1:4" x14ac:dyDescent="0.2">
      <c r="A1226" s="5">
        <v>1165</v>
      </c>
      <c r="B1226" s="1832">
        <f>'Expenditures 15-22'!C151</f>
        <v>527179</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127978</v>
      </c>
      <c r="D1229" s="2" t="str">
        <f t="shared" si="18"/>
        <v>Error?</v>
      </c>
    </row>
    <row r="1230" spans="1:4" x14ac:dyDescent="0.2">
      <c r="A1230" s="10">
        <v>1169</v>
      </c>
      <c r="B1230" s="1832"/>
      <c r="D1230" s="2" t="str">
        <f t="shared" si="18"/>
        <v>OK</v>
      </c>
    </row>
    <row r="1231" spans="1:4" x14ac:dyDescent="0.2">
      <c r="A1231" s="5">
        <v>1170</v>
      </c>
      <c r="B1231" s="1832">
        <f>'Expenditures 15-22'!D127</f>
        <v>127978</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127978</v>
      </c>
      <c r="C1233" s="2" t="s">
        <v>569</v>
      </c>
      <c r="D1233" s="2" t="str">
        <f t="shared" si="18"/>
        <v>Error?</v>
      </c>
    </row>
    <row r="1234" spans="1:4" x14ac:dyDescent="0.2">
      <c r="A1234" s="5">
        <v>1173</v>
      </c>
      <c r="B1234" s="1832">
        <f>'Expenditures 15-22'!D151</f>
        <v>127978</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151367</v>
      </c>
      <c r="D1237" s="2" t="str">
        <f t="shared" si="18"/>
        <v>Error?</v>
      </c>
    </row>
    <row r="1238" spans="1:4" x14ac:dyDescent="0.2">
      <c r="A1238" s="10">
        <v>1177</v>
      </c>
      <c r="B1238" s="1832"/>
      <c r="D1238" s="2" t="str">
        <f t="shared" si="18"/>
        <v>OK</v>
      </c>
    </row>
    <row r="1239" spans="1:4" x14ac:dyDescent="0.2">
      <c r="A1239" s="5">
        <v>1178</v>
      </c>
      <c r="B1239" s="1832">
        <f>'Expenditures 15-22'!E127</f>
        <v>151367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151367</v>
      </c>
      <c r="C1241" s="2" t="s">
        <v>569</v>
      </c>
      <c r="D1241" s="2" t="str">
        <f t="shared" si="18"/>
        <v>Error?</v>
      </c>
    </row>
    <row r="1242" spans="1:4" x14ac:dyDescent="0.2">
      <c r="A1242" s="5">
        <v>1181</v>
      </c>
      <c r="B1242" s="1832">
        <f>'Expenditures 15-22'!E151</f>
        <v>151367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374080</v>
      </c>
      <c r="D1245" s="2" t="str">
        <f t="shared" si="18"/>
        <v>Error?</v>
      </c>
    </row>
    <row r="1246" spans="1:4" x14ac:dyDescent="0.2">
      <c r="A1246" s="10">
        <v>1185</v>
      </c>
      <c r="B1246" s="1832"/>
      <c r="D1246" s="2" t="str">
        <f t="shared" si="18"/>
        <v>OK</v>
      </c>
    </row>
    <row r="1247" spans="1:4" x14ac:dyDescent="0.2">
      <c r="A1247" s="5">
        <v>1186</v>
      </c>
      <c r="B1247" s="1832">
        <f>'Expenditures 15-22'!F127</f>
        <v>374080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374080</v>
      </c>
      <c r="C1249" s="2" t="s">
        <v>569</v>
      </c>
      <c r="D1249" s="2" t="str">
        <f t="shared" si="18"/>
        <v>Error?</v>
      </c>
    </row>
    <row r="1250" spans="1:4" x14ac:dyDescent="0.2">
      <c r="A1250" s="5">
        <v>1189</v>
      </c>
      <c r="B1250" s="1832">
        <f>'Expenditures 15-22'!F151</f>
        <v>374080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195</v>
      </c>
      <c r="D1262" s="2" t="str">
        <f t="shared" si="18"/>
        <v>Error?</v>
      </c>
    </row>
    <row r="1263" spans="1:4" x14ac:dyDescent="0.2">
      <c r="A1263" s="10">
        <v>1202</v>
      </c>
      <c r="B1263" s="1832"/>
      <c r="D1263" s="2" t="str">
        <f t="shared" si="18"/>
        <v>OK</v>
      </c>
    </row>
    <row r="1264" spans="1:4" x14ac:dyDescent="0.2">
      <c r="A1264" s="5">
        <v>1203</v>
      </c>
      <c r="B1264" s="1832">
        <f>'Expenditures 15-22'!H127</f>
        <v>195</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195</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195</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1180799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1180799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1180799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1180799</v>
      </c>
      <c r="C1288" s="2" t="s">
        <v>569</v>
      </c>
      <c r="D1288" s="2" t="str">
        <f t="shared" si="19"/>
        <v>Error?</v>
      </c>
    </row>
    <row r="1289" spans="1:4" x14ac:dyDescent="0.2">
      <c r="A1289" s="5">
        <v>1228</v>
      </c>
      <c r="B1289" s="1832">
        <f>'Expenditures 15-22'!K152</f>
        <v>-18318</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1153</v>
      </c>
      <c r="D1307" s="2" t="str">
        <f t="shared" si="19"/>
        <v>Error?</v>
      </c>
    </row>
    <row r="1308" spans="1:4" x14ac:dyDescent="0.2">
      <c r="A1308" s="5">
        <v>1247</v>
      </c>
      <c r="B1308" s="1832">
        <f>'Expenditures 15-22'!E172</f>
        <v>1153</v>
      </c>
      <c r="C1308" s="2" t="s">
        <v>569</v>
      </c>
      <c r="D1308" s="2" t="str">
        <f t="shared" si="19"/>
        <v>Error?</v>
      </c>
    </row>
    <row r="1309" spans="1:4" x14ac:dyDescent="0.2">
      <c r="A1309" s="5">
        <v>1248</v>
      </c>
      <c r="B1309" s="1832">
        <f>'Expenditures 15-22'!E174</f>
        <v>1153</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60564</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613800</v>
      </c>
      <c r="D1315" s="2" t="str">
        <f t="shared" si="19"/>
        <v>Error?</v>
      </c>
    </row>
    <row r="1316" spans="1:4" x14ac:dyDescent="0.2">
      <c r="A1316" s="5">
        <v>1255</v>
      </c>
      <c r="B1316" s="1832">
        <f>'Expenditures 15-22'!H171</f>
        <v>19841</v>
      </c>
      <c r="D1316" s="2" t="str">
        <f t="shared" si="19"/>
        <v>Error?</v>
      </c>
    </row>
    <row r="1317" spans="1:4" x14ac:dyDescent="0.2">
      <c r="A1317" s="5">
        <v>1256</v>
      </c>
      <c r="B1317" s="1832">
        <f>'Expenditures 15-22'!H172</f>
        <v>694205</v>
      </c>
      <c r="C1317" s="2" t="s">
        <v>569</v>
      </c>
      <c r="D1317" s="2" t="str">
        <f t="shared" si="19"/>
        <v>Error?</v>
      </c>
    </row>
    <row r="1318" spans="1:4" x14ac:dyDescent="0.2">
      <c r="A1318" s="5">
        <v>1257</v>
      </c>
      <c r="B1318" s="1832">
        <f>'Expenditures 15-22'!H174</f>
        <v>694205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60564</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613800</v>
      </c>
      <c r="C1329" s="2" t="s">
        <v>569</v>
      </c>
      <c r="D1329" s="2" t="str">
        <f t="shared" si="19"/>
        <v>Error?</v>
      </c>
    </row>
    <row r="1330" spans="1:4" x14ac:dyDescent="0.2">
      <c r="A1330" s="5">
        <v>1269</v>
      </c>
      <c r="B1330" s="1832">
        <f>'Expenditures 15-22'!K171</f>
        <v>20994</v>
      </c>
      <c r="C1330" s="2" t="s">
        <v>569</v>
      </c>
      <c r="D1330" s="2" t="str">
        <f t="shared" si="19"/>
        <v>Error?</v>
      </c>
    </row>
    <row r="1331" spans="1:4" x14ac:dyDescent="0.2">
      <c r="A1331" s="5">
        <v>1270</v>
      </c>
      <c r="B1331" s="1832">
        <f>'Expenditures 15-22'!K172</f>
        <v>695358</v>
      </c>
      <c r="C1331" s="2" t="s">
        <v>569</v>
      </c>
      <c r="D1331" s="2" t="str">
        <f t="shared" si="19"/>
        <v>Error?</v>
      </c>
    </row>
    <row r="1332" spans="1:4" x14ac:dyDescent="0.2">
      <c r="A1332" s="5">
        <v>1271</v>
      </c>
      <c r="B1332" s="1832">
        <f>'Expenditures 15-22'!K174</f>
        <v>695358</v>
      </c>
      <c r="C1332" s="2" t="s">
        <v>569</v>
      </c>
      <c r="D1332" s="2" t="str">
        <f t="shared" si="19"/>
        <v>Error?</v>
      </c>
    </row>
    <row r="1333" spans="1:4" x14ac:dyDescent="0.2">
      <c r="A1333" s="5">
        <v>1272</v>
      </c>
      <c r="B1333" s="1832">
        <f>'Expenditures 15-22'!K175</f>
        <v>5345</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289290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59308</v>
      </c>
      <c r="D1338" s="2" t="str">
        <f t="shared" si="19"/>
        <v>Error?</v>
      </c>
    </row>
    <row r="1339" spans="1:4" x14ac:dyDescent="0.2">
      <c r="A1339" s="5">
        <v>1278</v>
      </c>
      <c r="B1339" s="1832">
        <f>'Expenditures 15-22'!C184</f>
        <v>412167</v>
      </c>
      <c r="C1339" s="2" t="s">
        <v>569</v>
      </c>
      <c r="D1339" s="2" t="str">
        <f t="shared" si="19"/>
        <v>Error?</v>
      </c>
    </row>
    <row r="1340" spans="1:4" x14ac:dyDescent="0.2">
      <c r="A1340" s="5">
        <v>1279</v>
      </c>
      <c r="B1340" s="1832">
        <f>'Expenditures 15-22'!C210</f>
        <v>412167</v>
      </c>
      <c r="C1340" s="2" t="s">
        <v>569</v>
      </c>
      <c r="D1340" s="2" t="str">
        <f t="shared" si="19"/>
        <v>Error?</v>
      </c>
    </row>
    <row r="1341" spans="1:4" x14ac:dyDescent="0.2">
      <c r="A1341" s="5">
        <v>1280</v>
      </c>
      <c r="B1341" s="1832">
        <f>'Expenditures 15-22'!D182</f>
        <v>61520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17303</v>
      </c>
      <c r="D1344" s="2" t="str">
        <f t="shared" si="20"/>
        <v>Error?</v>
      </c>
    </row>
    <row r="1345" spans="1:4" x14ac:dyDescent="0.2">
      <c r="A1345" s="5">
        <v>1284</v>
      </c>
      <c r="B1345" s="1832">
        <f>'Expenditures 15-22'!D184</f>
        <v>98912</v>
      </c>
      <c r="C1345" s="2" t="s">
        <v>569</v>
      </c>
      <c r="D1345" s="2" t="str">
        <f t="shared" si="20"/>
        <v>Error?</v>
      </c>
    </row>
    <row r="1346" spans="1:4" x14ac:dyDescent="0.2">
      <c r="A1346" s="5">
        <v>1285</v>
      </c>
      <c r="B1346" s="1832">
        <f>'Expenditures 15-22'!D210</f>
        <v>98912</v>
      </c>
      <c r="C1346" s="2" t="s">
        <v>569</v>
      </c>
      <c r="D1346" s="2" t="str">
        <f t="shared" si="20"/>
        <v>Error?</v>
      </c>
    </row>
    <row r="1347" spans="1:4" x14ac:dyDescent="0.2">
      <c r="A1347" s="5">
        <v>1286</v>
      </c>
      <c r="B1347" s="1832">
        <f>'Expenditures 15-22'!E182</f>
        <v>7675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19500</v>
      </c>
      <c r="D1350" s="2" t="str">
        <f t="shared" si="20"/>
        <v>Error?</v>
      </c>
    </row>
    <row r="1351" spans="1:4" x14ac:dyDescent="0.2">
      <c r="A1351" s="5">
        <v>1290</v>
      </c>
      <c r="B1351" s="1832">
        <f>'Expenditures 15-22'!E184</f>
        <v>27175</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27175</v>
      </c>
      <c r="C1353" s="2" t="s">
        <v>569</v>
      </c>
      <c r="D1353" s="2" t="str">
        <f t="shared" si="20"/>
        <v>Error?</v>
      </c>
    </row>
    <row r="1354" spans="1:4" x14ac:dyDescent="0.2">
      <c r="A1354" s="5">
        <v>1293</v>
      </c>
      <c r="B1354" s="1832">
        <f>'Expenditures 15-22'!F182</f>
        <v>87536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-710</v>
      </c>
      <c r="D1357" s="2" t="str">
        <f t="shared" si="20"/>
        <v>Error?</v>
      </c>
    </row>
    <row r="1358" spans="1:4" x14ac:dyDescent="0.2">
      <c r="A1358" s="5">
        <v>1297</v>
      </c>
      <c r="B1358" s="1832">
        <f>'Expenditures 15-22'!F184</f>
        <v>86826</v>
      </c>
      <c r="C1358" s="2" t="s">
        <v>569</v>
      </c>
      <c r="D1358" s="2" t="str">
        <f t="shared" si="20"/>
        <v>Error?</v>
      </c>
    </row>
    <row r="1359" spans="1:4" x14ac:dyDescent="0.2">
      <c r="A1359" s="5">
        <v>1298</v>
      </c>
      <c r="B1359" s="1832">
        <f>'Expenditures 15-22'!F210</f>
        <v>86826</v>
      </c>
      <c r="C1359" s="2" t="s">
        <v>569</v>
      </c>
      <c r="D1359" s="2" t="str">
        <f t="shared" si="20"/>
        <v>Error?</v>
      </c>
    </row>
    <row r="1360" spans="1:4" x14ac:dyDescent="0.2">
      <c r="A1360" s="5">
        <v>1299</v>
      </c>
      <c r="B1360" s="1832">
        <f>'Expenditures 15-22'!G182</f>
        <v>118439</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118439</v>
      </c>
      <c r="C1364" s="2" t="s">
        <v>569</v>
      </c>
      <c r="D1364" s="2" t="str">
        <f t="shared" si="20"/>
        <v>Error?</v>
      </c>
    </row>
    <row r="1365" spans="1:4" x14ac:dyDescent="0.2">
      <c r="A1365" s="5">
        <v>1304</v>
      </c>
      <c r="B1365" s="1832">
        <f>'Expenditures 15-22'!G210</f>
        <v>118439</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564460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95401</v>
      </c>
      <c r="C1380" s="2" t="s">
        <v>569</v>
      </c>
      <c r="D1380" s="2" t="str">
        <f t="shared" si="20"/>
        <v>Error?</v>
      </c>
    </row>
    <row r="1381" spans="1:4" x14ac:dyDescent="0.2">
      <c r="A1381" s="5">
        <v>1320</v>
      </c>
      <c r="B1381" s="1832">
        <f>'Expenditures 15-22'!K184</f>
        <v>743519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743519</v>
      </c>
      <c r="C1388" s="2" t="s">
        <v>569</v>
      </c>
      <c r="D1388" s="2" t="str">
        <f t="shared" si="20"/>
        <v>Error?</v>
      </c>
    </row>
    <row r="1389" spans="1:4" x14ac:dyDescent="0.2">
      <c r="A1389" s="5">
        <v>1328</v>
      </c>
      <c r="B1389" s="1832">
        <f>'Expenditures 15-22'!K211</f>
        <v>144194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4243</v>
      </c>
      <c r="D1407" s="2" t="str">
        <f t="shared" ref="D1407:D1470" si="21">IF(ISBLANK(B1407),"OK",IF(A1407-B1407=0,"OK","Error?"))</f>
        <v>Error?</v>
      </c>
    </row>
    <row r="1408" spans="1:4" x14ac:dyDescent="0.2">
      <c r="A1408" s="5">
        <v>1347</v>
      </c>
      <c r="B1408" s="1832">
        <f>'Expenditures 15-22'!D223</f>
        <v>10638</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227434</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15728</v>
      </c>
      <c r="D1412" s="2" t="str">
        <f t="shared" si="21"/>
        <v>Error?</v>
      </c>
    </row>
    <row r="1413" spans="1:4" x14ac:dyDescent="0.2">
      <c r="A1413" s="5">
        <v>1352</v>
      </c>
      <c r="B1413" s="1832">
        <f>'Expenditures 15-22'!D234</f>
        <v>9862</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2480</v>
      </c>
      <c r="D1415" s="2" t="str">
        <f t="shared" si="21"/>
        <v>Error?</v>
      </c>
    </row>
    <row r="1416" spans="1:4" x14ac:dyDescent="0.2">
      <c r="A1416" s="5">
        <v>1355</v>
      </c>
      <c r="B1416" s="1832">
        <f>'Expenditures 15-22'!D237</f>
        <v>12036</v>
      </c>
      <c r="D1416" s="2" t="str">
        <f t="shared" si="21"/>
        <v>Error?</v>
      </c>
    </row>
    <row r="1417" spans="1:4" x14ac:dyDescent="0.2">
      <c r="A1417" s="5">
        <v>1356</v>
      </c>
      <c r="B1417" s="1832">
        <f>'Expenditures 15-22'!D238</f>
        <v>40106</v>
      </c>
      <c r="C1417" s="2" t="s">
        <v>569</v>
      </c>
      <c r="D1417" s="2" t="str">
        <f t="shared" si="21"/>
        <v>Error?</v>
      </c>
    </row>
    <row r="1418" spans="1:4" x14ac:dyDescent="0.2">
      <c r="A1418" s="5">
        <v>1357</v>
      </c>
      <c r="B1418" s="1832">
        <f>'Expenditures 15-22'!D240</f>
        <v>721</v>
      </c>
      <c r="D1418" s="2" t="str">
        <f t="shared" si="21"/>
        <v>Error?</v>
      </c>
    </row>
    <row r="1419" spans="1:4" x14ac:dyDescent="0.2">
      <c r="A1419" s="5">
        <v>1358</v>
      </c>
      <c r="B1419" s="1832">
        <f>'Expenditures 15-22'!D241</f>
        <v>19246</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19967</v>
      </c>
      <c r="C1421" s="2" t="s">
        <v>569</v>
      </c>
      <c r="D1421" s="2" t="str">
        <f t="shared" si="21"/>
        <v>Error?</v>
      </c>
    </row>
    <row r="1422" spans="1:4" x14ac:dyDescent="0.2">
      <c r="A1422" s="5">
        <v>1361</v>
      </c>
      <c r="B1422" s="1832">
        <f>'Expenditures 15-22'!D245</f>
        <v>342</v>
      </c>
      <c r="D1422" s="2" t="str">
        <f t="shared" si="21"/>
        <v>Error?</v>
      </c>
    </row>
    <row r="1423" spans="1:4" x14ac:dyDescent="0.2">
      <c r="A1423" s="5">
        <v>1362</v>
      </c>
      <c r="B1423" s="1832">
        <f>'Expenditures 15-22'!D246</f>
        <v>32478</v>
      </c>
      <c r="D1423" s="2" t="str">
        <f t="shared" si="21"/>
        <v>Error?</v>
      </c>
    </row>
    <row r="1424" spans="1:4" x14ac:dyDescent="0.2">
      <c r="A1424" s="5">
        <v>1363</v>
      </c>
      <c r="B1424" s="1832">
        <f>'Expenditures 15-22'!D257</f>
        <v>35624</v>
      </c>
      <c r="C1424" s="2" t="s">
        <v>569</v>
      </c>
      <c r="D1424" s="2" t="str">
        <f t="shared" si="21"/>
        <v>Error?</v>
      </c>
    </row>
    <row r="1425" spans="1:4" x14ac:dyDescent="0.2">
      <c r="A1425" s="5">
        <v>1364</v>
      </c>
      <c r="B1425" s="1832">
        <f>'Expenditures 15-22'!D259</f>
        <v>27098</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27098</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96764</v>
      </c>
      <c r="D1431" s="2" t="str">
        <f t="shared" si="21"/>
        <v>Error?</v>
      </c>
    </row>
    <row r="1432" spans="1:4" x14ac:dyDescent="0.2">
      <c r="A1432" s="5">
        <v>1371</v>
      </c>
      <c r="B1432" s="1832">
        <f>'Expenditures 15-22'!D267</f>
        <v>52920</v>
      </c>
      <c r="D1432" s="2" t="str">
        <f t="shared" si="21"/>
        <v>Error?</v>
      </c>
    </row>
    <row r="1433" spans="1:4" x14ac:dyDescent="0.2">
      <c r="A1433" s="5">
        <v>1372</v>
      </c>
      <c r="B1433" s="1832">
        <f>'Expenditures 15-22'!D268</f>
        <v>27216</v>
      </c>
      <c r="D1433" s="2" t="str">
        <f t="shared" si="21"/>
        <v>Error?</v>
      </c>
    </row>
    <row r="1434" spans="1:4" x14ac:dyDescent="0.2">
      <c r="A1434" s="5">
        <v>1373</v>
      </c>
      <c r="B1434" s="1832">
        <f>'Expenditures 15-22'!D269</f>
        <v>8289</v>
      </c>
      <c r="D1434" s="2" t="str">
        <f t="shared" si="21"/>
        <v>Error?</v>
      </c>
    </row>
    <row r="1435" spans="1:4" x14ac:dyDescent="0.2">
      <c r="A1435" s="10">
        <v>1374</v>
      </c>
      <c r="B1435" s="1832"/>
      <c r="D1435" s="2" t="str">
        <f t="shared" si="21"/>
        <v>OK</v>
      </c>
    </row>
    <row r="1436" spans="1:4" x14ac:dyDescent="0.2">
      <c r="A1436" s="5">
        <v>1375</v>
      </c>
      <c r="B1436" s="1832">
        <f>'Expenditures 15-22'!D270</f>
        <v>185189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3563</v>
      </c>
      <c r="D1445" s="2" t="str">
        <f t="shared" si="21"/>
        <v>Error?</v>
      </c>
    </row>
    <row r="1446" spans="1:4" x14ac:dyDescent="0.2">
      <c r="A1446" s="5">
        <v>1385</v>
      </c>
      <c r="B1446" s="1832">
        <f>'Expenditures 15-22'!D279</f>
        <v>311547</v>
      </c>
      <c r="C1446" s="2" t="s">
        <v>569</v>
      </c>
      <c r="D1446" s="2" t="str">
        <f t="shared" si="21"/>
        <v>Error?</v>
      </c>
    </row>
    <row r="1447" spans="1:4" x14ac:dyDescent="0.2">
      <c r="A1447" s="5">
        <v>1386</v>
      </c>
      <c r="B1447" s="1832">
        <f>'Expenditures 15-22'!D280</f>
        <v>29298</v>
      </c>
      <c r="D1447" s="2" t="str">
        <f t="shared" si="21"/>
        <v>Error?</v>
      </c>
    </row>
    <row r="1448" spans="1:4" x14ac:dyDescent="0.2">
      <c r="A1448" s="5">
        <v>1387</v>
      </c>
      <c r="B1448" s="1832">
        <f>'Expenditures 15-22'!D295</f>
        <v>568279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4243</v>
      </c>
      <c r="C1471" s="2" t="s">
        <v>569</v>
      </c>
      <c r="D1471" s="2" t="str">
        <f t="shared" ref="D1471:D1534" si="22">IF(ISBLANK(B1471),"OK",IF(A1471-B1471=0,"OK","Error?"))</f>
        <v>Error?</v>
      </c>
    </row>
    <row r="1472" spans="1:4" x14ac:dyDescent="0.2">
      <c r="A1472" s="5">
        <v>1411</v>
      </c>
      <c r="B1472" s="1832">
        <f>'Expenditures 15-22'!K223</f>
        <v>10638</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227434</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15728</v>
      </c>
      <c r="C1476" s="2" t="s">
        <v>569</v>
      </c>
      <c r="D1476" s="2" t="str">
        <f t="shared" si="22"/>
        <v>Error?</v>
      </c>
    </row>
    <row r="1477" spans="1:4" x14ac:dyDescent="0.2">
      <c r="A1477" s="5">
        <v>1416</v>
      </c>
      <c r="B1477" s="1832">
        <f>'Expenditures 15-22'!K234</f>
        <v>9862</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2480</v>
      </c>
      <c r="C1479" s="2" t="s">
        <v>569</v>
      </c>
      <c r="D1479" s="2" t="str">
        <f t="shared" si="22"/>
        <v>Error?</v>
      </c>
    </row>
    <row r="1480" spans="1:4" x14ac:dyDescent="0.2">
      <c r="A1480" s="5">
        <v>1419</v>
      </c>
      <c r="B1480" s="1832">
        <f>'Expenditures 15-22'!K237</f>
        <v>12036</v>
      </c>
      <c r="C1480" s="2" t="s">
        <v>569</v>
      </c>
      <c r="D1480" s="2" t="str">
        <f t="shared" si="22"/>
        <v>Error?</v>
      </c>
    </row>
    <row r="1481" spans="1:4" x14ac:dyDescent="0.2">
      <c r="A1481" s="5">
        <v>1420</v>
      </c>
      <c r="B1481" s="1832">
        <f>'Expenditures 15-22'!K238</f>
        <v>40106</v>
      </c>
      <c r="C1481" s="2" t="s">
        <v>569</v>
      </c>
      <c r="D1481" s="2" t="str">
        <f t="shared" si="22"/>
        <v>Error?</v>
      </c>
    </row>
    <row r="1482" spans="1:4" x14ac:dyDescent="0.2">
      <c r="A1482" s="5">
        <v>1421</v>
      </c>
      <c r="B1482" s="1832">
        <f>'Expenditures 15-22'!K240</f>
        <v>721</v>
      </c>
      <c r="C1482" s="2" t="s">
        <v>569</v>
      </c>
      <c r="D1482" s="2" t="str">
        <f t="shared" si="22"/>
        <v>Error?</v>
      </c>
    </row>
    <row r="1483" spans="1:4" x14ac:dyDescent="0.2">
      <c r="A1483" s="5">
        <v>1422</v>
      </c>
      <c r="B1483" s="1832">
        <f>'Expenditures 15-22'!K241</f>
        <v>19246</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19967</v>
      </c>
      <c r="C1485" s="2" t="s">
        <v>569</v>
      </c>
      <c r="D1485" s="2" t="str">
        <f t="shared" si="22"/>
        <v>Error?</v>
      </c>
    </row>
    <row r="1486" spans="1:4" x14ac:dyDescent="0.2">
      <c r="A1486" s="5">
        <v>1425</v>
      </c>
      <c r="B1486" s="1832">
        <f>'Expenditures 15-22'!K245</f>
        <v>342</v>
      </c>
      <c r="C1486" s="2" t="s">
        <v>569</v>
      </c>
      <c r="D1486" s="2" t="str">
        <f t="shared" si="22"/>
        <v>Error?</v>
      </c>
    </row>
    <row r="1487" spans="1:4" x14ac:dyDescent="0.2">
      <c r="A1487" s="5">
        <v>1426</v>
      </c>
      <c r="B1487" s="1832">
        <f>'Expenditures 15-22'!K246</f>
        <v>32478</v>
      </c>
      <c r="C1487" s="2" t="s">
        <v>569</v>
      </c>
      <c r="D1487" s="2" t="str">
        <f t="shared" si="22"/>
        <v>Error?</v>
      </c>
    </row>
    <row r="1488" spans="1:4" x14ac:dyDescent="0.2">
      <c r="A1488" s="5">
        <v>1427</v>
      </c>
      <c r="B1488" s="1832">
        <f>'Expenditures 15-22'!K257</f>
        <v>35624</v>
      </c>
      <c r="C1488" s="2" t="s">
        <v>569</v>
      </c>
      <c r="D1488" s="2" t="str">
        <f t="shared" si="22"/>
        <v>Error?</v>
      </c>
    </row>
    <row r="1489" spans="1:4" x14ac:dyDescent="0.2">
      <c r="A1489" s="5">
        <v>1428</v>
      </c>
      <c r="B1489" s="1832">
        <f>'Expenditures 15-22'!K259</f>
        <v>27098</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27098</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96764</v>
      </c>
      <c r="C1495" s="2" t="s">
        <v>569</v>
      </c>
      <c r="D1495" s="2" t="str">
        <f t="shared" si="22"/>
        <v>Error?</v>
      </c>
    </row>
    <row r="1496" spans="1:4" x14ac:dyDescent="0.2">
      <c r="A1496" s="5">
        <v>1435</v>
      </c>
      <c r="B1496" s="1832">
        <f>'Expenditures 15-22'!K267</f>
        <v>52920</v>
      </c>
      <c r="C1496" s="2" t="s">
        <v>569</v>
      </c>
      <c r="D1496" s="2" t="str">
        <f t="shared" si="22"/>
        <v>Error?</v>
      </c>
    </row>
    <row r="1497" spans="1:4" x14ac:dyDescent="0.2">
      <c r="A1497" s="5">
        <v>1436</v>
      </c>
      <c r="B1497" s="1832">
        <f>'Expenditures 15-22'!K268</f>
        <v>27216</v>
      </c>
      <c r="C1497" s="2" t="s">
        <v>569</v>
      </c>
      <c r="D1497" s="2" t="str">
        <f t="shared" si="22"/>
        <v>Error?</v>
      </c>
    </row>
    <row r="1498" spans="1:4" x14ac:dyDescent="0.2">
      <c r="A1498" s="5">
        <v>1437</v>
      </c>
      <c r="B1498" s="1832">
        <f>'Expenditures 15-22'!K269</f>
        <v>8289</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185189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3563</v>
      </c>
      <c r="C1509" s="2" t="s">
        <v>569</v>
      </c>
      <c r="D1509" s="2" t="str">
        <f t="shared" si="22"/>
        <v>Error?</v>
      </c>
    </row>
    <row r="1510" spans="1:4" x14ac:dyDescent="0.2">
      <c r="A1510" s="5">
        <v>1449</v>
      </c>
      <c r="B1510" s="1832">
        <f>'Expenditures 15-22'!K279</f>
        <v>311547</v>
      </c>
      <c r="C1510" s="2" t="s">
        <v>569</v>
      </c>
      <c r="D1510" s="2" t="str">
        <f t="shared" si="22"/>
        <v>Error?</v>
      </c>
    </row>
    <row r="1511" spans="1:4" x14ac:dyDescent="0.2">
      <c r="A1511" s="5">
        <v>1450</v>
      </c>
      <c r="B1511" s="1832">
        <f>'Expenditures 15-22'!K280</f>
        <v>29298</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568279</v>
      </c>
      <c r="C1517" s="2" t="s">
        <v>569</v>
      </c>
      <c r="D1517" s="2" t="str">
        <f t="shared" si="22"/>
        <v>Error?</v>
      </c>
    </row>
    <row r="1518" spans="1:4" x14ac:dyDescent="0.2">
      <c r="A1518" s="5">
        <v>1457</v>
      </c>
      <c r="B1518" s="1832">
        <f>'Expenditures 15-22'!K296</f>
        <v>74410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374587</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374587</v>
      </c>
      <c r="C1547" s="2" t="s">
        <v>569</v>
      </c>
      <c r="D1547" s="2" t="str">
        <f t="shared" si="23"/>
        <v>Error?</v>
      </c>
    </row>
    <row r="1548" spans="1:4" x14ac:dyDescent="0.2">
      <c r="A1548" s="5">
        <v>1487</v>
      </c>
      <c r="B1548" s="1832">
        <f>'Expenditures 15-22'!G312</f>
        <v>374587</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374587</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374587</v>
      </c>
      <c r="C1559" s="2" t="s">
        <v>569</v>
      </c>
      <c r="D1559" s="2" t="str">
        <f t="shared" si="23"/>
        <v>Error?</v>
      </c>
    </row>
    <row r="1560" spans="1:4" x14ac:dyDescent="0.2">
      <c r="A1560" s="5">
        <v>1499</v>
      </c>
      <c r="B1560" s="1832">
        <f>'Expenditures 15-22'!K312</f>
        <v>374587</v>
      </c>
      <c r="C1560" s="2" t="s">
        <v>569</v>
      </c>
      <c r="D1560" s="2" t="str">
        <f t="shared" si="23"/>
        <v>Error?</v>
      </c>
    </row>
    <row r="1561" spans="1:4" x14ac:dyDescent="0.2">
      <c r="A1561" s="5">
        <v>1500</v>
      </c>
      <c r="B1561" s="1832">
        <f>'Expenditures 15-22'!K313</f>
        <v>302370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-46809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-15208</v>
      </c>
      <c r="C1630" s="2" t="s">
        <v>569</v>
      </c>
      <c r="D1630" s="2" t="str">
        <f t="shared" si="24"/>
        <v>Error?</v>
      </c>
    </row>
    <row r="1631" spans="1:4" x14ac:dyDescent="0.2">
      <c r="A1631" s="5">
        <v>1570</v>
      </c>
      <c r="B1631" s="1832">
        <f>'Acct Summary 7-8'!D79</f>
        <v>187977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169659</v>
      </c>
      <c r="C1644" s="2" t="s">
        <v>569</v>
      </c>
      <c r="D1644" s="2" t="str">
        <f t="shared" si="24"/>
        <v>Error?</v>
      </c>
    </row>
    <row r="1645" spans="1:4" x14ac:dyDescent="0.2">
      <c r="A1645" s="5">
        <v>1584</v>
      </c>
      <c r="B1645" s="1832">
        <f>'Acct Summary 7-8'!E79</f>
        <v>52122</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57467</v>
      </c>
      <c r="C1658" s="2" t="s">
        <v>569</v>
      </c>
      <c r="D1658" s="2" t="str">
        <f t="shared" si="24"/>
        <v>Error?</v>
      </c>
    </row>
    <row r="1659" spans="1:4" x14ac:dyDescent="0.2">
      <c r="A1659" s="5">
        <v>1598</v>
      </c>
      <c r="B1659" s="1832">
        <f>'Acct Summary 7-8'!F79</f>
        <v>132593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276787</v>
      </c>
      <c r="C1672" s="2" t="s">
        <v>569</v>
      </c>
      <c r="D1672" s="2" t="str">
        <f t="shared" si="25"/>
        <v>Error?</v>
      </c>
    </row>
    <row r="1673" spans="1:4" x14ac:dyDescent="0.2">
      <c r="A1673" s="5">
        <v>1612</v>
      </c>
      <c r="B1673" s="1832">
        <f>'Acct Summary 7-8'!G79</f>
        <v>379498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453908</v>
      </c>
      <c r="C1686" s="2" t="s">
        <v>569</v>
      </c>
      <c r="D1686" s="2" t="str">
        <f t="shared" si="25"/>
        <v>Error?</v>
      </c>
    </row>
    <row r="1687" spans="1:4" x14ac:dyDescent="0.2">
      <c r="A1687" s="5">
        <v>1626</v>
      </c>
      <c r="B1687" s="1832">
        <f>'Acct Summary 7-8'!H79</f>
        <v>-23635</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278735</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2393023</v>
      </c>
      <c r="C1744" s="2" t="s">
        <v>569</v>
      </c>
      <c r="D1744" s="2" t="str">
        <f t="shared" si="26"/>
        <v>Error?</v>
      </c>
    </row>
    <row r="1745" spans="1:5" x14ac:dyDescent="0.2">
      <c r="A1745" s="5">
        <v>1684</v>
      </c>
      <c r="B1745" s="1832">
        <f>'Tax Sched 23'!B5</f>
        <v>650278</v>
      </c>
      <c r="C1745" s="2" t="s">
        <v>569</v>
      </c>
      <c r="D1745" s="2" t="str">
        <f t="shared" si="26"/>
        <v>Error?</v>
      </c>
    </row>
    <row r="1746" spans="1:5" x14ac:dyDescent="0.2">
      <c r="A1746" s="5">
        <v>1685</v>
      </c>
      <c r="B1746" s="1832">
        <f>'Tax Sched 23'!B6</f>
        <v>700089</v>
      </c>
      <c r="C1746" s="2" t="s">
        <v>569</v>
      </c>
      <c r="D1746" s="2" t="str">
        <f t="shared" si="26"/>
        <v>Error?</v>
      </c>
    </row>
    <row r="1747" spans="1:5" x14ac:dyDescent="0.2">
      <c r="A1747" s="5">
        <v>1686</v>
      </c>
      <c r="B1747" s="1832">
        <f>'Tax Sched 23'!B7</f>
        <v>260111</v>
      </c>
      <c r="C1747" s="2" t="s">
        <v>569</v>
      </c>
      <c r="D1747" s="2" t="str">
        <f t="shared" si="26"/>
        <v>Error?</v>
      </c>
    </row>
    <row r="1748" spans="1:5" x14ac:dyDescent="0.2">
      <c r="A1748" s="5">
        <v>1687</v>
      </c>
      <c r="B1748" s="1832">
        <f>'Tax Sched 23'!B8</f>
        <v>333333</v>
      </c>
      <c r="C1748" s="2" t="s">
        <v>569</v>
      </c>
      <c r="D1748" s="2" t="str">
        <f t="shared" si="26"/>
        <v>Error?</v>
      </c>
    </row>
    <row r="1749" spans="1:5" x14ac:dyDescent="0.2">
      <c r="A1749" s="5">
        <v>1688</v>
      </c>
      <c r="B1749" s="1832">
        <f>'Tax Sched 23'!B10</f>
        <v>65028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672284</v>
      </c>
      <c r="C1751" s="2" t="s">
        <v>569</v>
      </c>
      <c r="D1751" s="2" t="str">
        <f t="shared" si="26"/>
        <v>Error?</v>
      </c>
    </row>
    <row r="1752" spans="1:5" x14ac:dyDescent="0.2">
      <c r="A1752" s="5">
        <v>1691</v>
      </c>
      <c r="B1752" s="1832">
        <f>'Tax Sched 23'!B11</f>
        <v>448432</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52022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5945259</v>
      </c>
      <c r="C1759" s="2" t="s">
        <v>569</v>
      </c>
      <c r="D1759" s="2" t="str">
        <f t="shared" si="26"/>
        <v>Error?</v>
      </c>
    </row>
    <row r="1760" spans="1:5" x14ac:dyDescent="0.2">
      <c r="A1760" s="5">
        <v>1699</v>
      </c>
      <c r="B1760" s="1832">
        <f>'Tax Sched 23'!D4</f>
        <v>2393023</v>
      </c>
      <c r="C1760" s="2" t="s">
        <v>569</v>
      </c>
      <c r="D1760" s="2" t="str">
        <f t="shared" si="26"/>
        <v>Error?</v>
      </c>
    </row>
    <row r="1761" spans="1:7" x14ac:dyDescent="0.2">
      <c r="A1761" s="5">
        <v>1700</v>
      </c>
      <c r="B1761" s="1832">
        <f>'Tax Sched 23'!D5</f>
        <v>650278</v>
      </c>
      <c r="C1761" s="2" t="s">
        <v>569</v>
      </c>
      <c r="D1761" s="2" t="str">
        <f t="shared" si="26"/>
        <v>Error?</v>
      </c>
    </row>
    <row r="1762" spans="1:7" s="8" customFormat="1" x14ac:dyDescent="0.2">
      <c r="A1762" s="5">
        <v>1701</v>
      </c>
      <c r="B1762" s="1832">
        <f>'Tax Sched 23'!D6</f>
        <v>700089</v>
      </c>
      <c r="C1762" s="2" t="s">
        <v>569</v>
      </c>
      <c r="D1762" s="2" t="str">
        <f t="shared" si="26"/>
        <v>Error?</v>
      </c>
      <c r="E1762" s="9"/>
      <c r="G1762"/>
    </row>
    <row r="1763" spans="1:7" x14ac:dyDescent="0.2">
      <c r="A1763" s="5">
        <v>1702</v>
      </c>
      <c r="B1763" s="1832">
        <f>'Tax Sched 23'!D7</f>
        <v>260111</v>
      </c>
      <c r="C1763" s="2" t="s">
        <v>569</v>
      </c>
      <c r="D1763" s="2" t="str">
        <f t="shared" si="26"/>
        <v>Error?</v>
      </c>
    </row>
    <row r="1764" spans="1:7" x14ac:dyDescent="0.2">
      <c r="A1764" s="5">
        <v>1703</v>
      </c>
      <c r="B1764" s="1832">
        <f>'Tax Sched 23'!D8</f>
        <v>333333</v>
      </c>
      <c r="C1764" s="2" t="s">
        <v>569</v>
      </c>
      <c r="D1764" s="2" t="str">
        <f t="shared" si="26"/>
        <v>Error?</v>
      </c>
    </row>
    <row r="1765" spans="1:7" x14ac:dyDescent="0.2">
      <c r="A1765" s="5">
        <v>1704</v>
      </c>
      <c r="B1765" s="1832">
        <f>'Tax Sched 23'!D10</f>
        <v>65028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672284</v>
      </c>
      <c r="C1767" s="2" t="s">
        <v>569</v>
      </c>
      <c r="D1767" s="2" t="str">
        <f t="shared" si="26"/>
        <v>Error?</v>
      </c>
    </row>
    <row r="1768" spans="1:7" x14ac:dyDescent="0.2">
      <c r="A1768" s="5">
        <v>1707</v>
      </c>
      <c r="B1768" s="1832">
        <f>'Tax Sched 23'!D11</f>
        <v>448432</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52022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5945259</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2057200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52022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52022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52022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561878</v>
      </c>
      <c r="D2008" s="2" t="str">
        <f t="shared" si="30"/>
        <v>Error?</v>
      </c>
    </row>
    <row r="2009" spans="1:4" x14ac:dyDescent="0.2">
      <c r="A2009" s="5">
        <v>1948</v>
      </c>
      <c r="B2009" s="1832">
        <f>'Cap Outlay Deprec 26'!C8</f>
        <v>19048893</v>
      </c>
      <c r="D2009" s="2" t="str">
        <f t="shared" si="30"/>
        <v>Error?</v>
      </c>
    </row>
    <row r="2010" spans="1:4" x14ac:dyDescent="0.2">
      <c r="A2010" s="5">
        <v>1949</v>
      </c>
      <c r="B2010" s="1832">
        <f>'Cap Outlay Deprec 26'!C10</f>
        <v>324208</v>
      </c>
      <c r="D2010" s="2" t="str">
        <f t="shared" si="30"/>
        <v>Error?</v>
      </c>
    </row>
    <row r="2011" spans="1:4" x14ac:dyDescent="0.2">
      <c r="A2011" s="5">
        <v>1950</v>
      </c>
      <c r="B2011" s="1832">
        <f>'Cap Outlay Deprec 26'!C12</f>
        <v>1782033</v>
      </c>
      <c r="D2011" s="2" t="str">
        <f t="shared" si="30"/>
        <v>Error?</v>
      </c>
    </row>
    <row r="2012" spans="1:4" x14ac:dyDescent="0.2">
      <c r="A2012" s="5">
        <v>1951</v>
      </c>
      <c r="B2012" s="1832">
        <f>'Cap Outlay Deprec 26'!C13</f>
        <v>2041508</v>
      </c>
      <c r="D2012" s="2" t="str">
        <f t="shared" si="30"/>
        <v>Error?</v>
      </c>
    </row>
    <row r="2013" spans="1:4" x14ac:dyDescent="0.2">
      <c r="A2013" s="5">
        <v>1952</v>
      </c>
      <c r="B2013" s="1832">
        <f>'Cap Outlay Deprec 26'!C16</f>
        <v>23758520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306790</v>
      </c>
      <c r="D2015" s="2" t="str">
        <f t="shared" si="30"/>
        <v>Error?</v>
      </c>
    </row>
    <row r="2016" spans="1:4" x14ac:dyDescent="0.2">
      <c r="A2016" s="5">
        <v>1955</v>
      </c>
      <c r="B2016" s="1832">
        <f>'Cap Outlay Deprec 26'!D10</f>
        <v>29719</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118439</v>
      </c>
      <c r="D2018" s="2" t="str">
        <f t="shared" si="30"/>
        <v>Error?</v>
      </c>
    </row>
    <row r="2019" spans="1:4" x14ac:dyDescent="0.2">
      <c r="A2019" s="5">
        <v>1958</v>
      </c>
      <c r="B2019" s="1832">
        <f>'Cap Outlay Deprec 26'!D16</f>
        <v>454948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659633</v>
      </c>
      <c r="D2024" s="2" t="str">
        <f t="shared" si="30"/>
        <v>Error?</v>
      </c>
    </row>
    <row r="2025" spans="1:4" x14ac:dyDescent="0.2">
      <c r="A2025" s="5">
        <v>1964</v>
      </c>
      <c r="B2025" s="1832">
        <f>'Cap Outlay Deprec 26'!E16</f>
        <v>659633</v>
      </c>
      <c r="C2025" s="2" t="s">
        <v>569</v>
      </c>
      <c r="D2025" s="2" t="str">
        <f t="shared" si="30"/>
        <v>Error?</v>
      </c>
    </row>
    <row r="2026" spans="1:4" x14ac:dyDescent="0.2">
      <c r="A2026" s="5">
        <v>1965</v>
      </c>
      <c r="B2026" s="1832">
        <f>'Cap Outlay Deprec 26'!F5</f>
        <v>561878</v>
      </c>
      <c r="C2026" s="2" t="s">
        <v>569</v>
      </c>
      <c r="D2026" s="2" t="str">
        <f t="shared" si="30"/>
        <v>Error?</v>
      </c>
    </row>
    <row r="2027" spans="1:4" x14ac:dyDescent="0.2">
      <c r="A2027" s="5">
        <v>1966</v>
      </c>
      <c r="B2027" s="1832">
        <f>'Cap Outlay Deprec 26'!F8</f>
        <v>19355683</v>
      </c>
      <c r="C2027" s="2" t="s">
        <v>569</v>
      </c>
      <c r="D2027" s="2" t="str">
        <f t="shared" si="30"/>
        <v>Error?</v>
      </c>
    </row>
    <row r="2028" spans="1:4" x14ac:dyDescent="0.2">
      <c r="A2028" s="5">
        <v>1967</v>
      </c>
      <c r="B2028" s="1832">
        <f>'Cap Outlay Deprec 26'!F10</f>
        <v>353927</v>
      </c>
      <c r="C2028" s="2" t="s">
        <v>569</v>
      </c>
      <c r="D2028" s="2" t="str">
        <f t="shared" si="30"/>
        <v>Error?</v>
      </c>
    </row>
    <row r="2029" spans="1:4" x14ac:dyDescent="0.2">
      <c r="A2029" s="5">
        <v>1968</v>
      </c>
      <c r="B2029" s="1832">
        <f>'Cap Outlay Deprec 26'!F12</f>
        <v>1782033</v>
      </c>
      <c r="C2029" s="2" t="s">
        <v>569</v>
      </c>
      <c r="D2029" s="2" t="str">
        <f t="shared" si="30"/>
        <v>Error?</v>
      </c>
    </row>
    <row r="2030" spans="1:4" x14ac:dyDescent="0.2">
      <c r="A2030" s="5">
        <v>1969</v>
      </c>
      <c r="B2030" s="1832">
        <f>'Cap Outlay Deprec 26'!F13</f>
        <v>1500314</v>
      </c>
      <c r="C2030" s="2" t="s">
        <v>569</v>
      </c>
      <c r="D2030" s="2" t="str">
        <f t="shared" si="30"/>
        <v>Error?</v>
      </c>
    </row>
    <row r="2031" spans="1:4" x14ac:dyDescent="0.2">
      <c r="A2031" s="5">
        <v>1970</v>
      </c>
      <c r="B2031" s="1832">
        <f>'Cap Outlay Deprec 26'!F16</f>
        <v>23553835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10592076</v>
      </c>
      <c r="D2033" s="2" t="str">
        <f t="shared" si="30"/>
        <v>Error?</v>
      </c>
    </row>
    <row r="2034" spans="1:4" x14ac:dyDescent="0.2">
      <c r="A2034" s="5">
        <v>1973</v>
      </c>
      <c r="B2034" s="1832">
        <f>'Cap Outlay Deprec 26'!H10</f>
        <v>269611</v>
      </c>
      <c r="D2034" s="2" t="str">
        <f t="shared" si="30"/>
        <v>Error?</v>
      </c>
    </row>
    <row r="2035" spans="1:4" x14ac:dyDescent="0.2">
      <c r="A2035" s="5">
        <v>1974</v>
      </c>
      <c r="B2035" s="1832">
        <f>'Cap Outlay Deprec 26'!H12</f>
        <v>1707571</v>
      </c>
      <c r="D2035" s="2" t="str">
        <f t="shared" si="30"/>
        <v>Error?</v>
      </c>
    </row>
    <row r="2036" spans="1:4" x14ac:dyDescent="0.2">
      <c r="A2036" s="5">
        <v>1975</v>
      </c>
      <c r="B2036" s="1832">
        <f>'Cap Outlay Deprec 26'!H13</f>
        <v>1908350</v>
      </c>
      <c r="D2036" s="2" t="str">
        <f t="shared" si="30"/>
        <v>Error?</v>
      </c>
    </row>
    <row r="2037" spans="1:4" x14ac:dyDescent="0.2">
      <c r="A2037" s="5">
        <v>1976</v>
      </c>
      <c r="B2037" s="1832">
        <f>'Cap Outlay Deprec 26'!H16</f>
        <v>14477608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471001</v>
      </c>
      <c r="D2039" s="2" t="str">
        <f t="shared" si="30"/>
        <v>Error?</v>
      </c>
    </row>
    <row r="2040" spans="1:4" x14ac:dyDescent="0.2">
      <c r="A2040" s="5">
        <v>1979</v>
      </c>
      <c r="B2040" s="1832">
        <f>'Cap Outlay Deprec 26'!I10</f>
        <v>12806</v>
      </c>
      <c r="D2040" s="2" t="str">
        <f t="shared" si="30"/>
        <v>Error?</v>
      </c>
    </row>
    <row r="2041" spans="1:4" x14ac:dyDescent="0.2">
      <c r="A2041" s="5">
        <v>1980</v>
      </c>
      <c r="B2041" s="1832">
        <f>'Cap Outlay Deprec 26'!I12</f>
        <v>13350</v>
      </c>
      <c r="D2041" s="2" t="str">
        <f t="shared" si="30"/>
        <v>Error?</v>
      </c>
    </row>
    <row r="2042" spans="1:4" x14ac:dyDescent="0.2">
      <c r="A2042" s="5">
        <v>1981</v>
      </c>
      <c r="B2042" s="1832">
        <f>'Cap Outlay Deprec 26'!I13</f>
        <v>27992</v>
      </c>
      <c r="D2042" s="2" t="str">
        <f t="shared" si="30"/>
        <v>Error?</v>
      </c>
    </row>
    <row r="2043" spans="1:4" x14ac:dyDescent="0.2">
      <c r="A2043" s="5">
        <v>1982</v>
      </c>
      <c r="B2043" s="1832">
        <f>'Cap Outlay Deprec 26'!I16</f>
        <v>525149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659633</v>
      </c>
      <c r="D2048" s="2" t="str">
        <f t="shared" si="31"/>
        <v>Error?</v>
      </c>
    </row>
    <row r="2049" spans="1:4" x14ac:dyDescent="0.2">
      <c r="A2049" s="5">
        <v>1988</v>
      </c>
      <c r="B2049" s="1832">
        <f>'Cap Outlay Deprec 26'!J16</f>
        <v>659633</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11063077</v>
      </c>
      <c r="C2051" s="2" t="s">
        <v>569</v>
      </c>
      <c r="D2051" s="2" t="str">
        <f t="shared" si="31"/>
        <v>Error?</v>
      </c>
    </row>
    <row r="2052" spans="1:4" x14ac:dyDescent="0.2">
      <c r="A2052" s="5">
        <v>1991</v>
      </c>
      <c r="B2052" s="1832">
        <f>'Cap Outlay Deprec 26'!K10</f>
        <v>282417</v>
      </c>
      <c r="C2052" s="2" t="s">
        <v>569</v>
      </c>
      <c r="D2052" s="2" t="str">
        <f t="shared" si="31"/>
        <v>Error?</v>
      </c>
    </row>
    <row r="2053" spans="1:4" x14ac:dyDescent="0.2">
      <c r="A2053" s="5">
        <v>1992</v>
      </c>
      <c r="B2053" s="1832">
        <f>'Cap Outlay Deprec 26'!K12</f>
        <v>1720921</v>
      </c>
      <c r="C2053" s="2" t="s">
        <v>569</v>
      </c>
      <c r="D2053" s="2" t="str">
        <f t="shared" si="31"/>
        <v>Error?</v>
      </c>
    </row>
    <row r="2054" spans="1:4" x14ac:dyDescent="0.2">
      <c r="A2054" s="5">
        <v>1993</v>
      </c>
      <c r="B2054" s="1832">
        <f>'Cap Outlay Deprec 26'!K13</f>
        <v>1276709</v>
      </c>
      <c r="C2054" s="2" t="s">
        <v>569</v>
      </c>
      <c r="D2054" s="2" t="str">
        <f t="shared" si="31"/>
        <v>Error?</v>
      </c>
    </row>
    <row r="2055" spans="1:4" x14ac:dyDescent="0.2">
      <c r="A2055" s="5">
        <v>1994</v>
      </c>
      <c r="B2055" s="1832">
        <f>'Cap Outlay Deprec 26'!K16</f>
        <v>14343124</v>
      </c>
      <c r="C2055" s="2" t="s">
        <v>569</v>
      </c>
      <c r="D2055" s="2" t="str">
        <f t="shared" si="31"/>
        <v>Error?</v>
      </c>
    </row>
    <row r="2056" spans="1:4" x14ac:dyDescent="0.2">
      <c r="A2056" s="5">
        <v>1995</v>
      </c>
      <c r="B2056" s="1832">
        <f>'Cap Outlay Deprec 26'!L5</f>
        <v>561878</v>
      </c>
      <c r="C2056" s="2" t="s">
        <v>569</v>
      </c>
      <c r="D2056" s="2" t="str">
        <f t="shared" si="31"/>
        <v>Error?</v>
      </c>
    </row>
    <row r="2057" spans="1:4" x14ac:dyDescent="0.2">
      <c r="A2057" s="5">
        <v>1996</v>
      </c>
      <c r="B2057" s="1832">
        <f>'Cap Outlay Deprec 26'!L8</f>
        <v>8292606</v>
      </c>
      <c r="C2057" s="2" t="s">
        <v>569</v>
      </c>
      <c r="D2057" s="2" t="str">
        <f t="shared" si="31"/>
        <v>Error?</v>
      </c>
    </row>
    <row r="2058" spans="1:4" x14ac:dyDescent="0.2">
      <c r="A2058" s="5">
        <v>1997</v>
      </c>
      <c r="B2058" s="1832">
        <f>'Cap Outlay Deprec 26'!L10</f>
        <v>71510</v>
      </c>
      <c r="C2058" s="2" t="s">
        <v>569</v>
      </c>
      <c r="D2058" s="2" t="str">
        <f t="shared" si="31"/>
        <v>Error?</v>
      </c>
    </row>
    <row r="2059" spans="1:4" x14ac:dyDescent="0.2">
      <c r="A2059" s="5">
        <v>1998</v>
      </c>
      <c r="B2059" s="1832">
        <f>'Cap Outlay Deprec 26'!L12</f>
        <v>61112</v>
      </c>
      <c r="C2059" s="2" t="s">
        <v>569</v>
      </c>
      <c r="D2059" s="2" t="str">
        <f t="shared" si="31"/>
        <v>Error?</v>
      </c>
    </row>
    <row r="2060" spans="1:4" x14ac:dyDescent="0.2">
      <c r="A2060" s="5">
        <v>1999</v>
      </c>
      <c r="B2060" s="1832">
        <f>'Cap Outlay Deprec 26'!L13</f>
        <v>223605</v>
      </c>
      <c r="C2060" s="2" t="s">
        <v>569</v>
      </c>
      <c r="D2060" s="2" t="str">
        <f t="shared" si="31"/>
        <v>Error?</v>
      </c>
    </row>
    <row r="2061" spans="1:4" x14ac:dyDescent="0.2">
      <c r="A2061" s="5">
        <v>2000</v>
      </c>
      <c r="B2061" s="1832">
        <f>'Cap Outlay Deprec 26'!L16</f>
        <v>9210711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353995</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187977</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3834726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5982832</v>
      </c>
      <c r="C2553" s="2" t="s">
        <v>569</v>
      </c>
      <c r="D2553" s="2" t="str">
        <f t="shared" si="38"/>
        <v>Error?</v>
      </c>
    </row>
    <row r="2554" spans="1:4" x14ac:dyDescent="0.2">
      <c r="A2554" s="5">
        <v>2493</v>
      </c>
      <c r="B2554" s="1832">
        <f>'Acct Summary 7-8'!C7</f>
        <v>1430546</v>
      </c>
      <c r="C2554" s="2" t="s">
        <v>569</v>
      </c>
      <c r="D2554" s="2" t="str">
        <f t="shared" si="38"/>
        <v>Error?</v>
      </c>
    </row>
    <row r="2555" spans="1:4" x14ac:dyDescent="0.2">
      <c r="A2555" s="5">
        <v>2494</v>
      </c>
      <c r="B2555" s="1832">
        <f>'Acct Summary 7-8'!C8</f>
        <v>11248104</v>
      </c>
      <c r="C2555" s="2" t="s">
        <v>569</v>
      </c>
      <c r="D2555" s="2" t="str">
        <f t="shared" si="38"/>
        <v>Error?</v>
      </c>
    </row>
    <row r="2556" spans="1:4" x14ac:dyDescent="0.2">
      <c r="A2556" s="5">
        <v>2495</v>
      </c>
      <c r="B2556" s="1832">
        <f>'Acct Summary 7-8'!C12</f>
        <v>7947252</v>
      </c>
      <c r="C2556" s="2" t="s">
        <v>569</v>
      </c>
      <c r="D2556" s="2" t="str">
        <f t="shared" si="38"/>
        <v>Error?</v>
      </c>
    </row>
    <row r="2557" spans="1:4" x14ac:dyDescent="0.2">
      <c r="A2557" s="5">
        <v>2496</v>
      </c>
      <c r="B2557" s="1832">
        <f>'Acct Summary 7-8'!C13</f>
        <v>2710083</v>
      </c>
      <c r="C2557" s="2" t="s">
        <v>569</v>
      </c>
      <c r="D2557" s="2" t="str">
        <f t="shared" si="38"/>
        <v>Error?</v>
      </c>
    </row>
    <row r="2558" spans="1:4" x14ac:dyDescent="0.2">
      <c r="A2558" s="5">
        <v>2497</v>
      </c>
      <c r="B2558" s="1832">
        <f>'Acct Summary 7-8'!C14</f>
        <v>205173</v>
      </c>
      <c r="C2558" s="2" t="s">
        <v>569</v>
      </c>
      <c r="D2558" s="2" t="str">
        <f t="shared" si="38"/>
        <v>Error?</v>
      </c>
    </row>
    <row r="2559" spans="1:4" x14ac:dyDescent="0.2">
      <c r="A2559" s="5">
        <v>2498</v>
      </c>
      <c r="B2559" s="1832">
        <f>'Acct Summary 7-8'!C15</f>
        <v>353995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11216503</v>
      </c>
      <c r="C2561" s="2" t="s">
        <v>569</v>
      </c>
      <c r="D2561" s="2" t="str">
        <f t="shared" si="39"/>
        <v>Error?</v>
      </c>
    </row>
    <row r="2562" spans="1:4" x14ac:dyDescent="0.2">
      <c r="A2562" s="5">
        <v>2501</v>
      </c>
      <c r="B2562" s="1832">
        <f>'Acct Summary 7-8'!C20</f>
        <v>31601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762481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400000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1162481</v>
      </c>
      <c r="C2568" s="2" t="s">
        <v>569</v>
      </c>
      <c r="D2568" s="2" t="str">
        <f t="shared" si="39"/>
        <v>Error?</v>
      </c>
    </row>
    <row r="2569" spans="1:4" x14ac:dyDescent="0.2">
      <c r="A2569" s="5">
        <v>2508</v>
      </c>
      <c r="B2569" s="1832">
        <f>'Acct Summary 7-8'!D13</f>
        <v>1180799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1180799</v>
      </c>
      <c r="C2573" s="2" t="s">
        <v>569</v>
      </c>
      <c r="D2573" s="2" t="str">
        <f t="shared" si="39"/>
        <v>Error?</v>
      </c>
    </row>
    <row r="2574" spans="1:4" x14ac:dyDescent="0.2">
      <c r="A2574" s="5">
        <v>2513</v>
      </c>
      <c r="B2574" s="1832">
        <f>'Acct Summary 7-8'!D20</f>
        <v>-18318</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265218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589255</v>
      </c>
      <c r="C2593" s="2" t="s">
        <v>569</v>
      </c>
      <c r="D2593" s="2" t="str">
        <f t="shared" si="39"/>
        <v>Error?</v>
      </c>
    </row>
    <row r="2594" spans="1:4" x14ac:dyDescent="0.2">
      <c r="A2594" s="5">
        <v>2533</v>
      </c>
      <c r="B2594" s="1832">
        <f>'Acct Summary 7-8'!F7</f>
        <v>33240</v>
      </c>
      <c r="C2594" s="2" t="s">
        <v>569</v>
      </c>
      <c r="D2594" s="2" t="str">
        <f t="shared" si="39"/>
        <v>Error?</v>
      </c>
    </row>
    <row r="2595" spans="1:4" x14ac:dyDescent="0.2">
      <c r="A2595" s="5">
        <v>2534</v>
      </c>
      <c r="B2595" s="1832">
        <f>'Acct Summary 7-8'!F8</f>
        <v>887713</v>
      </c>
      <c r="C2595" s="2" t="s">
        <v>569</v>
      </c>
      <c r="D2595" s="2" t="str">
        <f t="shared" si="39"/>
        <v>Error?</v>
      </c>
    </row>
    <row r="2596" spans="1:4" x14ac:dyDescent="0.2">
      <c r="A2596" s="5">
        <v>2535</v>
      </c>
      <c r="B2596" s="1832">
        <f>'Acct Summary 7-8'!F13</f>
        <v>743519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743519</v>
      </c>
      <c r="C2600" s="2" t="s">
        <v>569</v>
      </c>
      <c r="D2600" s="2" t="str">
        <f t="shared" si="39"/>
        <v>Error?</v>
      </c>
    </row>
    <row r="2601" spans="1:4" x14ac:dyDescent="0.2">
      <c r="A2601" s="5">
        <v>2540</v>
      </c>
      <c r="B2601" s="1832">
        <f>'Acct Summary 7-8'!F20</f>
        <v>144194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642689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642689</v>
      </c>
      <c r="C2606" s="2" t="s">
        <v>569</v>
      </c>
      <c r="D2606" s="2" t="str">
        <f t="shared" si="39"/>
        <v>Error?</v>
      </c>
    </row>
    <row r="2607" spans="1:4" x14ac:dyDescent="0.2">
      <c r="A2607" s="5">
        <v>2546</v>
      </c>
      <c r="B2607" s="1832">
        <f>'Acct Summary 7-8'!G12</f>
        <v>227434</v>
      </c>
      <c r="C2607" s="2" t="s">
        <v>569</v>
      </c>
      <c r="D2607" s="2" t="str">
        <f t="shared" si="39"/>
        <v>Error?</v>
      </c>
    </row>
    <row r="2608" spans="1:4" x14ac:dyDescent="0.2">
      <c r="A2608" s="5">
        <v>2547</v>
      </c>
      <c r="B2608" s="1832">
        <f>'Acct Summary 7-8'!G13</f>
        <v>311547</v>
      </c>
      <c r="C2608" s="2" t="s">
        <v>569</v>
      </c>
      <c r="D2608" s="2" t="str">
        <f t="shared" si="39"/>
        <v>Error?</v>
      </c>
    </row>
    <row r="2609" spans="1:4" x14ac:dyDescent="0.2">
      <c r="A2609" s="5">
        <v>2548</v>
      </c>
      <c r="B2609" s="1832">
        <f>'Acct Summary 7-8'!G14</f>
        <v>29298</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568279</v>
      </c>
      <c r="C2612" s="2" t="s">
        <v>569</v>
      </c>
      <c r="D2612" s="2" t="str">
        <f t="shared" si="39"/>
        <v>Error?</v>
      </c>
    </row>
    <row r="2613" spans="1:4" x14ac:dyDescent="0.2">
      <c r="A2613" s="5">
        <v>2552</v>
      </c>
      <c r="B2613" s="1832">
        <f>'Acct Summary 7-8'!G20</f>
        <v>74410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700703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700703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695358</v>
      </c>
      <c r="C2634" s="2" t="s">
        <v>569</v>
      </c>
      <c r="D2634" s="2" t="str">
        <f t="shared" si="40"/>
        <v>Error?</v>
      </c>
    </row>
    <row r="2635" spans="1:4" x14ac:dyDescent="0.2">
      <c r="A2635" s="5">
        <v>2574</v>
      </c>
      <c r="B2635" s="1832">
        <f>'Acct Summary 7-8'!E17</f>
        <v>695358</v>
      </c>
      <c r="C2635" s="2" t="s">
        <v>569</v>
      </c>
      <c r="D2635" s="2" t="str">
        <f t="shared" si="40"/>
        <v>Error?</v>
      </c>
    </row>
    <row r="2636" spans="1:4" x14ac:dyDescent="0.2">
      <c r="A2636" s="5">
        <v>2575</v>
      </c>
      <c r="B2636" s="1832">
        <f>'Acct Summary 7-8'!E20</f>
        <v>5345</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676957</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676957</v>
      </c>
      <c r="C2658" s="2" t="s">
        <v>569</v>
      </c>
      <c r="D2658" s="2" t="str">
        <f t="shared" si="40"/>
        <v>Error?</v>
      </c>
    </row>
    <row r="2659" spans="1:4" x14ac:dyDescent="0.2">
      <c r="A2659" s="5">
        <v>2598</v>
      </c>
      <c r="B2659" s="1832">
        <f>'Acct Summary 7-8'!H13</f>
        <v>374587</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374587</v>
      </c>
      <c r="C2661" s="2" t="s">
        <v>569</v>
      </c>
      <c r="D2661" s="2" t="str">
        <f t="shared" si="40"/>
        <v>Error?</v>
      </c>
    </row>
    <row r="2662" spans="1:4" x14ac:dyDescent="0.2">
      <c r="A2662" s="5">
        <v>2601</v>
      </c>
      <c r="B2662" s="1832">
        <f>'Acct Summary 7-8'!H20</f>
        <v>302370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353995</v>
      </c>
      <c r="C2789" s="2" t="s">
        <v>569</v>
      </c>
      <c r="D2789" s="2" t="str">
        <f t="shared" si="42"/>
        <v>Error?</v>
      </c>
    </row>
    <row r="2790" spans="1:4" x14ac:dyDescent="0.2">
      <c r="A2790" s="5">
        <v>2729</v>
      </c>
      <c r="B2790" s="1832">
        <f>'Expenditures 15-22'!E102</f>
        <v>353995</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67795</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2952390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67795</v>
      </c>
      <c r="D2908" s="2" t="str">
        <f t="shared" si="44"/>
        <v>Error?</v>
      </c>
    </row>
    <row r="2909" spans="1:4" x14ac:dyDescent="0.2">
      <c r="A2909" s="10">
        <v>2848</v>
      </c>
      <c r="B2909" s="1832"/>
      <c r="D2909" s="2" t="str">
        <f t="shared" si="44"/>
        <v>OK</v>
      </c>
    </row>
    <row r="2910" spans="1:4" x14ac:dyDescent="0.2">
      <c r="A2910" s="5">
        <v>2849</v>
      </c>
      <c r="B2910" s="1832">
        <f>'Assets-Liab 5-6'!I34</f>
        <v>67795</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2884595</v>
      </c>
      <c r="D2912" s="2" t="str">
        <f t="shared" si="44"/>
        <v>Error?</v>
      </c>
    </row>
    <row r="2913" spans="1:4" x14ac:dyDescent="0.2">
      <c r="A2913" s="5">
        <v>2852</v>
      </c>
      <c r="B2913" s="1832">
        <f>'Assets-Liab 5-6'!I41</f>
        <v>2952390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353995</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353995</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84927</v>
      </c>
      <c r="C3225" s="2" t="s">
        <v>569</v>
      </c>
      <c r="D3225" s="2" t="str">
        <f t="shared" si="49"/>
        <v>Error?</v>
      </c>
    </row>
    <row r="3226" spans="1:4" x14ac:dyDescent="0.2">
      <c r="A3226" s="5">
        <v>3165</v>
      </c>
      <c r="B3226" s="1832">
        <f>'Acct Summary 7-8'!I8</f>
        <v>84927</v>
      </c>
      <c r="C3226" s="2" t="s">
        <v>569</v>
      </c>
      <c r="D3226" s="2" t="str">
        <f t="shared" si="49"/>
        <v>Error?</v>
      </c>
    </row>
    <row r="3227" spans="1:4" x14ac:dyDescent="0.2">
      <c r="A3227" s="5">
        <v>3166</v>
      </c>
      <c r="B3227" s="1832">
        <f>'Acct Summary 7-8'!I20</f>
        <v>84927</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31601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-18318</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144194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74410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5345</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302370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84927</v>
      </c>
      <c r="C3320" s="2" t="s">
        <v>569</v>
      </c>
      <c r="D3320" s="2" t="str">
        <f t="shared" si="50"/>
        <v>Error?</v>
      </c>
    </row>
    <row r="3321" spans="1:4" x14ac:dyDescent="0.2">
      <c r="A3321" s="5">
        <v>3260</v>
      </c>
      <c r="B3321" s="1832">
        <f>'Acct Summary 7-8'!I79</f>
        <v>2799668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2884595</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957678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196558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4018</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2038</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1160292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131223</v>
      </c>
      <c r="D3387" s="2" t="str">
        <f t="shared" si="51"/>
        <v>Error?</v>
      </c>
    </row>
    <row r="3388" spans="1:4" x14ac:dyDescent="0.2">
      <c r="A3388" s="5">
        <v>3327</v>
      </c>
      <c r="B3388" s="1832">
        <f>'Expenditures 15-22'!D217</f>
        <v>70440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131223</v>
      </c>
      <c r="C3390" s="2" t="s">
        <v>569</v>
      </c>
      <c r="D3390" s="2" t="str">
        <f t="shared" si="51"/>
        <v>Error?</v>
      </c>
    </row>
    <row r="3391" spans="1:4" x14ac:dyDescent="0.2">
      <c r="A3391" s="5">
        <v>3330</v>
      </c>
      <c r="B3391" s="1832">
        <f>'Expenditures 15-22'!K217</f>
        <v>70440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640528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212293</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57467</v>
      </c>
      <c r="D3417" s="2" t="str">
        <f t="shared" si="52"/>
        <v>Error?</v>
      </c>
    </row>
    <row r="3418" spans="1:4" x14ac:dyDescent="0.2">
      <c r="A3418" s="10">
        <v>3357</v>
      </c>
      <c r="B3418" s="1832"/>
      <c r="D3418" s="2" t="str">
        <f t="shared" si="52"/>
        <v>OK</v>
      </c>
    </row>
    <row r="3419" spans="1:4" x14ac:dyDescent="0.2">
      <c r="A3419" s="5">
        <v>3358</v>
      </c>
      <c r="B3419" s="1832">
        <f>'Assets-Liab 5-6'!F4</f>
        <v>225713</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453908</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494489</v>
      </c>
      <c r="D3425" s="2" t="str">
        <f t="shared" si="52"/>
        <v>Error?</v>
      </c>
    </row>
    <row r="3426" spans="1:4" x14ac:dyDescent="0.2">
      <c r="A3426" s="10">
        <v>3365</v>
      </c>
      <c r="B3426" s="1832"/>
      <c r="D3426" s="2" t="str">
        <f t="shared" si="52"/>
        <v>OK</v>
      </c>
    </row>
    <row r="3427" spans="1:4" x14ac:dyDescent="0.2">
      <c r="A3427" s="5">
        <v>3366</v>
      </c>
      <c r="B3427" s="1832">
        <f>'Assets-Liab 5-6'!I4</f>
        <v>2484595</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305631</v>
      </c>
      <c r="C3446" s="2" t="s">
        <v>569</v>
      </c>
      <c r="D3446" s="2" t="str">
        <f t="shared" si="52"/>
        <v>Error?</v>
      </c>
    </row>
    <row r="3447" spans="1:4" x14ac:dyDescent="0.2">
      <c r="A3447" s="5">
        <v>3386</v>
      </c>
      <c r="B3447" s="1832">
        <f>'Tax Sched 23'!D16</f>
        <v>305631</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184246</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1732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1732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1732</v>
      </c>
      <c r="D3567" s="2" t="str">
        <f t="shared" si="54"/>
        <v>Error?</v>
      </c>
    </row>
    <row r="3568" spans="1:4" x14ac:dyDescent="0.2">
      <c r="A3568" s="5">
        <v>3507</v>
      </c>
      <c r="B3568" s="1832">
        <f>'Assets-Liab 5-6'!K41</f>
        <v>1732</v>
      </c>
      <c r="C3568" s="2" t="s">
        <v>569</v>
      </c>
      <c r="D3568" s="2" t="str">
        <f t="shared" si="54"/>
        <v>Error?</v>
      </c>
    </row>
    <row r="3569" spans="1:4" x14ac:dyDescent="0.2">
      <c r="A3569" s="5">
        <v>3508</v>
      </c>
      <c r="B3569" s="1832">
        <f>'Acct Summary 7-8'!K4</f>
        <v>19</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19</v>
      </c>
      <c r="C3571" s="2" t="s">
        <v>569</v>
      </c>
      <c r="D3571" s="2" t="str">
        <f t="shared" si="54"/>
        <v>Error?</v>
      </c>
    </row>
    <row r="3572" spans="1:4" x14ac:dyDescent="0.2">
      <c r="A3572" s="5">
        <v>3511</v>
      </c>
      <c r="B3572" s="1832">
        <f>'Acct Summary 7-8'!K13</f>
        <v>325</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325</v>
      </c>
      <c r="C3575" s="2" t="s">
        <v>569</v>
      </c>
      <c r="D3575" s="2" t="str">
        <f t="shared" si="54"/>
        <v>Error?</v>
      </c>
    </row>
    <row r="3576" spans="1:4" x14ac:dyDescent="0.2">
      <c r="A3576" s="5">
        <v>3515</v>
      </c>
      <c r="B3576" s="1832">
        <f>'Acct Summary 7-8'!K20</f>
        <v>-306</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-306</v>
      </c>
      <c r="C3588" s="2" t="s">
        <v>569</v>
      </c>
      <c r="D3588" s="2" t="str">
        <f t="shared" si="55"/>
        <v>Error?</v>
      </c>
    </row>
    <row r="3589" spans="1:4" x14ac:dyDescent="0.2">
      <c r="A3589" s="5">
        <v>3528</v>
      </c>
      <c r="B3589" s="1832">
        <f>'Acct Summary 7-8'!K79</f>
        <v>2038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1732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325</v>
      </c>
      <c r="D3632" s="2" t="str">
        <f t="shared" si="55"/>
        <v>Error?</v>
      </c>
    </row>
    <row r="3633" spans="1:4" x14ac:dyDescent="0.2">
      <c r="A3633" s="5">
        <v>3572</v>
      </c>
      <c r="B3633" s="1832">
        <f>'Expenditures 15-22'!E350</f>
        <v>325</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325</v>
      </c>
      <c r="C3635" s="2" t="s">
        <v>569</v>
      </c>
      <c r="D3635" s="2" t="str">
        <f t="shared" si="55"/>
        <v>Error?</v>
      </c>
    </row>
    <row r="3636" spans="1:4" x14ac:dyDescent="0.2">
      <c r="A3636" s="5">
        <v>3575</v>
      </c>
      <c r="B3636" s="1832">
        <f>'Expenditures 15-22'!E367</f>
        <v>325</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325</v>
      </c>
      <c r="C3669" s="2" t="s">
        <v>569</v>
      </c>
      <c r="D3669" s="2" t="str">
        <f t="shared" si="56"/>
        <v>Error?</v>
      </c>
    </row>
    <row r="3670" spans="1:4" x14ac:dyDescent="0.2">
      <c r="A3670" s="5">
        <v>3609</v>
      </c>
      <c r="B3670" s="1832">
        <f>'Expenditures 15-22'!K350</f>
        <v>325</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325</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325</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-306</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65028</v>
      </c>
      <c r="C3725" s="2" t="s">
        <v>569</v>
      </c>
      <c r="D3725" s="2" t="str">
        <f t="shared" si="57"/>
        <v>Error?</v>
      </c>
    </row>
    <row r="3726" spans="1:4" x14ac:dyDescent="0.2">
      <c r="A3726" s="5">
        <v>3665</v>
      </c>
      <c r="B3726" s="1832">
        <f>'Tax Sched 23'!D13</f>
        <v>65028</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63569</v>
      </c>
      <c r="D4081" s="2" t="str">
        <f t="shared" si="62"/>
        <v>Error?</v>
      </c>
    </row>
    <row r="4082" spans="1:4" x14ac:dyDescent="0.2">
      <c r="A4082" s="5">
        <v>4021</v>
      </c>
      <c r="B4082" s="1832">
        <f>'Expenditures 15-22'!D180</f>
        <v>20089</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83658</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5175258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16423362</v>
      </c>
      <c r="C4122" s="2" t="s">
        <v>569</v>
      </c>
      <c r="D4122" s="2" t="str">
        <f t="shared" si="63"/>
        <v>Error?</v>
      </c>
    </row>
    <row r="4123" spans="1:4" x14ac:dyDescent="0.2">
      <c r="A4123" s="5">
        <v>4062</v>
      </c>
      <c r="B4123" s="1832">
        <f>'Acct Summary 7-8'!D10</f>
        <v>1162481</v>
      </c>
      <c r="C4123" s="2" t="s">
        <v>569</v>
      </c>
      <c r="D4123" s="2" t="str">
        <f t="shared" si="63"/>
        <v>Error?</v>
      </c>
    </row>
    <row r="4124" spans="1:4" x14ac:dyDescent="0.2">
      <c r="A4124" s="5">
        <v>4063</v>
      </c>
      <c r="B4124" s="1832">
        <f>'Acct Summary 7-8'!E10</f>
        <v>700703</v>
      </c>
      <c r="C4124" s="2" t="s">
        <v>569</v>
      </c>
      <c r="D4124" s="2" t="str">
        <f t="shared" si="63"/>
        <v>Error?</v>
      </c>
    </row>
    <row r="4125" spans="1:4" x14ac:dyDescent="0.2">
      <c r="A4125" s="5">
        <v>4064</v>
      </c>
      <c r="B4125" s="1832">
        <f>'Acct Summary 7-8'!F10</f>
        <v>887713</v>
      </c>
      <c r="C4125" s="2" t="s">
        <v>569</v>
      </c>
      <c r="D4125" s="2" t="str">
        <f t="shared" si="63"/>
        <v>Error?</v>
      </c>
    </row>
    <row r="4126" spans="1:4" x14ac:dyDescent="0.2">
      <c r="A4126" s="5">
        <v>4065</v>
      </c>
      <c r="B4126" s="1832">
        <f>'Acct Summary 7-8'!G10</f>
        <v>642689</v>
      </c>
      <c r="C4126" s="2" t="s">
        <v>569</v>
      </c>
      <c r="D4126" s="2" t="str">
        <f t="shared" si="63"/>
        <v>Error?</v>
      </c>
    </row>
    <row r="4127" spans="1:4" x14ac:dyDescent="0.2">
      <c r="A4127" s="5">
        <v>4066</v>
      </c>
      <c r="B4127" s="1832">
        <f>'Acct Summary 7-8'!H10</f>
        <v>676957</v>
      </c>
      <c r="C4127" s="2" t="s">
        <v>569</v>
      </c>
      <c r="D4127" s="2" t="str">
        <f t="shared" si="63"/>
        <v>Error?</v>
      </c>
    </row>
    <row r="4128" spans="1:4" x14ac:dyDescent="0.2">
      <c r="A4128" s="5">
        <v>4067</v>
      </c>
      <c r="B4128" s="1832">
        <f>'Acct Summary 7-8'!I10</f>
        <v>84927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19</v>
      </c>
      <c r="C4130" s="2" t="s">
        <v>569</v>
      </c>
      <c r="D4130" s="2" t="str">
        <f t="shared" si="63"/>
        <v>Error?</v>
      </c>
    </row>
    <row r="4131" spans="1:4" x14ac:dyDescent="0.2">
      <c r="A4131" s="5">
        <v>4070</v>
      </c>
      <c r="B4131" s="1832">
        <f>'Acct Summary 7-8'!C18</f>
        <v>5175258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16391761</v>
      </c>
      <c r="C4136" s="2" t="s">
        <v>569</v>
      </c>
      <c r="D4136" s="2" t="str">
        <f t="shared" si="63"/>
        <v>Error?</v>
      </c>
    </row>
    <row r="4137" spans="1:4" x14ac:dyDescent="0.2">
      <c r="A4137" s="5">
        <v>4076</v>
      </c>
      <c r="B4137" s="1832">
        <f>'Acct Summary 7-8'!D19</f>
        <v>1180799</v>
      </c>
      <c r="C4137" s="2" t="s">
        <v>569</v>
      </c>
      <c r="D4137" s="2" t="str">
        <f t="shared" si="63"/>
        <v>Error?</v>
      </c>
    </row>
    <row r="4138" spans="1:4" x14ac:dyDescent="0.2">
      <c r="A4138" s="5">
        <v>4077</v>
      </c>
      <c r="B4138" s="1832">
        <f>'Acct Summary 7-8'!E19</f>
        <v>695358</v>
      </c>
      <c r="C4138" s="2" t="s">
        <v>569</v>
      </c>
      <c r="D4138" s="2" t="str">
        <f t="shared" si="63"/>
        <v>Error?</v>
      </c>
    </row>
    <row r="4139" spans="1:4" x14ac:dyDescent="0.2">
      <c r="A4139" s="5">
        <v>4078</v>
      </c>
      <c r="B4139" s="1832">
        <f>'Acct Summary 7-8'!F19</f>
        <v>743519</v>
      </c>
      <c r="C4139" s="2" t="s">
        <v>569</v>
      </c>
      <c r="D4139" s="2" t="str">
        <f t="shared" si="63"/>
        <v>Error?</v>
      </c>
    </row>
    <row r="4140" spans="1:4" x14ac:dyDescent="0.2">
      <c r="A4140" s="5">
        <v>4079</v>
      </c>
      <c r="B4140" s="1832">
        <f>'Acct Summary 7-8'!G19</f>
        <v>568279</v>
      </c>
      <c r="C4140" s="2" t="s">
        <v>569</v>
      </c>
      <c r="D4140" s="2" t="str">
        <f t="shared" si="63"/>
        <v>Error?</v>
      </c>
    </row>
    <row r="4141" spans="1:4" x14ac:dyDescent="0.2">
      <c r="A4141" s="5">
        <v>4080</v>
      </c>
      <c r="B4141" s="1832">
        <f>'Acct Summary 7-8'!H19</f>
        <v>374587</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325</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1453000</v>
      </c>
      <c r="C4171" s="2" t="s">
        <v>569</v>
      </c>
      <c r="D4171" s="2" t="str">
        <f t="shared" si="64"/>
        <v>Error?</v>
      </c>
    </row>
    <row r="4172" spans="1:4" x14ac:dyDescent="0.2">
      <c r="A4172" s="5">
        <v>4111</v>
      </c>
      <c r="B4172" s="1832">
        <f>'Short-Term Long-Term Debt 24'!J49</f>
        <v>1395533</v>
      </c>
      <c r="C4172" s="2" t="s">
        <v>569</v>
      </c>
      <c r="D4172" s="2" t="str">
        <f t="shared" si="64"/>
        <v>Error?</v>
      </c>
    </row>
    <row r="4173" spans="1:4" x14ac:dyDescent="0.2">
      <c r="A4173" s="5">
        <v>4112</v>
      </c>
      <c r="B4173" s="1832">
        <f>'Short-Term Long-Term Debt 24'!H49</f>
        <v>613800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9600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1744.1000000000001</v>
      </c>
      <c r="C4265" s="2" t="s">
        <v>569</v>
      </c>
      <c r="D4265" s="2" t="str">
        <f t="shared" si="65"/>
        <v>Error?</v>
      </c>
      <c r="E4265" s="125"/>
    </row>
    <row r="4266" spans="1:5" x14ac:dyDescent="0.2">
      <c r="A4266" s="12">
        <v>4205</v>
      </c>
      <c r="B4266" s="1832">
        <f>('FP Info 3'!F10)*100000</f>
        <v>473.94000000000005</v>
      </c>
      <c r="C4266" s="2" t="s">
        <v>569</v>
      </c>
      <c r="D4266" s="2" t="str">
        <f t="shared" si="65"/>
        <v>Error?</v>
      </c>
      <c r="E4266" s="125"/>
    </row>
    <row r="4267" spans="1:5" x14ac:dyDescent="0.2">
      <c r="A4267" s="12">
        <v>4206</v>
      </c>
      <c r="B4267" s="1832">
        <f>('FP Info 3'!H10)*100000</f>
        <v>489.58</v>
      </c>
      <c r="C4267" s="2" t="s">
        <v>569</v>
      </c>
      <c r="D4267" s="2" t="str">
        <f t="shared" si="65"/>
        <v>Error?</v>
      </c>
      <c r="E4267" s="125"/>
    </row>
    <row r="4268" spans="1:5" x14ac:dyDescent="0.2">
      <c r="A4268" s="12">
        <v>4207</v>
      </c>
      <c r="B4268" s="1832">
        <f>('FP Info 3'!J10)*100000</f>
        <v>2708</v>
      </c>
      <c r="C4268" s="2" t="s">
        <v>569</v>
      </c>
      <c r="D4268" s="2" t="str">
        <f t="shared" si="65"/>
        <v>Error?</v>
      </c>
    </row>
    <row r="4269" spans="1:5" x14ac:dyDescent="0.2">
      <c r="A4269" s="12">
        <v>4208</v>
      </c>
      <c r="B4269" s="1832">
        <f>'FP Info 3'!J16</f>
        <v>3315833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27251</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136165</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47.4</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110790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33240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143026921</v>
      </c>
      <c r="D4995" s="2" t="str">
        <f t="shared" si="77"/>
        <v>Error?</v>
      </c>
    </row>
    <row r="4996" spans="1:4" x14ac:dyDescent="0.2">
      <c r="A4996" s="12">
        <v>4935</v>
      </c>
      <c r="B4996" s="1832">
        <f>'FP Info 3'!H31</f>
        <v>19737715.098000001</v>
      </c>
      <c r="D4996" s="2" t="str">
        <f t="shared" si="77"/>
        <v>Error?</v>
      </c>
    </row>
    <row r="4997" spans="1:4" x14ac:dyDescent="0.2">
      <c r="A4997" s="12">
        <v>4936</v>
      </c>
      <c r="B4997" s="1832">
        <f>'FP Info 3'!H37</f>
        <v>1453000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65028</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2393023</v>
      </c>
      <c r="D5061" s="2" t="str">
        <f t="shared" si="78"/>
        <v>Error?</v>
      </c>
    </row>
    <row r="5062" spans="1:4" x14ac:dyDescent="0.2">
      <c r="A5062" s="10">
        <v>5001</v>
      </c>
      <c r="B5062" s="1832"/>
      <c r="D5062" s="2" t="str">
        <f t="shared" si="78"/>
        <v>OK</v>
      </c>
    </row>
    <row r="5063" spans="1:4" x14ac:dyDescent="0.2">
      <c r="A5063" s="5">
        <v>5002</v>
      </c>
      <c r="B5063" s="1832">
        <f>'Revenues 9-14'!C7</f>
        <v>52022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2510073</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692217</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692217</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333781</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333781</v>
      </c>
      <c r="C5087" s="2" t="s">
        <v>569</v>
      </c>
      <c r="D5087" s="2" t="str">
        <f t="shared" si="78"/>
        <v>Error?</v>
      </c>
    </row>
    <row r="5088" spans="1:4" x14ac:dyDescent="0.2">
      <c r="A5088" s="5">
        <v>5027</v>
      </c>
      <c r="B5088" s="1832">
        <f>'Revenues 9-14'!C65</f>
        <v>8553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8553</v>
      </c>
      <c r="C5090" s="2" t="s">
        <v>569</v>
      </c>
      <c r="D5090" s="2" t="str">
        <f t="shared" si="78"/>
        <v>Error?</v>
      </c>
    </row>
    <row r="5091" spans="1:4" x14ac:dyDescent="0.2">
      <c r="A5091" s="5">
        <v>5030</v>
      </c>
      <c r="B5091" s="1832">
        <f>'Revenues 9-14'!C70</f>
        <v>5113</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1574</v>
      </c>
      <c r="D5094" s="2" t="str">
        <f t="shared" si="78"/>
        <v>Error?</v>
      </c>
    </row>
    <row r="5095" spans="1:4" x14ac:dyDescent="0.2">
      <c r="A5095" s="5">
        <v>5034</v>
      </c>
      <c r="B5095" s="1832">
        <f>'Revenues 9-14'!C74</f>
        <v>24826</v>
      </c>
      <c r="D5095" s="2" t="str">
        <f t="shared" si="78"/>
        <v>Error?</v>
      </c>
    </row>
    <row r="5096" spans="1:4" x14ac:dyDescent="0.2">
      <c r="A5096" s="5">
        <v>5035</v>
      </c>
      <c r="B5096" s="1832">
        <f>'Revenues 9-14'!C75</f>
        <v>86152</v>
      </c>
      <c r="C5096" s="2" t="s">
        <v>569</v>
      </c>
      <c r="D5096" s="2" t="str">
        <f t="shared" si="78"/>
        <v>Error?</v>
      </c>
    </row>
    <row r="5097" spans="1:4" x14ac:dyDescent="0.2">
      <c r="A5097" s="5">
        <v>5036</v>
      </c>
      <c r="B5097" s="1832">
        <f>'Revenues 9-14'!C77</f>
        <v>60093</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25600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85693</v>
      </c>
      <c r="C5102" s="2" t="s">
        <v>569</v>
      </c>
      <c r="D5102" s="2" t="str">
        <f t="shared" si="78"/>
        <v>Error?</v>
      </c>
    </row>
    <row r="5103" spans="1:4" x14ac:dyDescent="0.2">
      <c r="A5103" s="5">
        <v>5042</v>
      </c>
      <c r="B5103" s="1832">
        <f>'Revenues 9-14'!C84</f>
        <v>23194</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23194</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5575</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88888</v>
      </c>
      <c r="D5119" s="2" t="str">
        <f t="shared" ref="D5119:D5182" si="79">IF(ISBLANK(B5119),"OK",IF(A5119-B5119=0,"OK","Error?"))</f>
        <v>Error?</v>
      </c>
    </row>
    <row r="5120" spans="1:4" x14ac:dyDescent="0.2">
      <c r="A5120" s="5">
        <v>5059</v>
      </c>
      <c r="B5120" s="1832">
        <f>'Revenues 9-14'!C108</f>
        <v>95063</v>
      </c>
      <c r="C5120" s="2" t="s">
        <v>569</v>
      </c>
      <c r="D5120" s="2" t="str">
        <f t="shared" si="79"/>
        <v>Error?</v>
      </c>
    </row>
    <row r="5121" spans="1:4" x14ac:dyDescent="0.2">
      <c r="A5121" s="5">
        <v>5060</v>
      </c>
      <c r="B5121" s="1832">
        <f>'Revenues 9-14'!C109</f>
        <v>3834726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5482330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5482330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31105</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31105</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26139</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30392</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4447</v>
      </c>
      <c r="D5167" s="2" t="str">
        <f t="shared" si="79"/>
        <v>Error?</v>
      </c>
    </row>
    <row r="5168" spans="1:4" x14ac:dyDescent="0.2">
      <c r="A5168" s="5">
        <v>5107</v>
      </c>
      <c r="B5168" s="1832">
        <f>'Revenues 9-14'!C148</f>
        <v>19268</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415290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500502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5982832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232577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83624</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316201</v>
      </c>
      <c r="C5246" s="2" t="s">
        <v>569</v>
      </c>
      <c r="D5246" s="2" t="str">
        <f t="shared" si="80"/>
        <v>Error?</v>
      </c>
    </row>
    <row r="5247" spans="1:4" x14ac:dyDescent="0.2">
      <c r="A5247" s="5">
        <v>5186</v>
      </c>
      <c r="B5247" s="1832">
        <f>'Revenues 9-14'!C200</f>
        <v>548928</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548928</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291211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291211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1430546</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1430546</v>
      </c>
      <c r="C5326" s="2" t="s">
        <v>569</v>
      </c>
      <c r="D5326" s="2" t="str">
        <f t="shared" si="82"/>
        <v>Error?</v>
      </c>
    </row>
    <row r="5327" spans="1:5" x14ac:dyDescent="0.2">
      <c r="A5327" s="5">
        <v>5266</v>
      </c>
      <c r="B5327" s="1832">
        <f>'Revenues 9-14'!C268</f>
        <v>11248104</v>
      </c>
      <c r="C5327" s="2" t="s">
        <v>569</v>
      </c>
      <c r="D5327" s="2" t="str">
        <f t="shared" si="82"/>
        <v>Error?</v>
      </c>
    </row>
    <row r="5328" spans="1:5" x14ac:dyDescent="0.2">
      <c r="A5328" s="5">
        <v>5267</v>
      </c>
      <c r="B5328" s="1832">
        <f>'Revenues 9-14'!D5</f>
        <v>650278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650278</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110111</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110111</v>
      </c>
      <c r="C5339" s="2" t="s">
        <v>569</v>
      </c>
      <c r="D5339" s="2" t="str">
        <f t="shared" si="82"/>
        <v>Error?</v>
      </c>
    </row>
    <row r="5340" spans="1:4" x14ac:dyDescent="0.2">
      <c r="A5340" s="5">
        <v>5279</v>
      </c>
      <c r="B5340" s="1832">
        <f>'Revenues 9-14'!D65</f>
        <v>1992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1992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100</v>
      </c>
      <c r="C5355" s="2" t="s">
        <v>569</v>
      </c>
      <c r="D5355" s="2" t="str">
        <f t="shared" si="82"/>
        <v>Error?</v>
      </c>
    </row>
    <row r="5356" spans="1:4" x14ac:dyDescent="0.2">
      <c r="A5356" s="5">
        <v>5295</v>
      </c>
      <c r="B5356" s="1832">
        <f>'Revenues 9-14'!D109</f>
        <v>762481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350000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350000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400000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1162481</v>
      </c>
      <c r="C5508" s="2" t="s">
        <v>569</v>
      </c>
      <c r="D5508" s="2" t="str">
        <f t="shared" si="85"/>
        <v>Error?</v>
      </c>
    </row>
    <row r="5509" spans="1:4" x14ac:dyDescent="0.2">
      <c r="A5509" s="5">
        <v>5448</v>
      </c>
      <c r="B5509" s="1832">
        <f>'Revenues 9-14'!E5</f>
        <v>700089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700089</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614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614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700703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700703</v>
      </c>
      <c r="C5552" s="2" t="s">
        <v>569</v>
      </c>
      <c r="D5552" s="2" t="str">
        <f t="shared" si="85"/>
        <v>Error?</v>
      </c>
    </row>
    <row r="5553" spans="1:4" x14ac:dyDescent="0.2">
      <c r="A5553" s="5">
        <v>5492</v>
      </c>
      <c r="B5553" s="1832">
        <f>'Revenues 9-14'!F5</f>
        <v>260111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260111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670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670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4437</v>
      </c>
      <c r="D5586" s="2" t="str">
        <f t="shared" si="86"/>
        <v>Error?</v>
      </c>
    </row>
    <row r="5587" spans="1:4" x14ac:dyDescent="0.2">
      <c r="A5587" s="5">
        <v>5526</v>
      </c>
      <c r="B5587" s="1832">
        <f>'Revenues 9-14'!F108</f>
        <v>4437</v>
      </c>
      <c r="C5587" s="2" t="s">
        <v>569</v>
      </c>
      <c r="D5587" s="2" t="str">
        <f t="shared" si="86"/>
        <v>Error?</v>
      </c>
    </row>
    <row r="5588" spans="1:4" x14ac:dyDescent="0.2">
      <c r="A5588" s="5">
        <v>5527</v>
      </c>
      <c r="B5588" s="1832">
        <f>'Revenues 9-14'!F109</f>
        <v>265218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200000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200000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324162</v>
      </c>
      <c r="D5615" s="2" t="str">
        <f t="shared" si="86"/>
        <v>Error?</v>
      </c>
    </row>
    <row r="5616" spans="1:4" x14ac:dyDescent="0.2">
      <c r="A5616" s="10">
        <v>5555</v>
      </c>
      <c r="B5616" s="1832"/>
      <c r="D5616" s="2" t="str">
        <f t="shared" si="86"/>
        <v>OK</v>
      </c>
    </row>
    <row r="5617" spans="1:5" x14ac:dyDescent="0.2">
      <c r="A5617" s="5">
        <v>5556</v>
      </c>
      <c r="B5617" s="1832">
        <f>'Revenues 9-14'!F153</f>
        <v>65093</v>
      </c>
      <c r="D5617" s="2" t="str">
        <f t="shared" si="86"/>
        <v>Error?</v>
      </c>
    </row>
    <row r="5618" spans="1:5" x14ac:dyDescent="0.2">
      <c r="A5618" s="5">
        <v>5557</v>
      </c>
      <c r="B5618" s="1832">
        <f>'Revenues 9-14'!F155</f>
        <v>389255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389255</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589255</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33240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33240</v>
      </c>
      <c r="C5719" s="2" t="s">
        <v>569</v>
      </c>
      <c r="D5719" s="2" t="str">
        <f t="shared" si="88"/>
        <v>Error?</v>
      </c>
    </row>
    <row r="5720" spans="1:4" x14ac:dyDescent="0.2">
      <c r="A5720" s="5">
        <v>5659</v>
      </c>
      <c r="B5720" s="1832">
        <f>'Revenues 9-14'!F268</f>
        <v>887713</v>
      </c>
      <c r="C5720" s="2" t="s">
        <v>569</v>
      </c>
      <c r="D5720" s="2" t="str">
        <f t="shared" si="88"/>
        <v>Error?</v>
      </c>
    </row>
    <row r="5721" spans="1:4" x14ac:dyDescent="0.2">
      <c r="A5721" s="5">
        <v>5660</v>
      </c>
      <c r="B5721" s="1832">
        <f>'Revenues 9-14'!G5</f>
        <v>333333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305631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638964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3725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3725</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642689</v>
      </c>
      <c r="C5870" s="2" t="s">
        <v>569</v>
      </c>
      <c r="D5870" s="2" t="str">
        <f t="shared" si="90"/>
        <v>Error?</v>
      </c>
    </row>
    <row r="5871" spans="1:4" x14ac:dyDescent="0.2">
      <c r="A5871" s="5">
        <v>5810</v>
      </c>
      <c r="B5871" s="1832">
        <f>'Revenues 9-14'!H5</f>
        <v>672284</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672284</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4673</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4673</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676957</v>
      </c>
      <c r="C5915" s="2" t="s">
        <v>569</v>
      </c>
      <c r="D5915" s="2" t="str">
        <f t="shared" si="91"/>
        <v>Error?</v>
      </c>
    </row>
    <row r="5916" spans="1:4" x14ac:dyDescent="0.2">
      <c r="A5916" s="5">
        <v>5855</v>
      </c>
      <c r="B5916" s="1832">
        <f>'Revenues 9-14'!I5</f>
        <v>65028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65028</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19899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19899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84927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19</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19</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19</v>
      </c>
      <c r="C6023" s="2" t="s">
        <v>569</v>
      </c>
      <c r="D6023" s="2" t="str">
        <f t="shared" si="93"/>
        <v>Error?</v>
      </c>
    </row>
    <row r="6024" spans="1:5" x14ac:dyDescent="0.2">
      <c r="A6024" s="5">
        <v>5963</v>
      </c>
      <c r="B6024" s="1832">
        <f>'Revenues 9-14'!G109</f>
        <v>642689</v>
      </c>
      <c r="C6024" s="2" t="s">
        <v>569</v>
      </c>
      <c r="D6024" s="2" t="str">
        <f t="shared" si="93"/>
        <v>Error?</v>
      </c>
    </row>
    <row r="6025" spans="1:5" x14ac:dyDescent="0.2">
      <c r="A6025" s="5">
        <v>5964</v>
      </c>
      <c r="B6025" s="1832">
        <f>'Revenues 9-14'!H109</f>
        <v>676957</v>
      </c>
      <c r="C6025" s="2" t="s">
        <v>569</v>
      </c>
      <c r="D6025" s="2" t="str">
        <f t="shared" si="93"/>
        <v>Error?</v>
      </c>
    </row>
    <row r="6026" spans="1:5" x14ac:dyDescent="0.2">
      <c r="A6026" s="5">
        <v>5965</v>
      </c>
      <c r="B6026" s="1832">
        <f>'Revenues 9-14'!I109</f>
        <v>84927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19</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54639</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37913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1368.3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400000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617072</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97533</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8972</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888754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400000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132900</v>
      </c>
      <c r="D6142" s="2" t="str">
        <f t="shared" si="94"/>
        <v>Error?</v>
      </c>
      <c r="E6142" s="2" t="s">
        <v>189</v>
      </c>
    </row>
    <row r="6143" spans="1:5" x14ac:dyDescent="0.2">
      <c r="A6143">
        <v>6082</v>
      </c>
      <c r="B6143" s="1832">
        <f>'Assets-Liab 5-6'!D27</f>
        <v>27884</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188</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1139908</v>
      </c>
      <c r="D6169" s="2" t="str">
        <f t="shared" si="95"/>
        <v>Error?</v>
      </c>
      <c r="E6169" s="2" t="s">
        <v>189</v>
      </c>
    </row>
    <row r="6170" spans="1:5" x14ac:dyDescent="0.2">
      <c r="A6170">
        <v>6109</v>
      </c>
      <c r="B6170" s="1832">
        <f>'Assets-Liab 5-6'!D30</f>
        <v>14750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46271</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4340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467498</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471838</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416916</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888754</v>
      </c>
      <c r="D6216" s="2" t="str">
        <f t="shared" si="96"/>
        <v>Error?</v>
      </c>
      <c r="E6216" s="2" t="s">
        <v>189</v>
      </c>
    </row>
    <row r="6217" spans="1:5" x14ac:dyDescent="0.2">
      <c r="A6217">
        <v>6156</v>
      </c>
      <c r="B6217" s="1832">
        <f>'Assets-Liab 5-6'!J4</f>
        <v>412284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467498</v>
      </c>
      <c r="D6219" s="2" t="str">
        <f t="shared" si="96"/>
        <v>Error?</v>
      </c>
      <c r="E6219" s="2" t="s">
        <v>189</v>
      </c>
    </row>
    <row r="6220" spans="1:5" x14ac:dyDescent="0.2">
      <c r="A6220">
        <v>6159</v>
      </c>
      <c r="B6220" s="1832">
        <f>'Acct Summary 7-8'!J4</f>
        <v>451162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451162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451162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325241</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325241</v>
      </c>
      <c r="D6229" s="2" t="str">
        <f t="shared" si="96"/>
        <v>Error?</v>
      </c>
      <c r="E6229" s="2" t="s">
        <v>189</v>
      </c>
    </row>
    <row r="6230" spans="1:5" x14ac:dyDescent="0.2">
      <c r="A6230">
        <v>6169</v>
      </c>
      <c r="B6230" s="1832">
        <f>'Acct Summary 7-8'!J20</f>
        <v>125921</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125921</v>
      </c>
      <c r="D6263" s="2" t="str">
        <f t="shared" si="96"/>
        <v>Error?</v>
      </c>
      <c r="E6263" s="2" t="s">
        <v>189</v>
      </c>
    </row>
    <row r="6264" spans="1:5" x14ac:dyDescent="0.2">
      <c r="A6264">
        <v>6203</v>
      </c>
      <c r="B6264" s="1832">
        <f>'Acct Summary 7-8'!J79</f>
        <v>290995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416916</v>
      </c>
      <c r="D6266" s="2" t="str">
        <f t="shared" si="96"/>
        <v>Error?</v>
      </c>
      <c r="E6266" s="2" t="s">
        <v>189</v>
      </c>
    </row>
    <row r="6267" spans="1:5" x14ac:dyDescent="0.2">
      <c r="A6267">
        <v>6206</v>
      </c>
      <c r="B6267" s="1832">
        <f>'Acct Summary 7-8'!C82</f>
        <v>31601</v>
      </c>
      <c r="D6267" s="2" t="str">
        <f t="shared" si="96"/>
        <v>Error?</v>
      </c>
      <c r="E6267" s="2" t="s">
        <v>189</v>
      </c>
    </row>
    <row r="6268" spans="1:5" x14ac:dyDescent="0.2">
      <c r="A6268">
        <v>6207</v>
      </c>
      <c r="B6268" s="1832">
        <f>'Acct Summary 7-8'!D82</f>
        <v>-18318</v>
      </c>
      <c r="D6268" s="2" t="str">
        <f t="shared" si="96"/>
        <v>Error?</v>
      </c>
      <c r="E6268" s="2" t="s">
        <v>189</v>
      </c>
    </row>
    <row r="6269" spans="1:5" x14ac:dyDescent="0.2">
      <c r="A6269">
        <v>6208</v>
      </c>
      <c r="B6269" s="1832">
        <f>'Acct Summary 7-8'!E82</f>
        <v>5345</v>
      </c>
      <c r="D6269" s="2" t="str">
        <f t="shared" si="96"/>
        <v>Error?</v>
      </c>
      <c r="E6269" s="2" t="s">
        <v>189</v>
      </c>
    </row>
    <row r="6270" spans="1:5" x14ac:dyDescent="0.2">
      <c r="A6270">
        <v>6209</v>
      </c>
      <c r="B6270" s="1832">
        <f>'Acct Summary 7-8'!F82</f>
        <v>144194</v>
      </c>
      <c r="D6270" s="2" t="str">
        <f t="shared" si="96"/>
        <v>Error?</v>
      </c>
      <c r="E6270" s="2" t="s">
        <v>189</v>
      </c>
    </row>
    <row r="6271" spans="1:5" x14ac:dyDescent="0.2">
      <c r="A6271">
        <v>6210</v>
      </c>
      <c r="B6271" s="1832">
        <f>'Acct Summary 7-8'!G82</f>
        <v>74410</v>
      </c>
      <c r="D6271" s="2" t="str">
        <f t="shared" ref="D6271:D6334" si="97">IF(ISBLANK(B6271),"OK",IF(A6271-B6271=0,"OK","Error?"))</f>
        <v>Error?</v>
      </c>
      <c r="E6271" s="2" t="s">
        <v>189</v>
      </c>
    </row>
    <row r="6272" spans="1:5" x14ac:dyDescent="0.2">
      <c r="A6272">
        <v>6211</v>
      </c>
      <c r="B6272" s="1832">
        <f>'Acct Summary 7-8'!H82</f>
        <v>302370</v>
      </c>
      <c r="D6272" s="2" t="str">
        <f t="shared" si="97"/>
        <v>Error?</v>
      </c>
      <c r="E6272" s="2" t="s">
        <v>189</v>
      </c>
    </row>
    <row r="6273" spans="1:5" x14ac:dyDescent="0.2">
      <c r="A6273">
        <v>6212</v>
      </c>
      <c r="B6273" s="1832">
        <f>'Acct Summary 7-8'!I82</f>
        <v>84927</v>
      </c>
      <c r="D6273" s="2" t="str">
        <f t="shared" si="97"/>
        <v>Error?</v>
      </c>
      <c r="E6273" s="2" t="s">
        <v>189</v>
      </c>
    </row>
    <row r="6274" spans="1:5" x14ac:dyDescent="0.2">
      <c r="A6274">
        <v>6213</v>
      </c>
      <c r="B6274" s="1832">
        <f>'Acct Summary 7-8'!J82</f>
        <v>125921</v>
      </c>
      <c r="D6274" s="2" t="str">
        <f t="shared" si="97"/>
        <v>Error?</v>
      </c>
      <c r="E6274" s="2" t="s">
        <v>189</v>
      </c>
    </row>
    <row r="6275" spans="1:5" x14ac:dyDescent="0.2">
      <c r="A6275">
        <v>6214</v>
      </c>
      <c r="B6275" s="1832">
        <f>'Acct Summary 7-8'!K82</f>
        <v>-306</v>
      </c>
      <c r="D6275" s="2" t="str">
        <f t="shared" si="97"/>
        <v>Error?</v>
      </c>
      <c r="E6275" s="2" t="s">
        <v>189</v>
      </c>
    </row>
    <row r="6276" spans="1:5" x14ac:dyDescent="0.2">
      <c r="A6276">
        <v>6215</v>
      </c>
      <c r="B6276" s="1832">
        <f>'Acct Summary 7-8'!C83</f>
        <v>-2.0779195160441875</v>
      </c>
      <c r="D6276" s="2" t="str">
        <f t="shared" si="97"/>
        <v>Error?</v>
      </c>
      <c r="E6276" s="2" t="s">
        <v>189</v>
      </c>
    </row>
    <row r="6277" spans="1:5" x14ac:dyDescent="0.2">
      <c r="A6277">
        <v>6216</v>
      </c>
      <c r="B6277" s="1832">
        <f>'Acct Summary 7-8'!D83</f>
        <v>-0.10796951532191042</v>
      </c>
      <c r="D6277" s="2" t="str">
        <f t="shared" si="97"/>
        <v>Error?</v>
      </c>
      <c r="E6277" s="2" t="s">
        <v>189</v>
      </c>
    </row>
    <row r="6278" spans="1:5" x14ac:dyDescent="0.2">
      <c r="A6278">
        <v>6217</v>
      </c>
      <c r="B6278" s="1832">
        <f>'Acct Summary 7-8'!E83</f>
        <v>9.3009901334679027E-2</v>
      </c>
      <c r="D6278" s="2" t="str">
        <f t="shared" si="97"/>
        <v>Error?</v>
      </c>
      <c r="E6278" s="2" t="s">
        <v>189</v>
      </c>
    </row>
    <row r="6279" spans="1:5" x14ac:dyDescent="0.2">
      <c r="A6279">
        <v>6218</v>
      </c>
      <c r="B6279" s="1832">
        <f>'Acct Summary 7-8'!F83</f>
        <v>0.52095654781474565</v>
      </c>
      <c r="D6279" s="2" t="str">
        <f t="shared" si="97"/>
        <v>Error?</v>
      </c>
      <c r="E6279" s="2" t="s">
        <v>189</v>
      </c>
    </row>
    <row r="6280" spans="1:5" x14ac:dyDescent="0.2">
      <c r="A6280">
        <v>6219</v>
      </c>
      <c r="B6280" s="1832">
        <f>'Acct Summary 7-8'!G83</f>
        <v>0.16393189809388686</v>
      </c>
      <c r="D6280" s="2" t="str">
        <f t="shared" si="97"/>
        <v>Error?</v>
      </c>
      <c r="E6280" s="2" t="s">
        <v>189</v>
      </c>
    </row>
    <row r="6281" spans="1:5" x14ac:dyDescent="0.2">
      <c r="A6281">
        <v>6220</v>
      </c>
      <c r="B6281" s="1832">
        <f>'Acct Summary 7-8'!H83</f>
        <v>1.0847938005632589</v>
      </c>
      <c r="D6281" s="2" t="str">
        <f t="shared" si="97"/>
        <v>Error?</v>
      </c>
      <c r="E6281" s="2" t="s">
        <v>189</v>
      </c>
    </row>
    <row r="6282" spans="1:5" x14ac:dyDescent="0.2">
      <c r="A6282">
        <v>6221</v>
      </c>
      <c r="B6282" s="1832">
        <f>'Acct Summary 7-8'!I83</f>
        <v>2.9441568053747581E-2</v>
      </c>
      <c r="D6282" s="2" t="str">
        <f t="shared" si="97"/>
        <v>Error?</v>
      </c>
      <c r="E6282" s="2" t="s">
        <v>189</v>
      </c>
    </row>
    <row r="6283" spans="1:5" x14ac:dyDescent="0.2">
      <c r="A6283">
        <v>6222</v>
      </c>
      <c r="B6283" s="1832">
        <f>'Acct Summary 7-8'!J83</f>
        <v>0.30202966544819582</v>
      </c>
      <c r="D6283" s="2" t="str">
        <f t="shared" si="97"/>
        <v>Error?</v>
      </c>
      <c r="E6283" s="2" t="s">
        <v>189</v>
      </c>
    </row>
    <row r="6284" spans="1:5" x14ac:dyDescent="0.2">
      <c r="A6284">
        <v>6223</v>
      </c>
      <c r="B6284" s="1832">
        <f>'Acct Summary 7-8'!K83</f>
        <v>-0.17667436489607391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448432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448432</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2730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2730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600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451162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4253</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154845</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198091</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118654</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325241</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451162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9684</v>
      </c>
      <c r="D7073" s="2" t="str">
        <f t="shared" si="109"/>
        <v>Error?</v>
      </c>
    </row>
    <row r="7074" spans="1:4" x14ac:dyDescent="0.2">
      <c r="A7074">
        <v>7013</v>
      </c>
      <c r="B7074" s="1832">
        <f>'Expenditures 15-22'!K216</f>
        <v>9684</v>
      </c>
      <c r="D7074" s="2" t="str">
        <f t="shared" si="109"/>
        <v>Error?</v>
      </c>
    </row>
    <row r="7075" spans="1:4" x14ac:dyDescent="0.2">
      <c r="A7075">
        <v>7014</v>
      </c>
      <c r="B7075" s="1832">
        <f>'Expenditures 15-22'!D218</f>
        <v>1206</v>
      </c>
      <c r="D7075" s="2" t="str">
        <f t="shared" si="109"/>
        <v>Error?</v>
      </c>
    </row>
    <row r="7076" spans="1:4" x14ac:dyDescent="0.2">
      <c r="A7076">
        <v>7015</v>
      </c>
      <c r="B7076" s="1832">
        <f>'Expenditures 15-22'!K218</f>
        <v>1206</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2804</v>
      </c>
      <c r="D7089" s="2" t="str">
        <f t="shared" si="109"/>
        <v>Error?</v>
      </c>
    </row>
    <row r="7090" spans="1:4" x14ac:dyDescent="0.2">
      <c r="A7090">
        <v>7029</v>
      </c>
      <c r="B7090" s="1832">
        <f>'Expenditures 15-22'!K252</f>
        <v>2804</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68939</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68939</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9214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9214</v>
      </c>
      <c r="D7153" s="2" t="str">
        <f t="shared" si="110"/>
        <v>Error?</v>
      </c>
    </row>
    <row r="7154" spans="1:4" x14ac:dyDescent="0.2">
      <c r="A7154">
        <v>7093</v>
      </c>
      <c r="B7154" s="1832">
        <f>'Expenditures 15-22'!C323</f>
        <v>67795</v>
      </c>
      <c r="D7154" s="2" t="str">
        <f t="shared" si="110"/>
        <v>Error?</v>
      </c>
    </row>
    <row r="7155" spans="1:4" x14ac:dyDescent="0.2">
      <c r="A7155">
        <v>7094</v>
      </c>
      <c r="B7155" s="1832">
        <f>'Expenditures 15-22'!D323</f>
        <v>15753</v>
      </c>
      <c r="D7155" s="2" t="str">
        <f t="shared" si="110"/>
        <v>Error?</v>
      </c>
    </row>
    <row r="7156" spans="1:4" x14ac:dyDescent="0.2">
      <c r="A7156">
        <v>7095</v>
      </c>
      <c r="B7156" s="1832">
        <f>'Expenditures 15-22'!E323</f>
        <v>7620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91168</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4010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4010</v>
      </c>
      <c r="D7198" s="2" t="str">
        <f t="shared" si="111"/>
        <v>Error?</v>
      </c>
    </row>
    <row r="7199" spans="1:4" x14ac:dyDescent="0.2">
      <c r="A7199">
        <v>7138</v>
      </c>
      <c r="B7199" s="1832">
        <f>'Expenditures 15-22'!C330</f>
        <v>67795</v>
      </c>
      <c r="D7199" s="2" t="str">
        <f t="shared" si="111"/>
        <v>Error?</v>
      </c>
    </row>
    <row r="7200" spans="1:4" x14ac:dyDescent="0.2">
      <c r="A7200">
        <v>7139</v>
      </c>
      <c r="B7200" s="1832">
        <f>'Expenditures 15-22'!D330</f>
        <v>15753</v>
      </c>
      <c r="D7200" s="2" t="str">
        <f t="shared" si="111"/>
        <v>Error?</v>
      </c>
    </row>
    <row r="7201" spans="1:4" x14ac:dyDescent="0.2">
      <c r="A7201">
        <v>7140</v>
      </c>
      <c r="B7201" s="1832">
        <f>'Expenditures 15-22'!E330</f>
        <v>241693</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325241</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67795</v>
      </c>
      <c r="D7216" s="2" t="str">
        <f t="shared" si="111"/>
        <v>Error?</v>
      </c>
    </row>
    <row r="7217" spans="1:4" x14ac:dyDescent="0.2">
      <c r="A7217">
        <v>7156</v>
      </c>
      <c r="B7217" s="1832">
        <f>'Expenditures 15-22'!D342</f>
        <v>15753</v>
      </c>
      <c r="D7217" s="2" t="str">
        <f t="shared" si="111"/>
        <v>Error?</v>
      </c>
    </row>
    <row r="7218" spans="1:4" x14ac:dyDescent="0.2">
      <c r="A7218">
        <v>7157</v>
      </c>
      <c r="B7218" s="1832">
        <f>'Expenditures 15-22'!E342</f>
        <v>241693</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325241</v>
      </c>
      <c r="D7224" s="2" t="str">
        <f t="shared" si="111"/>
        <v>Error?</v>
      </c>
    </row>
    <row r="7225" spans="1:4" x14ac:dyDescent="0.2">
      <c r="A7225">
        <v>7164</v>
      </c>
      <c r="B7225" s="1832">
        <f>'Expenditures 15-22'!K343</f>
        <v>125921</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20683</v>
      </c>
      <c r="D7246" s="2" t="str">
        <f t="shared" si="112"/>
        <v>Error?</v>
      </c>
    </row>
    <row r="7247" spans="1:4" x14ac:dyDescent="0.2">
      <c r="A7247">
        <f t="shared" si="113"/>
        <v>7186</v>
      </c>
      <c r="B7247" s="1832">
        <f>'Expenditures 15-22'!E7</f>
        <v>3136</v>
      </c>
      <c r="D7247" s="2" t="str">
        <f t="shared" si="112"/>
        <v>Error?</v>
      </c>
    </row>
    <row r="7248" spans="1:4" x14ac:dyDescent="0.2">
      <c r="A7248">
        <f t="shared" si="113"/>
        <v>7187</v>
      </c>
      <c r="B7248" s="1832">
        <f>'Expenditures 15-22'!F7</f>
        <v>8989</v>
      </c>
      <c r="D7248" s="2" t="str">
        <f t="shared" si="112"/>
        <v>Error?</v>
      </c>
    </row>
    <row r="7249" spans="1:4" x14ac:dyDescent="0.2">
      <c r="A7249">
        <f t="shared" si="113"/>
        <v>7188</v>
      </c>
      <c r="B7249" s="1832">
        <f>'Expenditures 15-22'!G7</f>
        <v>10438</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97967</v>
      </c>
      <c r="D7251" s="2" t="str">
        <f t="shared" si="112"/>
        <v>Error?</v>
      </c>
    </row>
    <row r="7252" spans="1:4" x14ac:dyDescent="0.2">
      <c r="A7252">
        <f t="shared" si="113"/>
        <v>7191</v>
      </c>
      <c r="B7252" s="1832">
        <f>'Expenditures 15-22'!D9</f>
        <v>20389</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298</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525149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151910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151910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600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19268</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19868</v>
      </c>
      <c r="D7719" s="2" t="str">
        <f t="shared" si="126"/>
        <v>Error?</v>
      </c>
      <c r="E7719" s="2" t="s">
        <v>822</v>
      </c>
    </row>
    <row r="7720" spans="1:6" x14ac:dyDescent="0.2">
      <c r="A7720">
        <v>7659</v>
      </c>
      <c r="B7720" s="1832">
        <f>'Rest Tax Levies-Tort Im 25'!H14</f>
        <v>52022</v>
      </c>
      <c r="D7720" s="2" t="str">
        <f t="shared" si="126"/>
        <v>Error?</v>
      </c>
      <c r="E7720" s="2" t="s">
        <v>822</v>
      </c>
    </row>
    <row r="7721" spans="1:6" x14ac:dyDescent="0.2">
      <c r="A7721">
        <v>7660</v>
      </c>
      <c r="B7721" s="1832">
        <f>'Rest Tax Levies-Tort Im 25'!K14</f>
        <v>19868</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1</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1</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1996</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19868</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2057200</v>
      </c>
      <c r="D7817" s="2" t="str">
        <f t="shared" si="128"/>
        <v>Error?</v>
      </c>
      <c r="E7817" s="4" t="s">
        <v>1965</v>
      </c>
    </row>
    <row r="7818" spans="1:5" x14ac:dyDescent="0.2">
      <c r="A7818">
        <v>7757</v>
      </c>
      <c r="B7818" s="1832">
        <f>'PCTC-OEPP 27-28'!F172</f>
        <v>457537</v>
      </c>
      <c r="D7818" s="2" t="str">
        <f t="shared" si="128"/>
        <v>Error?</v>
      </c>
      <c r="E7818" s="4" t="s">
        <v>1979</v>
      </c>
    </row>
    <row r="7819" spans="1:5" x14ac:dyDescent="0.2">
      <c r="A7819">
        <v>7758</v>
      </c>
      <c r="B7819" s="1832">
        <f>'PCTC-OEPP 27-28'!F173</f>
        <v>0</v>
      </c>
      <c r="D7819" s="2" t="str">
        <f t="shared" si="128"/>
        <v>Error?</v>
      </c>
      <c r="E7819" s="4" t="s">
        <v>1979</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14729699</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187653</v>
      </c>
      <c r="D7826" s="2" t="str">
        <f t="shared" si="129"/>
        <v>Error?</v>
      </c>
      <c r="E7826" s="4" t="s">
        <v>1997</v>
      </c>
    </row>
    <row r="7827" spans="1:5" x14ac:dyDescent="0.2">
      <c r="A7827">
        <v>7766</v>
      </c>
      <c r="B7827" s="1832">
        <f>'PCTC-OEPP 27-28'!F35</f>
        <v>118654</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0</v>
      </c>
      <c r="D7830" s="2" t="str">
        <f t="shared" si="129"/>
        <v>Error?</v>
      </c>
      <c r="E7830" s="4" t="s">
        <v>1997</v>
      </c>
    </row>
    <row r="7831" spans="1:5" x14ac:dyDescent="0.2">
      <c r="A7831">
        <v>7770</v>
      </c>
      <c r="B7831" s="1832">
        <f>'PCTC-OEPP 27-28'!F52</f>
        <v>205173</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1750071</v>
      </c>
      <c r="D7834" s="2" t="str">
        <f t="shared" si="129"/>
        <v>Error?</v>
      </c>
      <c r="E7834" s="4" t="s">
        <v>1997</v>
      </c>
    </row>
    <row r="7835" spans="1:5" x14ac:dyDescent="0.2">
      <c r="A7835">
        <v>7774</v>
      </c>
      <c r="B7835" s="1832">
        <f>'PCTC-OEPP 27-28'!F78</f>
        <v>12979628</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9485.9519111305999</v>
      </c>
      <c r="D7837" s="2" t="str">
        <f t="shared" si="129"/>
        <v>Error?</v>
      </c>
      <c r="E7837" s="4" t="s">
        <v>1997</v>
      </c>
    </row>
    <row r="7838" spans="1:5" x14ac:dyDescent="0.2">
      <c r="A7838">
        <v>7777</v>
      </c>
      <c r="B7838" s="1832">
        <f>'PCTC-OEPP 27-28'!F96</f>
        <v>85693</v>
      </c>
      <c r="D7838" s="2" t="str">
        <f t="shared" si="129"/>
        <v>Error?</v>
      </c>
      <c r="E7838" s="4" t="s">
        <v>1997</v>
      </c>
    </row>
    <row r="7839" spans="1:5" x14ac:dyDescent="0.2">
      <c r="A7839">
        <v>7778</v>
      </c>
      <c r="B7839" s="1832">
        <f>'PCTC-OEPP 27-28'!F102</f>
        <v>100</v>
      </c>
      <c r="D7839" s="2" t="str">
        <f t="shared" si="129"/>
        <v>Error?</v>
      </c>
      <c r="E7839" s="4" t="s">
        <v>1997</v>
      </c>
    </row>
    <row r="7840" spans="1:5" x14ac:dyDescent="0.2">
      <c r="A7840">
        <v>7779</v>
      </c>
      <c r="B7840" s="1832">
        <f>'PCTC-OEPP 27-28'!F103</f>
        <v>0</v>
      </c>
      <c r="D7840" s="2" t="str">
        <f t="shared" si="129"/>
        <v>Error?</v>
      </c>
      <c r="E7840" s="4" t="s">
        <v>1997</v>
      </c>
    </row>
    <row r="7841" spans="1:5" x14ac:dyDescent="0.2">
      <c r="A7841">
        <v>7780</v>
      </c>
      <c r="B7841" s="1832">
        <f>'PCTC-OEPP 27-28'!F104</f>
        <v>0</v>
      </c>
      <c r="D7841" s="2" t="str">
        <f t="shared" si="129"/>
        <v>Error?</v>
      </c>
      <c r="E7841" s="4" t="s">
        <v>1997</v>
      </c>
    </row>
    <row r="7842" spans="1:5" x14ac:dyDescent="0.2">
      <c r="A7842">
        <v>7781</v>
      </c>
      <c r="B7842" s="1832">
        <f>'PCTC-OEPP 27-28'!F106</f>
        <v>31105</v>
      </c>
      <c r="D7842" s="2" t="str">
        <f t="shared" si="129"/>
        <v>Error?</v>
      </c>
      <c r="E7842" s="4" t="s">
        <v>1997</v>
      </c>
    </row>
    <row r="7843" spans="1:5" x14ac:dyDescent="0.2">
      <c r="A7843">
        <v>7782</v>
      </c>
      <c r="B7843" s="1832">
        <f>'PCTC-OEPP 27-28'!F107</f>
        <v>30392</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19268</v>
      </c>
      <c r="D7846" s="2" t="str">
        <f t="shared" si="129"/>
        <v>Error?</v>
      </c>
      <c r="E7846" s="4" t="s">
        <v>1997</v>
      </c>
    </row>
    <row r="7847" spans="1:5" x14ac:dyDescent="0.2">
      <c r="A7847">
        <v>7786</v>
      </c>
      <c r="B7847" s="1832">
        <f>'PCTC-OEPP 27-28'!F112</f>
        <v>389255</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0</v>
      </c>
      <c r="D7855" s="2" t="str">
        <f t="shared" si="129"/>
        <v>Error?</v>
      </c>
      <c r="E7855" s="4" t="s">
        <v>1997</v>
      </c>
    </row>
    <row r="7856" spans="1:5" x14ac:dyDescent="0.2">
      <c r="A7856">
        <v>7795</v>
      </c>
      <c r="B7856" s="1832">
        <f>'PCTC-OEPP 27-28'!F124</f>
        <v>0</v>
      </c>
      <c r="D7856" s="2" t="str">
        <f t="shared" si="129"/>
        <v>Error?</v>
      </c>
      <c r="E7856" s="4" t="s">
        <v>1997</v>
      </c>
    </row>
    <row r="7857" spans="1:5" x14ac:dyDescent="0.2">
      <c r="A7857">
        <v>7796</v>
      </c>
      <c r="B7857" s="1832">
        <f>'PCTC-OEPP 27-28'!F125</f>
        <v>0</v>
      </c>
      <c r="D7857" s="2" t="str">
        <f t="shared" si="129"/>
        <v>Error?</v>
      </c>
      <c r="E7857" s="4" t="s">
        <v>1997</v>
      </c>
    </row>
    <row r="7858" spans="1:5" x14ac:dyDescent="0.2">
      <c r="A7858">
        <v>7797</v>
      </c>
      <c r="B7858" s="1832">
        <f>'PCTC-OEPP 27-28'!F126</f>
        <v>316201</v>
      </c>
      <c r="D7858" s="2" t="str">
        <f t="shared" si="129"/>
        <v>Error?</v>
      </c>
      <c r="E7858" s="4" t="s">
        <v>1997</v>
      </c>
    </row>
    <row r="7859" spans="1:5" x14ac:dyDescent="0.2">
      <c r="A7859">
        <v>7798</v>
      </c>
      <c r="B7859" s="1832">
        <f>'PCTC-OEPP 27-28'!F127</f>
        <v>548928</v>
      </c>
      <c r="D7859" s="2" t="str">
        <f t="shared" si="129"/>
        <v>Error?</v>
      </c>
      <c r="E7859" s="4" t="s">
        <v>1997</v>
      </c>
    </row>
    <row r="7860" spans="1:5" x14ac:dyDescent="0.2">
      <c r="A7860">
        <v>7799</v>
      </c>
      <c r="B7860" s="1832">
        <f>'PCTC-OEPP 27-28'!F128</f>
        <v>0</v>
      </c>
      <c r="D7860" s="2" t="str">
        <f t="shared" si="129"/>
        <v>Error?</v>
      </c>
      <c r="E7860" s="4" t="s">
        <v>1997</v>
      </c>
    </row>
    <row r="7861" spans="1:5" x14ac:dyDescent="0.2">
      <c r="A7861">
        <v>7800</v>
      </c>
      <c r="B7861" s="1832">
        <f>'PCTC-OEPP 27-28'!F129</f>
        <v>0</v>
      </c>
      <c r="D7861" s="2" t="str">
        <f t="shared" si="129"/>
        <v>Error?</v>
      </c>
      <c r="E7861" s="4" t="s">
        <v>1997</v>
      </c>
    </row>
    <row r="7862" spans="1:5" x14ac:dyDescent="0.2">
      <c r="A7862">
        <v>7801</v>
      </c>
      <c r="B7862" s="1832">
        <f>'PCTC-OEPP 27-28'!F130</f>
        <v>0</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0</v>
      </c>
      <c r="D7865" s="2" t="str">
        <f t="shared" si="129"/>
        <v>Error?</v>
      </c>
      <c r="E7865" s="4" t="s">
        <v>1997</v>
      </c>
    </row>
    <row r="7866" spans="1:5" x14ac:dyDescent="0.2">
      <c r="A7866">
        <v>7805</v>
      </c>
      <c r="B7866" s="1832">
        <f>'PCTC-OEPP 27-28'!F158</f>
        <v>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0</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27251</v>
      </c>
      <c r="D7874" s="2" t="str">
        <f t="shared" si="129"/>
        <v>Error?</v>
      </c>
      <c r="E7874" s="4" t="s">
        <v>1997</v>
      </c>
    </row>
    <row r="7875" spans="1:5" x14ac:dyDescent="0.2">
      <c r="A7875">
        <v>7814</v>
      </c>
      <c r="B7875" s="1832">
        <f>'PCTC-OEPP 27-28'!F170</f>
        <v>136165</v>
      </c>
      <c r="D7875" s="2" t="str">
        <f t="shared" si="129"/>
        <v>Error?</v>
      </c>
      <c r="E7875" s="4" t="s">
        <v>1997</v>
      </c>
    </row>
    <row r="7876" spans="1:5" x14ac:dyDescent="0.2">
      <c r="A7876">
        <v>7815</v>
      </c>
      <c r="B7876" s="1832">
        <f>'PCTC-OEPP 27-28'!F171</f>
        <v>144030</v>
      </c>
      <c r="D7876" s="2" t="str">
        <f t="shared" si="129"/>
        <v>Error?</v>
      </c>
      <c r="E7876" s="4" t="s">
        <v>1997</v>
      </c>
    </row>
    <row r="7877" spans="1:5" x14ac:dyDescent="0.2">
      <c r="A7877">
        <v>7816</v>
      </c>
      <c r="B7877" s="1832">
        <f>'PCTC-OEPP 27-28'!F175</f>
        <v>2349718</v>
      </c>
      <c r="D7877" s="2" t="str">
        <f t="shared" si="129"/>
        <v>Error?</v>
      </c>
      <c r="E7877" s="4" t="s">
        <v>1997</v>
      </c>
    </row>
    <row r="7878" spans="1:5" x14ac:dyDescent="0.2">
      <c r="A7878">
        <v>7817</v>
      </c>
      <c r="B7878" s="1832">
        <f>'PCTC-OEPP 27-28'!F176</f>
        <v>10629910</v>
      </c>
      <c r="D7878" s="2" t="str">
        <f t="shared" si="129"/>
        <v>Error?</v>
      </c>
      <c r="E7878" s="4" t="s">
        <v>1997</v>
      </c>
    </row>
    <row r="7879" spans="1:5" x14ac:dyDescent="0.2">
      <c r="A7879">
        <v>7818</v>
      </c>
      <c r="B7879" s="1832">
        <f>'PCTC-OEPP 27-28'!F178</f>
        <v>11155059</v>
      </c>
      <c r="D7879" s="2" t="str">
        <f t="shared" si="129"/>
        <v>Error?</v>
      </c>
      <c r="E7879" s="4" t="s">
        <v>1997</v>
      </c>
    </row>
    <row r="7880" spans="1:5" x14ac:dyDescent="0.2">
      <c r="A7880">
        <v>7819</v>
      </c>
      <c r="B7880" s="1832">
        <f>'PCTC-OEPP 27-28'!F180</f>
        <v>8152.4950668713009</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0" zoomScale="110" zoomScaleNormal="110" workbookViewId="0">
      <selection activeCell="B46" sqref="B46"/>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Wabash CUSD 348</v>
      </c>
      <c r="B7" s="2516"/>
      <c r="C7" s="2516"/>
      <c r="D7" s="2554"/>
      <c r="E7" s="2555">
        <f>COVER!A13</f>
        <v>20093348026</v>
      </c>
      <c r="F7" s="2556"/>
      <c r="G7" s="2522">
        <f>COVER!T23</f>
        <v>0</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Kemper CPA Group LLP</v>
      </c>
      <c r="H9" s="2529"/>
      <c r="I9" s="2529"/>
      <c r="J9" s="2529"/>
      <c r="K9" s="2529"/>
      <c r="L9" s="2530"/>
    </row>
    <row r="10" spans="1:29" ht="13.5" customHeight="1" x14ac:dyDescent="0.2">
      <c r="A10" s="2512" t="str">
        <f>COVER!A38</f>
        <v>Charles Bleyer</v>
      </c>
      <c r="B10" s="2513"/>
      <c r="C10" s="2513"/>
      <c r="D10" s="2513"/>
      <c r="E10" s="2513"/>
      <c r="F10" s="2514"/>
      <c r="G10" s="2528" t="str">
        <f>COVER!T17</f>
        <v xml:space="preserve">7200 Eagle Crest Blvd. </v>
      </c>
      <c r="H10" s="2541"/>
      <c r="I10" s="2541"/>
      <c r="J10" s="2541"/>
      <c r="K10" s="2541"/>
      <c r="L10" s="2542"/>
    </row>
    <row r="11" spans="1:29" ht="13.5" customHeight="1" x14ac:dyDescent="0.2">
      <c r="A11" s="963" t="s">
        <v>1502</v>
      </c>
      <c r="B11" s="964"/>
      <c r="C11" s="965"/>
      <c r="D11" s="970"/>
      <c r="E11" s="965"/>
      <c r="F11" s="969"/>
      <c r="G11" s="2528" t="str">
        <f>COVER!T19</f>
        <v>Evansville</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mdsmith@kempercpa.com</v>
      </c>
      <c r="J13" s="2550"/>
      <c r="K13" s="2550"/>
      <c r="L13" s="2551"/>
    </row>
    <row r="14" spans="1:29" ht="13.5" customHeight="1" x14ac:dyDescent="0.2">
      <c r="A14" s="2528" t="str">
        <f>COVER!A19</f>
        <v>218 W. 13th Street</v>
      </c>
      <c r="B14" s="2541"/>
      <c r="C14" s="2541"/>
      <c r="D14" s="2541"/>
      <c r="E14" s="2541"/>
      <c r="F14" s="2542"/>
      <c r="G14" s="974" t="s">
        <v>1175</v>
      </c>
      <c r="H14" s="972"/>
      <c r="I14" s="972"/>
      <c r="J14" s="972"/>
      <c r="K14" s="972"/>
      <c r="L14" s="973"/>
    </row>
    <row r="15" spans="1:29" ht="13.5" customHeight="1" x14ac:dyDescent="0.2">
      <c r="A15" s="2528" t="str">
        <f>COVER!A21</f>
        <v>Mt. Carmel, IL</v>
      </c>
      <c r="B15" s="2541"/>
      <c r="C15" s="2541"/>
      <c r="D15" s="2541"/>
      <c r="E15" s="2541"/>
      <c r="F15" s="2542"/>
      <c r="G15" s="2538" t="str">
        <f>COVER!T15</f>
        <v>Michelle Smith, CPA</v>
      </c>
      <c r="H15" s="2539"/>
      <c r="I15" s="2539"/>
      <c r="J15" s="2539"/>
      <c r="K15" s="2539"/>
      <c r="L15" s="2540"/>
    </row>
    <row r="16" spans="1:29" ht="12.2" customHeight="1" x14ac:dyDescent="0.2">
      <c r="A16" s="2518">
        <f>COVER!A25</f>
        <v>0</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812-421-8000</v>
      </c>
      <c r="H18" s="2516"/>
      <c r="I18" s="2516"/>
      <c r="J18" s="2516"/>
      <c r="K18" s="2515" t="str">
        <f>COVER!X21</f>
        <v>812-421-2292</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2069</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2069</v>
      </c>
      <c r="C26" s="981" t="s">
        <v>1677</v>
      </c>
    </row>
    <row r="27" spans="1:13" s="977" customFormat="1" ht="9" customHeight="1" x14ac:dyDescent="0.2">
      <c r="B27" s="982"/>
      <c r="C27" s="981"/>
    </row>
    <row r="28" spans="1:13" s="977" customFormat="1" ht="12.2" customHeight="1" x14ac:dyDescent="0.2">
      <c r="A28" s="984"/>
      <c r="B28" s="980" t="s">
        <v>2069</v>
      </c>
      <c r="C28" s="981" t="s">
        <v>1678</v>
      </c>
    </row>
    <row r="29" spans="1:13" s="977" customFormat="1" ht="9" customHeight="1" x14ac:dyDescent="0.2">
      <c r="A29" s="984"/>
      <c r="B29" s="982"/>
      <c r="C29" s="981"/>
    </row>
    <row r="30" spans="1:13" s="977" customFormat="1" ht="12.2" customHeight="1" x14ac:dyDescent="0.2">
      <c r="B30" s="980" t="s">
        <v>2069</v>
      </c>
      <c r="C30" s="981" t="s">
        <v>1545</v>
      </c>
      <c r="D30" s="975"/>
      <c r="E30" s="975"/>
    </row>
    <row r="31" spans="1:13" s="977" customFormat="1" ht="9" customHeight="1" x14ac:dyDescent="0.2">
      <c r="B31" s="982"/>
      <c r="C31" s="981"/>
      <c r="D31" s="975"/>
      <c r="E31" s="975"/>
    </row>
    <row r="32" spans="1:13" s="977" customFormat="1" ht="12.2" customHeight="1" x14ac:dyDescent="0.2">
      <c r="B32" s="980" t="s">
        <v>2069</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2069</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2069</v>
      </c>
      <c r="C38" s="981" t="s">
        <v>1549</v>
      </c>
    </row>
    <row r="39" spans="1:8" ht="9" customHeight="1" x14ac:dyDescent="0.2">
      <c r="B39" s="982"/>
      <c r="C39" s="985"/>
    </row>
    <row r="40" spans="1:8" s="977" customFormat="1" ht="13.5" customHeight="1" x14ac:dyDescent="0.2">
      <c r="B40" s="980" t="s">
        <v>2069</v>
      </c>
      <c r="C40" s="981" t="s">
        <v>1550</v>
      </c>
    </row>
    <row r="41" spans="1:8" ht="9" customHeight="1" x14ac:dyDescent="0.2">
      <c r="A41" s="986"/>
      <c r="B41" s="982"/>
      <c r="C41" s="985"/>
    </row>
    <row r="42" spans="1:8" s="977" customFormat="1" ht="13.5" customHeight="1" x14ac:dyDescent="0.2">
      <c r="B42" s="980" t="s">
        <v>2069</v>
      </c>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Wabash CUSD 348</v>
      </c>
      <c r="B1" s="2558"/>
      <c r="C1" s="2558"/>
      <c r="D1" s="2558"/>
    </row>
    <row r="2" spans="1:11" s="991" customFormat="1" ht="12.75" x14ac:dyDescent="0.2">
      <c r="A2" s="2559">
        <f>'Single Audit Cover'!E7</f>
        <v>20093348026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1968</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Wabash CUSD 348</v>
      </c>
      <c r="B1" s="2562"/>
      <c r="C1" s="2562"/>
      <c r="D1" s="2562"/>
      <c r="E1" s="2562"/>
    </row>
    <row r="2" spans="1:5" x14ac:dyDescent="0.2">
      <c r="A2" s="2563">
        <f>'Single Audit Cover'!E7</f>
        <v>20093348026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1463786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2003</v>
      </c>
      <c r="B14" s="1038"/>
      <c r="C14" s="1038"/>
      <c r="D14" s="1040">
        <f>'ICR Computation 30'!E11</f>
        <v>37913</v>
      </c>
    </row>
    <row r="15" spans="1:5" x14ac:dyDescent="0.2">
      <c r="A15" s="1037"/>
      <c r="B15" s="1038"/>
      <c r="C15" s="1038"/>
    </row>
    <row r="16" spans="1:5" x14ac:dyDescent="0.2">
      <c r="A16" s="1037" t="s">
        <v>1814</v>
      </c>
      <c r="B16" s="1038"/>
      <c r="C16" s="1038"/>
    </row>
    <row r="17" spans="1:4" x14ac:dyDescent="0.2">
      <c r="A17" s="1037" t="s">
        <v>1963</v>
      </c>
      <c r="B17" s="1038" t="s">
        <v>1225</v>
      </c>
      <c r="C17" s="1038"/>
      <c r="D17" s="1040">
        <f>-SUM('Revenues 9-14'!C264:D264,'Revenues 9-14'!F264:G264)</f>
        <v>-136165</v>
      </c>
    </row>
    <row r="19" spans="1:4" ht="13.5" thickBot="1" x14ac:dyDescent="0.25">
      <c r="A19" s="1041" t="s">
        <v>1224</v>
      </c>
      <c r="D19" s="1042">
        <f>SUM(D10:D17)</f>
        <v>1365534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1365534</v>
      </c>
    </row>
    <row r="33" spans="1:4" x14ac:dyDescent="0.2">
      <c r="D33" s="1045"/>
    </row>
    <row r="34" spans="1:4" x14ac:dyDescent="0.2">
      <c r="A34" s="295" t="s">
        <v>1221</v>
      </c>
    </row>
    <row r="35" spans="1:4" x14ac:dyDescent="0.2">
      <c r="A35" s="295" t="s">
        <v>1220</v>
      </c>
      <c r="B35" s="1034" t="s">
        <v>1219</v>
      </c>
      <c r="D35" s="1046">
        <v>1365534</v>
      </c>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1365534</v>
      </c>
    </row>
    <row r="49" spans="2:4" x14ac:dyDescent="0.2">
      <c r="B49" s="1048" t="s">
        <v>1215</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I22" sqref="I2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Wabash CUSD 348</v>
      </c>
      <c r="C1" s="2566"/>
      <c r="D1" s="2566"/>
      <c r="E1" s="2566"/>
      <c r="F1" s="2566"/>
      <c r="G1" s="2566"/>
      <c r="H1" s="2566"/>
      <c r="I1" s="2566"/>
      <c r="J1" s="2566"/>
      <c r="K1" s="2566"/>
      <c r="L1" s="2566"/>
      <c r="M1" s="2566"/>
    </row>
    <row r="2" spans="2:14" ht="15" x14ac:dyDescent="0.2">
      <c r="B2" s="2567">
        <f>'Single Audit Cover'!E7</f>
        <v>20093348026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1710</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1711</v>
      </c>
      <c r="D9" s="1090" t="s">
        <v>1712</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2073</v>
      </c>
      <c r="C11" s="1821"/>
      <c r="D11" s="1822"/>
      <c r="E11" s="1823"/>
      <c r="F11" s="1823"/>
      <c r="G11" s="1823"/>
      <c r="H11" s="1823"/>
      <c r="I11" s="1823"/>
      <c r="J11" s="1823"/>
      <c r="K11" s="1823"/>
      <c r="L11" s="1823">
        <f>+G11+I11+K11</f>
        <v>0</v>
      </c>
      <c r="M11" s="1823"/>
    </row>
    <row r="12" spans="2:14" ht="20.100000000000001" customHeight="1" x14ac:dyDescent="0.2">
      <c r="B12" s="1113" t="s">
        <v>1049</v>
      </c>
      <c r="C12" s="1824">
        <v>10.555</v>
      </c>
      <c r="D12" s="1825"/>
      <c r="E12" s="1826">
        <v>207541</v>
      </c>
      <c r="F12" s="1826">
        <v>232577</v>
      </c>
      <c r="G12" s="1826">
        <v>207541</v>
      </c>
      <c r="H12" s="1826"/>
      <c r="I12" s="1826">
        <v>232576</v>
      </c>
      <c r="J12" s="1826"/>
      <c r="K12" s="1826"/>
      <c r="L12" s="1823">
        <f t="shared" ref="L12:L27" si="0">+G12+I12+K12</f>
        <v>440117</v>
      </c>
      <c r="M12" s="1826"/>
    </row>
    <row r="13" spans="2:14" ht="20.100000000000001" customHeight="1" x14ac:dyDescent="0.2">
      <c r="B13" s="1113" t="s">
        <v>1050</v>
      </c>
      <c r="C13" s="1824">
        <v>10.553000000000001</v>
      </c>
      <c r="D13" s="1825"/>
      <c r="E13" s="1826">
        <v>73251</v>
      </c>
      <c r="F13" s="1826">
        <v>83624</v>
      </c>
      <c r="G13" s="1826">
        <v>73252</v>
      </c>
      <c r="H13" s="1826"/>
      <c r="I13" s="1826">
        <v>83625</v>
      </c>
      <c r="J13" s="1826"/>
      <c r="K13" s="1826"/>
      <c r="L13" s="1823">
        <f t="shared" si="0"/>
        <v>156877</v>
      </c>
      <c r="M13" s="1826"/>
    </row>
    <row r="14" spans="2:14" ht="20.100000000000001" customHeight="1" x14ac:dyDescent="0.2">
      <c r="B14" s="1113" t="s">
        <v>2074</v>
      </c>
      <c r="C14" s="1824">
        <v>10.555</v>
      </c>
      <c r="D14" s="1825"/>
      <c r="E14" s="1826">
        <v>35004</v>
      </c>
      <c r="F14" s="1826">
        <v>37913</v>
      </c>
      <c r="G14" s="1826">
        <v>35004</v>
      </c>
      <c r="H14" s="1826"/>
      <c r="I14" s="1826">
        <v>37913</v>
      </c>
      <c r="J14" s="1826"/>
      <c r="K14" s="1826"/>
      <c r="L14" s="1823">
        <f t="shared" si="0"/>
        <v>72917</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t="s">
        <v>2075</v>
      </c>
      <c r="C16" s="1824"/>
      <c r="D16" s="1825"/>
      <c r="E16" s="1826"/>
      <c r="F16" s="1826"/>
      <c r="G16" s="1826"/>
      <c r="H16" s="1826"/>
      <c r="I16" s="1826"/>
      <c r="J16" s="1826"/>
      <c r="K16" s="1826"/>
      <c r="L16" s="1823">
        <f t="shared" si="0"/>
        <v>0</v>
      </c>
      <c r="M16" s="1826"/>
    </row>
    <row r="17" spans="2:14" ht="20.100000000000001" customHeight="1" x14ac:dyDescent="0.2">
      <c r="B17" s="1113" t="s">
        <v>2076</v>
      </c>
      <c r="C17" s="1824" t="s">
        <v>2078</v>
      </c>
      <c r="D17" s="1825"/>
      <c r="E17" s="1826">
        <v>473227</v>
      </c>
      <c r="F17" s="1826">
        <v>548928</v>
      </c>
      <c r="G17" s="1826">
        <v>473227</v>
      </c>
      <c r="H17" s="1826"/>
      <c r="I17" s="1826">
        <v>548928</v>
      </c>
      <c r="J17" s="1826"/>
      <c r="K17" s="1826"/>
      <c r="L17" s="1823">
        <f t="shared" si="0"/>
        <v>1022155</v>
      </c>
      <c r="M17" s="1826"/>
    </row>
    <row r="18" spans="2:14" ht="20.100000000000001" customHeight="1" x14ac:dyDescent="0.2">
      <c r="B18" s="1113" t="s">
        <v>2079</v>
      </c>
      <c r="C18" s="1824" t="s">
        <v>2080</v>
      </c>
      <c r="D18" s="1825"/>
      <c r="E18" s="1826"/>
      <c r="F18" s="1826">
        <v>16523</v>
      </c>
      <c r="G18" s="1826"/>
      <c r="H18" s="1826"/>
      <c r="I18" s="1826">
        <v>16523</v>
      </c>
      <c r="J18" s="1826"/>
      <c r="K18" s="1826"/>
      <c r="L18" s="1823">
        <f t="shared" si="0"/>
        <v>16523</v>
      </c>
      <c r="M18" s="1826"/>
    </row>
    <row r="19" spans="2:14" ht="20.100000000000001" customHeight="1" x14ac:dyDescent="0.2">
      <c r="B19" s="1113" t="s">
        <v>2081</v>
      </c>
      <c r="C19" s="1824" t="s">
        <v>2082</v>
      </c>
      <c r="D19" s="1825"/>
      <c r="E19" s="1826"/>
      <c r="F19" s="1826">
        <v>274688</v>
      </c>
      <c r="G19" s="1826"/>
      <c r="H19" s="1826"/>
      <c r="I19" s="1826">
        <v>274688</v>
      </c>
      <c r="J19" s="1826"/>
      <c r="K19" s="1826"/>
      <c r="L19" s="1823">
        <f t="shared" si="0"/>
        <v>274688</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t="s">
        <v>2077</v>
      </c>
      <c r="C21" s="1824"/>
      <c r="D21" s="1825"/>
      <c r="E21" s="1826"/>
      <c r="F21" s="1826"/>
      <c r="G21" s="1826"/>
      <c r="H21" s="1826"/>
      <c r="I21" s="1826"/>
      <c r="J21" s="1826"/>
      <c r="K21" s="1826"/>
      <c r="L21" s="1823">
        <f t="shared" si="0"/>
        <v>0</v>
      </c>
      <c r="M21" s="1826"/>
    </row>
    <row r="22" spans="2:14" ht="20.100000000000001" customHeight="1" x14ac:dyDescent="0.2">
      <c r="B22" s="1113" t="s">
        <v>2083</v>
      </c>
      <c r="C22" s="1824">
        <v>93.787999999999997</v>
      </c>
      <c r="D22" s="1825"/>
      <c r="E22" s="1826">
        <v>26251</v>
      </c>
      <c r="F22" s="1826">
        <v>27251</v>
      </c>
      <c r="G22" s="1826">
        <v>26251</v>
      </c>
      <c r="H22" s="1826"/>
      <c r="I22" s="1826">
        <v>27251</v>
      </c>
      <c r="J22" s="1826"/>
      <c r="K22" s="1826"/>
      <c r="L22" s="1823">
        <f t="shared" si="0"/>
        <v>53502</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t="s">
        <v>2084</v>
      </c>
      <c r="C24" s="1824"/>
      <c r="D24" s="1825"/>
      <c r="E24" s="1826"/>
      <c r="F24" s="1826"/>
      <c r="G24" s="1826"/>
      <c r="H24" s="1826"/>
      <c r="I24" s="1826"/>
      <c r="J24" s="1826"/>
      <c r="K24" s="1826"/>
      <c r="L24" s="1823">
        <f t="shared" si="0"/>
        <v>0</v>
      </c>
      <c r="M24" s="1826"/>
    </row>
    <row r="25" spans="2:14" ht="20.100000000000001" customHeight="1" x14ac:dyDescent="0.2">
      <c r="B25" s="1113" t="s">
        <v>2085</v>
      </c>
      <c r="C25" s="1824">
        <v>20.616</v>
      </c>
      <c r="D25" s="1825"/>
      <c r="E25" s="1826"/>
      <c r="F25" s="1826">
        <v>67901</v>
      </c>
      <c r="G25" s="1826"/>
      <c r="H25" s="1826"/>
      <c r="I25" s="1826">
        <v>67901</v>
      </c>
      <c r="J25" s="1826"/>
      <c r="K25" s="1826"/>
      <c r="L25" s="1823">
        <f t="shared" si="0"/>
        <v>67901</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t="s">
        <v>2086</v>
      </c>
      <c r="C27" s="1824">
        <v>84.334000000000003</v>
      </c>
      <c r="D27" s="1825"/>
      <c r="E27" s="1826"/>
      <c r="F27" s="1826">
        <v>76129</v>
      </c>
      <c r="G27" s="1826"/>
      <c r="H27" s="1826"/>
      <c r="I27" s="1826">
        <v>76128</v>
      </c>
      <c r="J27" s="1826"/>
      <c r="K27" s="1826"/>
      <c r="L27" s="1823">
        <f t="shared" si="0"/>
        <v>76128</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E44" sqref="E4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Wabash CUSD 348</v>
      </c>
      <c r="B1" s="2571"/>
      <c r="C1" s="2571"/>
      <c r="D1" s="2571"/>
      <c r="E1" s="2571"/>
      <c r="F1" s="2571"/>
    </row>
    <row r="2" spans="1:7" ht="13.5" customHeight="1" x14ac:dyDescent="0.2">
      <c r="A2" s="2567">
        <f>'Single Audit Cover'!E7</f>
        <v>20093348026</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2088</v>
      </c>
      <c r="B7" s="2570"/>
      <c r="C7" s="2570"/>
      <c r="D7" s="2570"/>
      <c r="E7" s="2570"/>
      <c r="F7" s="2570"/>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2069</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1707</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t="s">
        <v>2087</v>
      </c>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1708</v>
      </c>
      <c r="B32" s="2578"/>
      <c r="C32" s="2578"/>
      <c r="D32" s="2578"/>
      <c r="E32" s="2578"/>
      <c r="F32" s="2578"/>
    </row>
    <row r="33" spans="1:6" ht="13.5" customHeight="1" x14ac:dyDescent="0.2">
      <c r="A33" s="306" t="s">
        <v>1417</v>
      </c>
      <c r="B33" s="306"/>
      <c r="C33" s="1064">
        <v>29138</v>
      </c>
      <c r="D33" s="1526"/>
      <c r="E33" s="1062"/>
    </row>
    <row r="34" spans="1:6" ht="13.5" customHeight="1" x14ac:dyDescent="0.2">
      <c r="A34" s="306" t="s">
        <v>1810</v>
      </c>
      <c r="B34" s="306"/>
      <c r="C34" s="1065">
        <v>8775</v>
      </c>
      <c r="D34" s="1526" t="s">
        <v>1572</v>
      </c>
      <c r="E34" s="2579">
        <f>+C33+C34</f>
        <v>37913</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568</v>
      </c>
      <c r="D38" s="1526"/>
      <c r="E38" s="1062"/>
    </row>
    <row r="39" spans="1:6" ht="14.25" customHeight="1" x14ac:dyDescent="0.2">
      <c r="A39" s="306"/>
      <c r="B39" s="306" t="s">
        <v>1419</v>
      </c>
      <c r="C39" s="1068" t="s">
        <v>568</v>
      </c>
      <c r="D39" s="1526"/>
      <c r="E39" s="1062"/>
    </row>
    <row r="40" spans="1:6" ht="14.25" customHeight="1" x14ac:dyDescent="0.2">
      <c r="A40" s="306"/>
      <c r="B40" s="306" t="s">
        <v>1420</v>
      </c>
      <c r="C40" s="1068" t="s">
        <v>568</v>
      </c>
      <c r="D40" s="1526"/>
      <c r="E40" s="1062"/>
    </row>
    <row r="41" spans="1:6" ht="14.25" customHeight="1" x14ac:dyDescent="0.2">
      <c r="A41" s="306"/>
      <c r="B41" s="306" t="s">
        <v>1421</v>
      </c>
      <c r="C41" s="1068" t="s">
        <v>568</v>
      </c>
      <c r="D41" s="1526"/>
      <c r="E41" s="1062"/>
    </row>
    <row r="42" spans="1:6" ht="14.25" customHeight="1" x14ac:dyDescent="0.2">
      <c r="A42" s="306" t="s">
        <v>1422</v>
      </c>
      <c r="B42" s="306"/>
      <c r="C42" s="1524" t="s">
        <v>380</v>
      </c>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Normal="100" workbookViewId="0">
      <selection activeCell="M89" sqref="M8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1871</v>
      </c>
      <c r="I77" s="1471"/>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1988</v>
      </c>
      <c r="B85" s="2184"/>
      <c r="C85" s="2184"/>
      <c r="D85" s="2185"/>
      <c r="E85" s="1544"/>
      <c r="F85" s="1544"/>
      <c r="G85" s="1544">
        <v>1</v>
      </c>
      <c r="H85" s="1544"/>
      <c r="I85" s="1904"/>
      <c r="J85" s="1727">
        <f>SUM(E85:I85)</f>
        <v>1</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1988</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1</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2059</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2067</v>
      </c>
      <c r="E118" s="300"/>
      <c r="F118" s="302"/>
      <c r="G118" s="1473"/>
      <c r="H118" s="300"/>
      <c r="I118" s="282"/>
    </row>
    <row r="119" spans="1:9" s="176" customFormat="1" ht="11.25" customHeight="1" x14ac:dyDescent="0.2">
      <c r="A119" s="303"/>
      <c r="B119" s="303"/>
      <c r="C119" s="304"/>
      <c r="D119" s="305" t="s">
        <v>358</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4" zoomScale="110" zoomScaleNormal="110" workbookViewId="0">
      <selection activeCell="E52" sqref="E52"/>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Wabash CUSD 348</v>
      </c>
      <c r="C1" s="2587"/>
      <c r="D1" s="2587"/>
      <c r="E1" s="2587"/>
      <c r="F1" s="2587"/>
      <c r="G1" s="2587"/>
      <c r="H1" s="2587"/>
      <c r="I1" s="2587"/>
      <c r="J1" s="1178"/>
    </row>
    <row r="2" spans="2:10" s="295" customFormat="1" ht="12.75" customHeight="1" x14ac:dyDescent="0.2">
      <c r="B2" s="2588">
        <f>'Single Audit Cover'!E7</f>
        <v>20093348026</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t="s">
        <v>2089</v>
      </c>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2069</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2069</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2069</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2069</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2069</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t="s">
        <v>2089</v>
      </c>
      <c r="E29" s="2593"/>
      <c r="F29" s="2593"/>
      <c r="G29" s="2593"/>
      <c r="H29" s="2593"/>
      <c r="I29" s="2593"/>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t="s">
        <v>2069</v>
      </c>
      <c r="F33" s="1076" t="s">
        <v>879</v>
      </c>
      <c r="G33" s="1194"/>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594" t="s">
        <v>1727</v>
      </c>
      <c r="D37" s="2595"/>
      <c r="E37" s="2595"/>
      <c r="F37" s="2596"/>
      <c r="G37" s="2594" t="s">
        <v>1575</v>
      </c>
      <c r="H37" s="2595"/>
      <c r="I37" s="2596"/>
    </row>
    <row r="38" spans="2:9" ht="16.5" customHeight="1" x14ac:dyDescent="0.2">
      <c r="B38" s="1200" t="s">
        <v>2090</v>
      </c>
      <c r="C38" s="2582" t="s">
        <v>2091</v>
      </c>
      <c r="D38" s="2583"/>
      <c r="E38" s="2583"/>
      <c r="F38" s="2584"/>
      <c r="G38" s="2597">
        <v>354114</v>
      </c>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354114</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1365533</v>
      </c>
      <c r="E45" s="2605"/>
    </row>
    <row r="46" spans="2:9" ht="5.25" customHeight="1" x14ac:dyDescent="0.2">
      <c r="B46" s="1201"/>
      <c r="D46" s="1202"/>
      <c r="E46" s="1203"/>
    </row>
    <row r="47" spans="2:9" ht="12.75" customHeight="1" x14ac:dyDescent="0.2">
      <c r="B47" s="1076" t="s">
        <v>1577</v>
      </c>
      <c r="C47" s="1076"/>
      <c r="D47" s="1204">
        <f>+G43/D45</f>
        <v>0.25932291639967692</v>
      </c>
      <c r="E47" s="1205"/>
      <c r="F47" s="1206"/>
      <c r="I47" s="1207"/>
    </row>
    <row r="48" spans="2:9" ht="9.9499999999999993" customHeight="1" x14ac:dyDescent="0.2"/>
    <row r="49" spans="1:9" x14ac:dyDescent="0.2">
      <c r="B49" s="1138" t="s">
        <v>1262</v>
      </c>
      <c r="C49" s="1058"/>
      <c r="D49" s="1058"/>
      <c r="E49" s="2606">
        <v>750000</v>
      </c>
      <c r="F49" s="2606"/>
      <c r="G49" s="2606"/>
      <c r="H49" s="300"/>
    </row>
    <row r="51" spans="1:9" ht="13.5" customHeight="1" x14ac:dyDescent="0.2">
      <c r="B51" s="1138" t="s">
        <v>1261</v>
      </c>
      <c r="C51" s="1058"/>
      <c r="E51" s="1194" t="s">
        <v>2069</v>
      </c>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1580</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43" sqref="B4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Wabash CUSD 348</v>
      </c>
      <c r="C1" s="2586"/>
      <c r="D1" s="2586"/>
      <c r="E1" s="2586"/>
      <c r="F1" s="2586"/>
      <c r="G1" s="2586"/>
      <c r="H1" s="2586"/>
      <c r="I1" s="2586"/>
      <c r="J1" s="2586"/>
      <c r="K1" s="2586"/>
      <c r="L1" s="1144"/>
      <c r="M1" s="1144"/>
    </row>
    <row r="2" spans="1:13" ht="12" customHeight="1" x14ac:dyDescent="0.2">
      <c r="B2" s="2588">
        <f>'Single Audit Cover'!E7</f>
        <v>20093348026</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9" t="str">
        <f>'AFR20'!$E$2&amp;"-"</f>
        <v>2020-</v>
      </c>
      <c r="D10" s="1155">
        <v>1</v>
      </c>
      <c r="E10" s="300"/>
      <c r="F10" s="1156" t="s">
        <v>1284</v>
      </c>
      <c r="G10" s="1157"/>
      <c r="H10" s="1158" t="s">
        <v>1283</v>
      </c>
      <c r="I10" s="1157" t="s">
        <v>2069</v>
      </c>
      <c r="J10" s="1159" t="s">
        <v>1282</v>
      </c>
      <c r="K10" s="300"/>
      <c r="L10" s="1151"/>
    </row>
    <row r="11" spans="1:13" ht="13.5" customHeight="1" x14ac:dyDescent="0.2">
      <c r="B11" s="300"/>
      <c r="C11" s="300"/>
      <c r="D11" s="300"/>
      <c r="E11" s="300"/>
      <c r="F11" s="300"/>
      <c r="G11" s="1153"/>
      <c r="H11" s="300"/>
      <c r="I11" s="1160" t="s">
        <v>1281</v>
      </c>
      <c r="J11" s="300"/>
      <c r="K11" s="1161">
        <v>2016</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t="s">
        <v>2092</v>
      </c>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t="s">
        <v>2093</v>
      </c>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12" t="s">
        <v>2094</v>
      </c>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t="s">
        <v>2095</v>
      </c>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t="s">
        <v>2096</v>
      </c>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t="s">
        <v>2097</v>
      </c>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1275</v>
      </c>
      <c r="C39" s="1076"/>
      <c r="M39" s="1177"/>
    </row>
    <row r="40" spans="1:13" ht="12.6" customHeight="1" x14ac:dyDescent="0.2">
      <c r="B40" s="1176" t="s">
        <v>1723</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Wabash CUSD 348</v>
      </c>
      <c r="C1" s="2613"/>
      <c r="D1" s="2613"/>
      <c r="E1" s="2613"/>
      <c r="F1" s="2613"/>
      <c r="G1" s="2613"/>
      <c r="H1" s="2613"/>
      <c r="I1" s="2613"/>
      <c r="J1" s="2613"/>
      <c r="K1" s="2613"/>
      <c r="L1" s="1221"/>
    </row>
    <row r="2" spans="1:12" ht="12.75" customHeight="1" x14ac:dyDescent="0.2">
      <c r="B2" s="2614">
        <f>'Single Audit Cover'!E7</f>
        <v>20093348026</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20" sqref="C20"/>
    </sheetView>
  </sheetViews>
  <sheetFormatPr defaultColWidth="9.140625" defaultRowHeight="12.75" x14ac:dyDescent="0.2"/>
  <cols>
    <col min="1" max="1" width="1.5703125" style="295" customWidth="1"/>
    <col min="2" max="2" width="14.7109375" style="295" customWidth="1"/>
    <col min="3" max="3" width="66.85546875" style="295" bestFit="1"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Wabash CUSD 348</v>
      </c>
      <c r="C1" s="2586"/>
      <c r="D1" s="2586"/>
      <c r="E1" s="1240"/>
    </row>
    <row r="2" spans="2:5" s="1058" customFormat="1" ht="12.75" customHeight="1" x14ac:dyDescent="0.2">
      <c r="B2" s="2588">
        <f>'Single Audit Cover'!E7</f>
        <v>20093348026</v>
      </c>
      <c r="C2" s="2588"/>
      <c r="D2" s="2588"/>
      <c r="E2" s="1241"/>
    </row>
    <row r="3" spans="2:5" ht="12.75" customHeight="1" x14ac:dyDescent="0.2">
      <c r="B3" s="2609" t="s">
        <v>1742</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1743</v>
      </c>
      <c r="C5" s="306"/>
      <c r="D5" s="306"/>
      <c r="E5" s="306"/>
    </row>
    <row r="6" spans="2:5" s="1058" customFormat="1" ht="13.5" customHeight="1" x14ac:dyDescent="0.2">
      <c r="B6" s="1244" t="s">
        <v>1304</v>
      </c>
      <c r="C6" s="1244" t="s">
        <v>1303</v>
      </c>
      <c r="D6" s="1244" t="s">
        <v>1744</v>
      </c>
    </row>
    <row r="7" spans="2:5" ht="13.5" customHeight="1" x14ac:dyDescent="0.2">
      <c r="B7" s="1245" t="s">
        <v>2098</v>
      </c>
      <c r="C7" s="302" t="s">
        <v>2099</v>
      </c>
      <c r="D7" s="302" t="s">
        <v>2100</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1745</v>
      </c>
    </row>
    <row r="46" spans="2:5" ht="12.2" customHeight="1" x14ac:dyDescent="0.2">
      <c r="B46" s="1254" t="s">
        <v>1746</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8" sqref="J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143026921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1.7441000000000002E-2</v>
      </c>
      <c r="E10" s="333" t="s">
        <v>998</v>
      </c>
      <c r="F10" s="332">
        <v>4.7394000000000004E-3</v>
      </c>
      <c r="G10" s="333" t="s">
        <v>998</v>
      </c>
      <c r="H10" s="332">
        <v>4.8957999999999996E-3</v>
      </c>
      <c r="I10" s="333" t="s">
        <v>999</v>
      </c>
      <c r="J10" s="1424">
        <f>ROUND(D10+F10+H10,5)</f>
        <v>2.708E-2</v>
      </c>
      <c r="K10" s="217"/>
      <c r="L10" s="332">
        <v>4.7399999999999997E-4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13383225</v>
      </c>
      <c r="E16" s="1547"/>
      <c r="F16" s="1546">
        <f>SUM('Acct Summary 7-8'!C17,'Acct Summary 7-8'!D17,'Acct Summary 7-8'!F17)</f>
        <v>13140821</v>
      </c>
      <c r="G16" s="1547"/>
      <c r="H16" s="1546">
        <f>SUM(D16-F16)</f>
        <v>242404</v>
      </c>
      <c r="I16" s="1548"/>
      <c r="J16" s="1546">
        <f>SUM('Acct Summary 7-8'!C81,'Acct Summary 7-8'!D81,'Acct Summary 7-8'!F81,'Acct Summary 7-8'!I81)</f>
        <v>3315833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2004</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19737715.098000001</v>
      </c>
      <c r="I31" s="345"/>
      <c r="J31" s="217"/>
      <c r="K31" s="217"/>
      <c r="L31" s="217"/>
      <c r="M31" s="217"/>
    </row>
    <row r="32" spans="1:13" ht="13.35" customHeight="1" x14ac:dyDescent="0.2">
      <c r="B32" s="346" t="s">
        <v>2069</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1453000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B4" zoomScale="110" zoomScaleNormal="110" workbookViewId="0">
      <selection activeCell="O37" sqref="O3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Wabash CUSD 348</v>
      </c>
      <c r="E7" s="368"/>
      <c r="G7" s="247"/>
      <c r="H7" s="364"/>
      <c r="I7" s="364"/>
      <c r="J7" s="364"/>
      <c r="K7" s="364"/>
      <c r="L7" s="307"/>
      <c r="M7" s="307"/>
      <c r="N7" s="307"/>
      <c r="O7" s="307"/>
      <c r="P7" s="307"/>
    </row>
    <row r="8" spans="1:18" ht="12.75" x14ac:dyDescent="0.2">
      <c r="A8" s="307"/>
      <c r="B8" s="307"/>
      <c r="C8" s="366" t="s">
        <v>1115</v>
      </c>
      <c r="D8" s="369">
        <f>COVER!A13</f>
        <v>20093348026</v>
      </c>
      <c r="E8" s="370"/>
      <c r="G8" s="307"/>
      <c r="H8" s="307"/>
      <c r="I8" s="307"/>
      <c r="J8" s="307"/>
      <c r="K8" s="307"/>
      <c r="L8" s="307"/>
      <c r="M8" s="307"/>
      <c r="N8" s="307"/>
      <c r="O8" s="307"/>
      <c r="P8" s="307"/>
    </row>
    <row r="9" spans="1:18" ht="12.75" x14ac:dyDescent="0.2">
      <c r="A9" s="307"/>
      <c r="B9" s="307"/>
      <c r="C9" s="366" t="s">
        <v>708</v>
      </c>
      <c r="D9" s="371" t="str">
        <f>COVER!A15</f>
        <v>Wabash</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3315833</v>
      </c>
      <c r="I12" s="380"/>
      <c r="J12" s="380"/>
      <c r="K12" s="1559">
        <f>TRUNC((H12/H13*100000),5)/100000</f>
        <v>0.24776038659999999</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13383225</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13140821</v>
      </c>
      <c r="I17" s="380"/>
      <c r="J17" s="389"/>
      <c r="K17" s="1559">
        <f>TRUNC((H17/H18*100000),5)/100000</f>
        <v>0.98188747480000005</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13383225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3563129</v>
      </c>
      <c r="I24" s="394"/>
      <c r="J24" s="394"/>
      <c r="K24" s="1555">
        <f>TRUNC(((H24/H25*100000)/100000),2)</f>
        <v>97.61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36502.280559999999</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1892</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3292193.6675800001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1453000</v>
      </c>
      <c r="I32" s="392"/>
      <c r="J32" s="392"/>
      <c r="K32" s="1555">
        <f>TRUNC(100-((((H32/H33*100))*100)/100),2)</f>
        <v>92.63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19737715.098000001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3.55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pane="bottomLeft" activeCell="C38" sqref="C38:K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640528</v>
      </c>
      <c r="D4" s="1573">
        <v>212293</v>
      </c>
      <c r="E4" s="1573">
        <v>57467</v>
      </c>
      <c r="F4" s="1573">
        <v>225713</v>
      </c>
      <c r="G4" s="1573">
        <v>453908</v>
      </c>
      <c r="H4" s="1573">
        <v>494489</v>
      </c>
      <c r="I4" s="1573">
        <v>2484595</v>
      </c>
      <c r="J4" s="1574">
        <v>412284</v>
      </c>
      <c r="K4" s="1573">
        <v>1732</v>
      </c>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v>2616563</v>
      </c>
      <c r="D6" s="1573">
        <v>677862</v>
      </c>
      <c r="E6" s="1573">
        <v>694853</v>
      </c>
      <c r="F6" s="1573">
        <v>271150</v>
      </c>
      <c r="G6" s="1577">
        <v>666134</v>
      </c>
      <c r="H6" s="1577">
        <v>184246</v>
      </c>
      <c r="I6" s="1573">
        <v>67795</v>
      </c>
      <c r="J6" s="1579">
        <v>467498</v>
      </c>
      <c r="K6" s="1577"/>
      <c r="L6" s="1580"/>
      <c r="M6" s="1575"/>
      <c r="N6" s="1576"/>
    </row>
    <row r="7" spans="1:14" ht="13.5" customHeight="1" x14ac:dyDescent="0.2">
      <c r="A7" s="430" t="s">
        <v>415</v>
      </c>
      <c r="B7" s="429">
        <v>140</v>
      </c>
      <c r="C7" s="1581"/>
      <c r="D7" s="1574"/>
      <c r="E7" s="1574"/>
      <c r="F7" s="1574"/>
      <c r="G7" s="1574"/>
      <c r="H7" s="1574"/>
      <c r="I7" s="1574">
        <v>400000</v>
      </c>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f>614030+3042</f>
        <v>617072</v>
      </c>
      <c r="D9" s="1574"/>
      <c r="E9" s="1574"/>
      <c r="F9" s="1574">
        <v>97533</v>
      </c>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v>8972</v>
      </c>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3874163</v>
      </c>
      <c r="D13" s="1587">
        <f t="shared" ref="D13:L13" si="0">SUM(D4:D12)</f>
        <v>890155</v>
      </c>
      <c r="E13" s="1587">
        <f t="shared" si="0"/>
        <v>752320</v>
      </c>
      <c r="F13" s="1587">
        <f t="shared" si="0"/>
        <v>594396</v>
      </c>
      <c r="G13" s="1587">
        <f t="shared" si="0"/>
        <v>1120042</v>
      </c>
      <c r="H13" s="1587">
        <f t="shared" si="0"/>
        <v>678735</v>
      </c>
      <c r="I13" s="1587">
        <f t="shared" si="0"/>
        <v>2952390</v>
      </c>
      <c r="J13" s="1587">
        <f t="shared" si="0"/>
        <v>888754</v>
      </c>
      <c r="K13" s="1587">
        <f t="shared" si="0"/>
        <v>1732</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561878</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19355683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353927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3282347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57467</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1395533</v>
      </c>
    </row>
    <row r="23" spans="1:14" ht="13.5" customHeight="1" thickBot="1" x14ac:dyDescent="0.25">
      <c r="A23" s="1426" t="s">
        <v>638</v>
      </c>
      <c r="B23" s="1429"/>
      <c r="C23" s="1575"/>
      <c r="D23" s="1575"/>
      <c r="E23" s="1575"/>
      <c r="F23" s="1575"/>
      <c r="G23" s="1575"/>
      <c r="H23" s="1575"/>
      <c r="I23" s="1575"/>
      <c r="J23" s="1575"/>
      <c r="K23" s="1575"/>
      <c r="L23" s="1575"/>
      <c r="M23" s="1594">
        <f>SUM(M15:M22)</f>
        <v>23553835</v>
      </c>
      <c r="N23" s="1594">
        <f>SUM(N21:N22)</f>
        <v>1453000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v>400000</v>
      </c>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f>122407+10493</f>
        <v>132900</v>
      </c>
      <c r="D27" s="1574">
        <v>27884</v>
      </c>
      <c r="E27" s="1574"/>
      <c r="F27" s="1574">
        <v>188</v>
      </c>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1139908</v>
      </c>
      <c r="D30" s="1579">
        <v>14750</v>
      </c>
      <c r="E30" s="1574"/>
      <c r="F30" s="1574">
        <v>46271</v>
      </c>
      <c r="G30" s="1574"/>
      <c r="H30" s="1574"/>
      <c r="I30" s="1574"/>
      <c r="J30" s="1574">
        <v>4340</v>
      </c>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v>2616563</v>
      </c>
      <c r="D32" s="1599">
        <v>677862</v>
      </c>
      <c r="E32" s="1579">
        <v>694853</v>
      </c>
      <c r="F32" s="1579">
        <v>271150</v>
      </c>
      <c r="G32" s="1579">
        <v>666134</v>
      </c>
      <c r="H32" s="1579"/>
      <c r="I32" s="1579">
        <v>67795</v>
      </c>
      <c r="J32" s="1579">
        <v>467498</v>
      </c>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3889371</v>
      </c>
      <c r="D34" s="1600">
        <f t="shared" ref="D34:K34" si="1">SUM(D25:D33)</f>
        <v>720496</v>
      </c>
      <c r="E34" s="1600">
        <f t="shared" si="1"/>
        <v>694853</v>
      </c>
      <c r="F34" s="1600">
        <f t="shared" si="1"/>
        <v>317609</v>
      </c>
      <c r="G34" s="1600">
        <f t="shared" si="1"/>
        <v>666134</v>
      </c>
      <c r="H34" s="1600">
        <f t="shared" si="1"/>
        <v>400000</v>
      </c>
      <c r="I34" s="1600">
        <f t="shared" si="1"/>
        <v>67795</v>
      </c>
      <c r="J34" s="1600">
        <f t="shared" si="1"/>
        <v>471838</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1453000</v>
      </c>
    </row>
    <row r="37" spans="1:14" ht="13.5" thickBot="1" x14ac:dyDescent="0.25">
      <c r="A37" s="1426" t="s">
        <v>648</v>
      </c>
      <c r="B37" s="1429"/>
      <c r="C37" s="1582"/>
      <c r="D37" s="1582"/>
      <c r="E37" s="1582"/>
      <c r="F37" s="1582"/>
      <c r="G37" s="1582"/>
      <c r="H37" s="1582"/>
      <c r="I37" s="1582"/>
      <c r="J37" s="1582"/>
      <c r="K37" s="1582"/>
      <c r="L37" s="1585"/>
      <c r="M37" s="1575"/>
      <c r="N37" s="1594">
        <f>SUM(N36:N36)</f>
        <v>1453000</v>
      </c>
    </row>
    <row r="38" spans="1:14" s="307" customFormat="1" ht="13.5" customHeight="1" thickTop="1" x14ac:dyDescent="0.2">
      <c r="A38" s="438" t="s">
        <v>417</v>
      </c>
      <c r="B38" s="432">
        <v>714</v>
      </c>
      <c r="C38" s="1573">
        <v>0</v>
      </c>
      <c r="D38" s="1573">
        <v>187977</v>
      </c>
      <c r="E38" s="1573"/>
      <c r="F38" s="1573"/>
      <c r="G38" s="1573"/>
      <c r="H38" s="1573"/>
      <c r="I38" s="1573"/>
      <c r="J38" s="1574">
        <v>416916</v>
      </c>
      <c r="K38" s="1573"/>
      <c r="L38" s="1586"/>
      <c r="M38" s="1604"/>
      <c r="N38" s="1604"/>
    </row>
    <row r="39" spans="1:14" s="307" customFormat="1" ht="13.5" customHeight="1" x14ac:dyDescent="0.2">
      <c r="A39" s="438" t="s">
        <v>339</v>
      </c>
      <c r="B39" s="432">
        <v>730</v>
      </c>
      <c r="C39" s="1573">
        <v>-15208</v>
      </c>
      <c r="D39" s="1573">
        <v>-18318</v>
      </c>
      <c r="E39" s="1573">
        <v>57467</v>
      </c>
      <c r="F39" s="1573">
        <v>276787</v>
      </c>
      <c r="G39" s="1573">
        <v>453908</v>
      </c>
      <c r="H39" s="1573">
        <v>278735</v>
      </c>
      <c r="I39" s="1573">
        <v>2884595</v>
      </c>
      <c r="J39" s="1574"/>
      <c r="K39" s="1573">
        <v>1732</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23553835</v>
      </c>
      <c r="N40" s="1604"/>
    </row>
    <row r="41" spans="1:14" ht="13.5" customHeight="1" thickBot="1" x14ac:dyDescent="0.25">
      <c r="A41" s="1426" t="s">
        <v>650</v>
      </c>
      <c r="B41" s="1405"/>
      <c r="C41" s="1594">
        <f>(SUM(C34,C37,C38,C39))</f>
        <v>3874163</v>
      </c>
      <c r="D41" s="1594">
        <f t="shared" ref="D41:L41" si="2">SUM(D34,D37,D38:D39)</f>
        <v>890155</v>
      </c>
      <c r="E41" s="1594">
        <f t="shared" si="2"/>
        <v>752320</v>
      </c>
      <c r="F41" s="1594">
        <f t="shared" si="2"/>
        <v>594396</v>
      </c>
      <c r="G41" s="1594">
        <f t="shared" si="2"/>
        <v>1120042</v>
      </c>
      <c r="H41" s="1594">
        <f t="shared" si="2"/>
        <v>678735</v>
      </c>
      <c r="I41" s="1594">
        <f t="shared" si="2"/>
        <v>2952390</v>
      </c>
      <c r="J41" s="1594">
        <f t="shared" si="2"/>
        <v>888754</v>
      </c>
      <c r="K41" s="1594">
        <f t="shared" si="2"/>
        <v>1732</v>
      </c>
      <c r="L41" s="1594">
        <f t="shared" si="2"/>
        <v>0</v>
      </c>
      <c r="M41" s="1594">
        <f>SUM(M40)</f>
        <v>23553835</v>
      </c>
      <c r="N41" s="1594">
        <f>SUM(N37)</f>
        <v>1453000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pane="bottomLeft" activeCell="C19" sqref="C19:K1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3834726</v>
      </c>
      <c r="D4" s="1606">
        <f>'Revenues 9-14'!D109</f>
        <v>762481</v>
      </c>
      <c r="E4" s="1606">
        <f>'Revenues 9-14'!E109</f>
        <v>700703</v>
      </c>
      <c r="F4" s="1606">
        <f>'Revenues 9-14'!F109</f>
        <v>265218</v>
      </c>
      <c r="G4" s="1606">
        <f>'Revenues 9-14'!G109</f>
        <v>642689</v>
      </c>
      <c r="H4" s="1606">
        <f>'Revenues 9-14'!H109</f>
        <v>676957</v>
      </c>
      <c r="I4" s="1606">
        <f>'Revenues 9-14'!I109</f>
        <v>84927</v>
      </c>
      <c r="J4" s="1606">
        <f>'Revenues 9-14'!J109</f>
        <v>451162</v>
      </c>
      <c r="K4" s="1606">
        <f>'Revenues 9-14'!K109</f>
        <v>19</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5982832</v>
      </c>
      <c r="D6" s="1607">
        <f>'Revenues 9-14'!D170</f>
        <v>400000</v>
      </c>
      <c r="E6" s="1607">
        <f>'Revenues 9-14'!E170</f>
        <v>0</v>
      </c>
      <c r="F6" s="1607">
        <f>'Revenues 9-14'!F170</f>
        <v>589255</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1430546</v>
      </c>
      <c r="D7" s="1607">
        <f>'Revenues 9-14'!D267</f>
        <v>0</v>
      </c>
      <c r="E7" s="1607">
        <f>'Revenues 9-14'!E267</f>
        <v>0</v>
      </c>
      <c r="F7" s="1607">
        <f>'Revenues 9-14'!F267</f>
        <v>33240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11248104</v>
      </c>
      <c r="D8" s="1594">
        <f t="shared" ref="D8:K8" si="0">SUM(D4:D7)</f>
        <v>1162481</v>
      </c>
      <c r="E8" s="1594">
        <f t="shared" si="0"/>
        <v>700703</v>
      </c>
      <c r="F8" s="1594">
        <f t="shared" si="0"/>
        <v>887713</v>
      </c>
      <c r="G8" s="1594">
        <f t="shared" si="0"/>
        <v>642689</v>
      </c>
      <c r="H8" s="1594">
        <f t="shared" si="0"/>
        <v>676957</v>
      </c>
      <c r="I8" s="1594">
        <f t="shared" si="0"/>
        <v>84927</v>
      </c>
      <c r="J8" s="1594">
        <f t="shared" si="0"/>
        <v>451162</v>
      </c>
      <c r="K8" s="1594">
        <f t="shared" si="0"/>
        <v>19</v>
      </c>
      <c r="L8" s="325"/>
    </row>
    <row r="9" spans="1:13" ht="15.75" thickTop="1" x14ac:dyDescent="0.2">
      <c r="A9" s="449" t="s">
        <v>1634</v>
      </c>
      <c r="B9" s="450">
        <v>3998</v>
      </c>
      <c r="C9" s="1586">
        <v>5175258</v>
      </c>
      <c r="D9" s="1613"/>
      <c r="E9" s="1586"/>
      <c r="F9" s="1586"/>
      <c r="G9" s="1614"/>
      <c r="H9" s="1586"/>
      <c r="I9" s="1609" t="s">
        <v>1159</v>
      </c>
      <c r="J9" s="1583"/>
      <c r="K9" s="1586"/>
      <c r="L9" s="325"/>
    </row>
    <row r="10" spans="1:13" s="452" customFormat="1" ht="13.5" thickBot="1" x14ac:dyDescent="0.25">
      <c r="A10" s="1426" t="s">
        <v>1163</v>
      </c>
      <c r="B10" s="1407"/>
      <c r="C10" s="1594">
        <f>SUM(C8:C9)</f>
        <v>16423362</v>
      </c>
      <c r="D10" s="1594">
        <f t="shared" ref="D10:K10" si="1">SUM(D8:D9)</f>
        <v>1162481</v>
      </c>
      <c r="E10" s="1594">
        <f t="shared" si="1"/>
        <v>700703</v>
      </c>
      <c r="F10" s="1594">
        <f t="shared" si="1"/>
        <v>887713</v>
      </c>
      <c r="G10" s="1594">
        <f t="shared" si="1"/>
        <v>642689</v>
      </c>
      <c r="H10" s="1594">
        <f t="shared" si="1"/>
        <v>676957</v>
      </c>
      <c r="I10" s="1594">
        <f t="shared" si="1"/>
        <v>84927</v>
      </c>
      <c r="J10" s="1594">
        <f t="shared" si="1"/>
        <v>451162</v>
      </c>
      <c r="K10" s="1594">
        <f t="shared" si="1"/>
        <v>19</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7947252</v>
      </c>
      <c r="D12" s="1616" t="s">
        <v>1159</v>
      </c>
      <c r="E12" s="1575" t="s">
        <v>1159</v>
      </c>
      <c r="F12" s="1575" t="s">
        <v>1159</v>
      </c>
      <c r="G12" s="1606">
        <f>'Expenditures 15-22'!K229</f>
        <v>227434</v>
      </c>
      <c r="H12" s="1617"/>
      <c r="I12" s="1575" t="s">
        <v>1159</v>
      </c>
      <c r="J12" s="1575" t="s">
        <v>1159</v>
      </c>
      <c r="K12" s="1617" t="s">
        <v>1159</v>
      </c>
      <c r="L12" s="325"/>
    </row>
    <row r="13" spans="1:13" ht="15.75" customHeight="1" x14ac:dyDescent="0.2">
      <c r="A13" s="1314" t="s">
        <v>454</v>
      </c>
      <c r="B13" s="1316">
        <v>2000</v>
      </c>
      <c r="C13" s="1607">
        <f>'Expenditures 15-22'!K74</f>
        <v>2710083</v>
      </c>
      <c r="D13" s="1607">
        <f>'Expenditures 15-22'!K129</f>
        <v>1180799</v>
      </c>
      <c r="E13" s="1576" t="s">
        <v>1159</v>
      </c>
      <c r="F13" s="1607">
        <f>'Expenditures 15-22'!K184</f>
        <v>743519</v>
      </c>
      <c r="G13" s="1607">
        <f>'Expenditures 15-22'!K279</f>
        <v>311547</v>
      </c>
      <c r="H13" s="1607">
        <f>'Expenditures 15-22'!K303</f>
        <v>374587</v>
      </c>
      <c r="I13" s="1575" t="s">
        <v>1159</v>
      </c>
      <c r="J13" s="1607">
        <f>'Expenditures 15-22'!K330</f>
        <v>325241</v>
      </c>
      <c r="K13" s="1618">
        <f>'Expenditures 15-22'!K352</f>
        <v>325</v>
      </c>
      <c r="L13" s="325"/>
    </row>
    <row r="14" spans="1:13" ht="15.75" customHeight="1" x14ac:dyDescent="0.2">
      <c r="A14" s="1314" t="s">
        <v>446</v>
      </c>
      <c r="B14" s="1316">
        <v>3000</v>
      </c>
      <c r="C14" s="1607">
        <f>'Expenditures 15-22'!K75</f>
        <v>205173</v>
      </c>
      <c r="D14" s="1607">
        <f>'Expenditures 15-22'!K130</f>
        <v>0</v>
      </c>
      <c r="E14" s="1616" t="s">
        <v>1159</v>
      </c>
      <c r="F14" s="1607">
        <f>'Expenditures 15-22'!K185</f>
        <v>0</v>
      </c>
      <c r="G14" s="1607">
        <f>'Expenditures 15-22'!K280</f>
        <v>29298</v>
      </c>
      <c r="H14" s="1612"/>
      <c r="I14" s="1575" t="s">
        <v>1159</v>
      </c>
      <c r="J14" s="1575" t="s">
        <v>1159</v>
      </c>
      <c r="K14" s="1612" t="s">
        <v>1159</v>
      </c>
      <c r="L14" s="325"/>
    </row>
    <row r="15" spans="1:13" ht="15.75" customHeight="1" x14ac:dyDescent="0.2">
      <c r="A15" s="1314" t="s">
        <v>107</v>
      </c>
      <c r="B15" s="1316">
        <v>4000</v>
      </c>
      <c r="C15" s="1607">
        <f>'Expenditures 15-22'!K102</f>
        <v>353995</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695358</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11216503</v>
      </c>
      <c r="D17" s="1594">
        <f t="shared" si="2"/>
        <v>1180799</v>
      </c>
      <c r="E17" s="1594">
        <f t="shared" si="2"/>
        <v>695358</v>
      </c>
      <c r="F17" s="1594">
        <f t="shared" si="2"/>
        <v>743519</v>
      </c>
      <c r="G17" s="1594">
        <f t="shared" si="2"/>
        <v>568279</v>
      </c>
      <c r="H17" s="1594">
        <f t="shared" si="2"/>
        <v>374587</v>
      </c>
      <c r="I17" s="1575"/>
      <c r="J17" s="1594">
        <f>SUM(J12:J16)</f>
        <v>325241</v>
      </c>
      <c r="K17" s="1594">
        <f>SUM(K12:K16)</f>
        <v>325</v>
      </c>
      <c r="L17" s="325"/>
    </row>
    <row r="18" spans="1:12" ht="15" customHeight="1" thickTop="1" x14ac:dyDescent="0.2">
      <c r="A18" s="1430" t="s">
        <v>1635</v>
      </c>
      <c r="B18" s="1431">
        <v>4180</v>
      </c>
      <c r="C18" s="1606">
        <f t="shared" ref="C18:H18" si="3">C9</f>
        <v>5175258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16391761</v>
      </c>
      <c r="D19" s="1594">
        <f t="shared" si="4"/>
        <v>1180799</v>
      </c>
      <c r="E19" s="1594">
        <f t="shared" si="4"/>
        <v>695358</v>
      </c>
      <c r="F19" s="1594">
        <f t="shared" si="4"/>
        <v>743519</v>
      </c>
      <c r="G19" s="1594">
        <f t="shared" si="4"/>
        <v>568279</v>
      </c>
      <c r="H19" s="1594">
        <f t="shared" si="4"/>
        <v>374587</v>
      </c>
      <c r="I19" s="1575"/>
      <c r="J19" s="1594">
        <f>SUM(J17:J18)</f>
        <v>325241</v>
      </c>
      <c r="K19" s="1594">
        <f>SUM(K17:K18)</f>
        <v>325</v>
      </c>
      <c r="L19" s="325"/>
    </row>
    <row r="20" spans="1:12" ht="16.5" thickTop="1" thickBot="1" x14ac:dyDescent="0.25">
      <c r="A20" s="2231" t="s">
        <v>1636</v>
      </c>
      <c r="B20" s="2232"/>
      <c r="C20" s="1622">
        <f>C8-C17</f>
        <v>31601</v>
      </c>
      <c r="D20" s="1622">
        <f t="shared" ref="D20:K20" si="5">D8-D17</f>
        <v>-18318</v>
      </c>
      <c r="E20" s="1622">
        <f t="shared" si="5"/>
        <v>5345</v>
      </c>
      <c r="F20" s="1622">
        <f t="shared" si="5"/>
        <v>144194</v>
      </c>
      <c r="G20" s="1622">
        <f t="shared" si="5"/>
        <v>74410</v>
      </c>
      <c r="H20" s="1622">
        <f t="shared" si="5"/>
        <v>302370</v>
      </c>
      <c r="I20" s="1622">
        <f t="shared" si="5"/>
        <v>84927</v>
      </c>
      <c r="J20" s="1622">
        <f t="shared" si="5"/>
        <v>125921</v>
      </c>
      <c r="K20" s="1622">
        <f t="shared" si="5"/>
        <v>-306</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1770</v>
      </c>
      <c r="B30" s="455">
        <v>7160</v>
      </c>
      <c r="C30" s="1582"/>
      <c r="D30" s="1574"/>
      <c r="E30" s="1582"/>
      <c r="F30" s="1582"/>
      <c r="G30" s="1582"/>
      <c r="H30" s="1582"/>
      <c r="I30" s="1582"/>
      <c r="J30" s="1582"/>
      <c r="K30" s="1582"/>
      <c r="L30" s="453"/>
    </row>
    <row r="31" spans="1:12" s="433" customFormat="1" ht="26.25" x14ac:dyDescent="0.2">
      <c r="A31" s="1260" t="s">
        <v>1774</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31601</v>
      </c>
      <c r="D78" s="1629">
        <f t="shared" si="9"/>
        <v>-18318</v>
      </c>
      <c r="E78" s="1629">
        <f t="shared" si="9"/>
        <v>5345</v>
      </c>
      <c r="F78" s="1629">
        <f t="shared" si="9"/>
        <v>144194</v>
      </c>
      <c r="G78" s="1629">
        <f t="shared" si="9"/>
        <v>74410</v>
      </c>
      <c r="H78" s="1629">
        <f t="shared" si="9"/>
        <v>302370</v>
      </c>
      <c r="I78" s="1629">
        <f t="shared" si="9"/>
        <v>84927</v>
      </c>
      <c r="J78" s="1629">
        <f t="shared" si="9"/>
        <v>125921</v>
      </c>
      <c r="K78" s="1629">
        <f t="shared" si="9"/>
        <v>-306</v>
      </c>
      <c r="L78" s="457"/>
    </row>
    <row r="79" spans="1:12" ht="13.5" thickTop="1" x14ac:dyDescent="0.2">
      <c r="A79" s="1844" t="str">
        <f>"Fund Balances - July 1, "&amp;'AFR20'!E2-1</f>
        <v>Fund Balances - July 1, 2019</v>
      </c>
      <c r="B79" s="458"/>
      <c r="C79" s="1583">
        <v>-46809</v>
      </c>
      <c r="D79" s="1630">
        <v>187977</v>
      </c>
      <c r="E79" s="1630">
        <v>52122</v>
      </c>
      <c r="F79" s="1630">
        <v>132593</v>
      </c>
      <c r="G79" s="1630">
        <v>379498</v>
      </c>
      <c r="H79" s="1630">
        <v>-23635</v>
      </c>
      <c r="I79" s="1630">
        <v>2799668</v>
      </c>
      <c r="J79" s="1630">
        <v>290995</v>
      </c>
      <c r="K79" s="1630">
        <v>2038</v>
      </c>
      <c r="L79" s="325"/>
    </row>
    <row r="80" spans="1:12" x14ac:dyDescent="0.2">
      <c r="A80" s="2233" t="s">
        <v>1771</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-15208</v>
      </c>
      <c r="D81" s="1594">
        <f>SUM(D78:D80)</f>
        <v>169659</v>
      </c>
      <c r="E81" s="1594">
        <f t="shared" ref="E81:K81" si="10">SUM(E78:E80)</f>
        <v>57467</v>
      </c>
      <c r="F81" s="1594">
        <f t="shared" si="10"/>
        <v>276787</v>
      </c>
      <c r="G81" s="1594">
        <f t="shared" si="10"/>
        <v>453908</v>
      </c>
      <c r="H81" s="1594">
        <f t="shared" si="10"/>
        <v>278735</v>
      </c>
      <c r="I81" s="1594">
        <f t="shared" si="10"/>
        <v>2884595</v>
      </c>
      <c r="J81" s="1594">
        <f t="shared" si="10"/>
        <v>416916</v>
      </c>
      <c r="K81" s="1594">
        <f t="shared" si="10"/>
        <v>1732</v>
      </c>
      <c r="L81" s="325"/>
    </row>
    <row r="82" spans="1:12" ht="0.75" customHeight="1" thickTop="1" thickBot="1" x14ac:dyDescent="0.25">
      <c r="A82" s="459" t="s">
        <v>340</v>
      </c>
      <c r="B82" s="460"/>
      <c r="C82" s="461">
        <f>(C81-C79)</f>
        <v>31601</v>
      </c>
      <c r="D82" s="461">
        <f t="shared" ref="D82:K82" si="11">(D81-D79)</f>
        <v>-18318</v>
      </c>
      <c r="E82" s="461">
        <f t="shared" si="11"/>
        <v>5345</v>
      </c>
      <c r="F82" s="461">
        <f t="shared" si="11"/>
        <v>144194</v>
      </c>
      <c r="G82" s="461">
        <f t="shared" si="11"/>
        <v>74410</v>
      </c>
      <c r="H82" s="461">
        <f t="shared" si="11"/>
        <v>302370</v>
      </c>
      <c r="I82" s="461">
        <f t="shared" si="11"/>
        <v>84927</v>
      </c>
      <c r="J82" s="461">
        <f t="shared" si="11"/>
        <v>125921</v>
      </c>
      <c r="K82" s="461">
        <f t="shared" si="11"/>
        <v>-306</v>
      </c>
    </row>
    <row r="83" spans="1:12" ht="14.25" hidden="1" thickTop="1" thickBot="1" x14ac:dyDescent="0.25">
      <c r="A83" s="462" t="s">
        <v>341</v>
      </c>
      <c r="B83" s="428"/>
      <c r="C83" s="463">
        <f>C82/C81</f>
        <v>-2.0779195160441875</v>
      </c>
      <c r="D83" s="463">
        <f t="shared" ref="D83:K83" si="12">D82/D81</f>
        <v>-0.10796951532191042</v>
      </c>
      <c r="E83" s="463">
        <f t="shared" si="12"/>
        <v>9.3009901334679027E-2</v>
      </c>
      <c r="F83" s="463">
        <f t="shared" si="12"/>
        <v>0.52095654781474565</v>
      </c>
      <c r="G83" s="463">
        <f t="shared" si="12"/>
        <v>0.16393189809388686</v>
      </c>
      <c r="H83" s="463">
        <f t="shared" si="12"/>
        <v>1.0847938005632589</v>
      </c>
      <c r="I83" s="463">
        <f t="shared" si="12"/>
        <v>2.9441568053747581E-2</v>
      </c>
      <c r="J83" s="463">
        <f t="shared" si="12"/>
        <v>0.30202966544819582</v>
      </c>
      <c r="K83" s="463">
        <f t="shared" si="12"/>
        <v>-0.17667436489607391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6" activePane="bottomLeft" state="frozen"/>
      <selection pane="bottomLeft" activeCell="C265" sqref="C2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1778</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2393023</v>
      </c>
      <c r="D5" s="1586">
        <v>650278</v>
      </c>
      <c r="E5" s="1573">
        <v>700089</v>
      </c>
      <c r="F5" s="1631">
        <v>260111</v>
      </c>
      <c r="G5" s="1573">
        <v>333333</v>
      </c>
      <c r="H5" s="1573">
        <v>672284</v>
      </c>
      <c r="I5" s="1573">
        <v>65028</v>
      </c>
      <c r="J5" s="1574">
        <v>448432</v>
      </c>
      <c r="K5" s="1573"/>
    </row>
    <row r="6" spans="1:12" ht="15" x14ac:dyDescent="0.2">
      <c r="A6" s="427" t="s">
        <v>1643</v>
      </c>
      <c r="B6" s="429">
        <v>1130</v>
      </c>
      <c r="C6" s="1573">
        <v>65028</v>
      </c>
      <c r="D6" s="1573"/>
      <c r="E6" s="1580"/>
      <c r="F6" s="1580"/>
      <c r="G6" s="1575"/>
      <c r="H6" s="1575"/>
      <c r="I6" s="1575"/>
      <c r="J6" s="1575"/>
      <c r="K6" s="1575"/>
    </row>
    <row r="7" spans="1:12" x14ac:dyDescent="0.2">
      <c r="A7" s="427" t="s">
        <v>110</v>
      </c>
      <c r="B7" s="471">
        <v>1140</v>
      </c>
      <c r="C7" s="1573">
        <v>52022</v>
      </c>
      <c r="D7" s="1573"/>
      <c r="E7" s="1575"/>
      <c r="F7" s="1574"/>
      <c r="G7" s="1574"/>
      <c r="H7" s="1574"/>
      <c r="I7" s="1575"/>
      <c r="J7" s="1575"/>
      <c r="K7" s="1575"/>
    </row>
    <row r="8" spans="1:12" x14ac:dyDescent="0.2">
      <c r="A8" s="427" t="s">
        <v>410</v>
      </c>
      <c r="B8" s="429">
        <v>1150</v>
      </c>
      <c r="C8" s="1580"/>
      <c r="D8" s="1580"/>
      <c r="E8" s="1582"/>
      <c r="F8" s="1582"/>
      <c r="G8" s="1586">
        <v>305631</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2510073</v>
      </c>
      <c r="D12" s="1633">
        <f t="shared" si="0"/>
        <v>650278</v>
      </c>
      <c r="E12" s="1633">
        <f t="shared" si="0"/>
        <v>700089</v>
      </c>
      <c r="F12" s="1633">
        <f t="shared" si="0"/>
        <v>260111</v>
      </c>
      <c r="G12" s="1633">
        <f t="shared" si="0"/>
        <v>638964</v>
      </c>
      <c r="H12" s="1633">
        <f t="shared" si="0"/>
        <v>672284</v>
      </c>
      <c r="I12" s="1633">
        <f t="shared" si="0"/>
        <v>65028</v>
      </c>
      <c r="J12" s="1633">
        <f t="shared" si="0"/>
        <v>448432</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692217</v>
      </c>
      <c r="D16" s="1573">
        <v>110111</v>
      </c>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692217</v>
      </c>
      <c r="D18" s="1635">
        <f t="shared" ref="D18:K18" si="1">SUM(D14:D17)</f>
        <v>110111</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v>333781</v>
      </c>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333781</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8553</v>
      </c>
      <c r="D65" s="1573">
        <v>1992</v>
      </c>
      <c r="E65" s="1573">
        <v>614</v>
      </c>
      <c r="F65" s="1574">
        <v>670</v>
      </c>
      <c r="G65" s="1573">
        <v>3725</v>
      </c>
      <c r="H65" s="1573">
        <v>4673</v>
      </c>
      <c r="I65" s="1573">
        <v>19899</v>
      </c>
      <c r="J65" s="1574">
        <v>2730</v>
      </c>
      <c r="K65" s="1573">
        <v>19</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8553</v>
      </c>
      <c r="D67" s="1594">
        <f t="shared" ref="D67:K67" si="2">SUM(D65:D66)</f>
        <v>1992</v>
      </c>
      <c r="E67" s="1594">
        <f t="shared" si="2"/>
        <v>614</v>
      </c>
      <c r="F67" s="1594">
        <f t="shared" si="2"/>
        <v>670</v>
      </c>
      <c r="G67" s="1594">
        <f t="shared" si="2"/>
        <v>3725</v>
      </c>
      <c r="H67" s="1594">
        <f t="shared" si="2"/>
        <v>4673</v>
      </c>
      <c r="I67" s="1594">
        <f t="shared" si="2"/>
        <v>19899</v>
      </c>
      <c r="J67" s="1594">
        <f t="shared" si="2"/>
        <v>2730</v>
      </c>
      <c r="K67" s="1594">
        <f t="shared" si="2"/>
        <v>19</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54639</v>
      </c>
      <c r="D69" s="1575"/>
      <c r="E69" s="1575"/>
      <c r="F69" s="1575"/>
      <c r="G69" s="1575"/>
      <c r="H69" s="1575"/>
      <c r="I69" s="1575"/>
      <c r="J69" s="1575"/>
      <c r="K69" s="1575"/>
    </row>
    <row r="70" spans="1:11" ht="12.75" customHeight="1" x14ac:dyDescent="0.2">
      <c r="A70" s="427" t="s">
        <v>990</v>
      </c>
      <c r="B70" s="429">
        <v>1612</v>
      </c>
      <c r="C70" s="1632">
        <v>5113</v>
      </c>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1574</v>
      </c>
      <c r="D73" s="1575"/>
      <c r="E73" s="1575"/>
      <c r="F73" s="1575"/>
      <c r="G73" s="1575"/>
      <c r="H73" s="1575"/>
      <c r="I73" s="1575"/>
      <c r="J73" s="1575"/>
      <c r="K73" s="1575"/>
    </row>
    <row r="74" spans="1:11" ht="12.75" customHeight="1" x14ac:dyDescent="0.2">
      <c r="A74" s="427" t="s">
        <v>25</v>
      </c>
      <c r="B74" s="429">
        <v>1690</v>
      </c>
      <c r="C74" s="1632">
        <v>24826</v>
      </c>
      <c r="D74" s="1575"/>
      <c r="E74" s="1575"/>
      <c r="F74" s="1575"/>
      <c r="G74" s="1575"/>
      <c r="H74" s="1575"/>
      <c r="I74" s="1575"/>
      <c r="J74" s="1575"/>
      <c r="K74" s="1575"/>
    </row>
    <row r="75" spans="1:11" ht="12.75" customHeight="1" thickBot="1" x14ac:dyDescent="0.25">
      <c r="A75" s="1406" t="s">
        <v>544</v>
      </c>
      <c r="B75" s="1407"/>
      <c r="C75" s="1594">
        <f>SUM(C69:C74)</f>
        <v>86152</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60093</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25600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85693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23194</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23194</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100</v>
      </c>
      <c r="E95" s="1617"/>
      <c r="F95" s="1617"/>
      <c r="G95" s="1617"/>
      <c r="H95" s="1617"/>
      <c r="I95" s="1617"/>
      <c r="J95" s="1617"/>
      <c r="K95" s="1617"/>
    </row>
    <row r="96" spans="1:11" ht="12.75" customHeight="1" x14ac:dyDescent="0.2">
      <c r="A96" s="427" t="s">
        <v>388</v>
      </c>
      <c r="B96" s="429">
        <v>1920</v>
      </c>
      <c r="C96" s="1632">
        <v>5575</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600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88888</v>
      </c>
      <c r="D107" s="1573"/>
      <c r="E107" s="1573"/>
      <c r="F107" s="1573">
        <v>4437</v>
      </c>
      <c r="G107" s="1573"/>
      <c r="H107" s="1573"/>
      <c r="I107" s="1573"/>
      <c r="J107" s="1574"/>
      <c r="K107" s="1573"/>
    </row>
    <row r="108" spans="1:12" ht="12.75" customHeight="1" thickBot="1" x14ac:dyDescent="0.25">
      <c r="A108" s="1406" t="s">
        <v>484</v>
      </c>
      <c r="B108" s="1408"/>
      <c r="C108" s="1633">
        <f>SUM(C95:C107)</f>
        <v>95063</v>
      </c>
      <c r="D108" s="1633">
        <f t="shared" ref="D108:K108" si="3">SUM(D95:D107)</f>
        <v>100</v>
      </c>
      <c r="E108" s="1633">
        <f t="shared" si="3"/>
        <v>0</v>
      </c>
      <c r="F108" s="1633">
        <f t="shared" si="3"/>
        <v>4437</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3834726</v>
      </c>
      <c r="D109" s="1641">
        <f t="shared" si="4"/>
        <v>762481</v>
      </c>
      <c r="E109" s="1641">
        <f t="shared" si="4"/>
        <v>700703</v>
      </c>
      <c r="F109" s="1641">
        <f t="shared" si="4"/>
        <v>265218</v>
      </c>
      <c r="G109" s="1641">
        <f t="shared" si="4"/>
        <v>642689</v>
      </c>
      <c r="H109" s="1641">
        <f t="shared" si="4"/>
        <v>676957</v>
      </c>
      <c r="I109" s="1641">
        <f t="shared" si="4"/>
        <v>84927</v>
      </c>
      <c r="J109" s="1641">
        <f t="shared" si="4"/>
        <v>451162</v>
      </c>
      <c r="K109" s="1629">
        <f t="shared" si="4"/>
        <v>19</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5482330</v>
      </c>
      <c r="D117" s="1586">
        <v>350000</v>
      </c>
      <c r="E117" s="1573"/>
      <c r="F117" s="1586">
        <v>200000</v>
      </c>
      <c r="G117" s="1586"/>
      <c r="H117" s="1573"/>
      <c r="I117" s="1575"/>
      <c r="J117" s="1574"/>
      <c r="K117" s="1573"/>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c r="D119" s="1573"/>
      <c r="E119" s="1573"/>
      <c r="F119" s="1573"/>
      <c r="G119" s="1573"/>
      <c r="H119" s="1573"/>
      <c r="I119" s="1575"/>
      <c r="J119" s="1574"/>
      <c r="K119" s="1573"/>
    </row>
    <row r="120" spans="1:11" ht="12.75" customHeight="1" x14ac:dyDescent="0.2">
      <c r="A120" s="1539" t="s">
        <v>1894</v>
      </c>
      <c r="B120" s="478">
        <v>3030</v>
      </c>
      <c r="C120" s="1632"/>
      <c r="D120" s="1573"/>
      <c r="E120" s="1573"/>
      <c r="F120" s="1573"/>
      <c r="G120" s="1573"/>
      <c r="H120" s="1573"/>
      <c r="I120" s="1575"/>
      <c r="J120" s="1574"/>
      <c r="K120" s="1573"/>
    </row>
    <row r="121" spans="1:11" x14ac:dyDescent="0.2">
      <c r="A121" s="1266" t="s">
        <v>1777</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5482330</v>
      </c>
      <c r="D122" s="1633">
        <f t="shared" si="5"/>
        <v>350000</v>
      </c>
      <c r="E122" s="1633">
        <f t="shared" si="5"/>
        <v>0</v>
      </c>
      <c r="F122" s="1633">
        <f t="shared" si="5"/>
        <v>200000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31105</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31105</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26139</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f>1211+3042</f>
        <v>4253</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30392</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4447</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19268</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324162</v>
      </c>
      <c r="G152" s="1574"/>
      <c r="H152" s="1575"/>
      <c r="I152" s="1575"/>
      <c r="J152" s="1575"/>
      <c r="K152" s="1575"/>
    </row>
    <row r="153" spans="1:11" ht="12.75" customHeight="1" x14ac:dyDescent="0.2">
      <c r="A153" s="427" t="s">
        <v>1048</v>
      </c>
      <c r="B153" s="478">
        <v>3510</v>
      </c>
      <c r="C153" s="1632"/>
      <c r="D153" s="1573"/>
      <c r="E153" s="1640"/>
      <c r="F153" s="1573">
        <v>65093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389255</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415290</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500502</v>
      </c>
      <c r="D169" s="1658">
        <f t="shared" si="6"/>
        <v>50000</v>
      </c>
      <c r="E169" s="1658">
        <f t="shared" si="6"/>
        <v>0</v>
      </c>
      <c r="F169" s="1658">
        <f t="shared" si="6"/>
        <v>389255</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5982832</v>
      </c>
      <c r="D170" s="1641">
        <f t="shared" si="7"/>
        <v>400000</v>
      </c>
      <c r="E170" s="1641">
        <f t="shared" si="7"/>
        <v>0</v>
      </c>
      <c r="F170" s="1641">
        <f t="shared" si="7"/>
        <v>589255</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1779</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232577</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83624</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316201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548928</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548928</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291211</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291211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1895</v>
      </c>
      <c r="B261" s="429">
        <v>4981</v>
      </c>
      <c r="C261" s="1650"/>
      <c r="D261" s="1651"/>
      <c r="E261" s="1575"/>
      <c r="F261" s="1651"/>
      <c r="G261" s="1651"/>
      <c r="H261" s="1575"/>
      <c r="I261" s="1575"/>
      <c r="J261" s="1575"/>
      <c r="K261" s="1575"/>
    </row>
    <row r="262" spans="1:11" ht="12.75" customHeight="1" thickTop="1" thickBot="1" x14ac:dyDescent="0.25">
      <c r="A262" s="1540" t="s">
        <v>1896</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27251</v>
      </c>
      <c r="D263" s="1651"/>
      <c r="E263" s="1575"/>
      <c r="F263" s="1651"/>
      <c r="G263" s="1651"/>
      <c r="H263" s="1575"/>
      <c r="I263" s="1575"/>
      <c r="J263" s="1575"/>
      <c r="K263" s="1575"/>
    </row>
    <row r="264" spans="1:11" ht="12.75" customHeight="1" thickTop="1" thickBot="1" x14ac:dyDescent="0.25">
      <c r="A264" s="427" t="s">
        <v>374</v>
      </c>
      <c r="B264" s="429">
        <v>4992</v>
      </c>
      <c r="C264" s="1650">
        <v>136165</v>
      </c>
      <c r="D264" s="1651"/>
      <c r="E264" s="1575"/>
      <c r="F264" s="1651"/>
      <c r="G264" s="1651"/>
      <c r="H264" s="1575"/>
      <c r="I264" s="1575"/>
      <c r="J264" s="1575"/>
      <c r="K264" s="1575"/>
    </row>
    <row r="265" spans="1:11" s="489" customFormat="1" ht="12.75" customHeight="1" thickTop="1" thickBot="1" x14ac:dyDescent="0.25">
      <c r="A265" s="479" t="s">
        <v>75</v>
      </c>
      <c r="B265" s="475">
        <v>4998</v>
      </c>
      <c r="C265" s="1650">
        <v>110790</v>
      </c>
      <c r="D265" s="1651"/>
      <c r="E265" s="1575"/>
      <c r="F265" s="1651">
        <v>33240</v>
      </c>
      <c r="G265" s="1651"/>
      <c r="H265" s="1626"/>
      <c r="I265" s="1575"/>
      <c r="J265" s="1575"/>
      <c r="K265" s="1626"/>
    </row>
    <row r="266" spans="1:11" ht="14.25" thickTop="1" thickBot="1" x14ac:dyDescent="0.25">
      <c r="A266" s="1406" t="s">
        <v>1647</v>
      </c>
      <c r="B266" s="1419"/>
      <c r="C266" s="1641">
        <f t="shared" ref="C266:H266" si="10">SUM(C188,C198,C204,C209,C217,C221,C222,C252:C265)</f>
        <v>1430546</v>
      </c>
      <c r="D266" s="1641">
        <f t="shared" si="10"/>
        <v>0</v>
      </c>
      <c r="E266" s="1641">
        <f t="shared" si="10"/>
        <v>0</v>
      </c>
      <c r="F266" s="1641">
        <f t="shared" si="10"/>
        <v>33240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1430546</v>
      </c>
      <c r="D267" s="1641">
        <f>SUM(D175,D181,D266)</f>
        <v>0</v>
      </c>
      <c r="E267" s="1641">
        <f>SUM(E175,E266)</f>
        <v>0</v>
      </c>
      <c r="F267" s="1641">
        <f t="shared" ref="F267:K267" si="11">SUM(F175,F181,F266)</f>
        <v>33240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11248104</v>
      </c>
      <c r="D268" s="1641">
        <f t="shared" si="12"/>
        <v>1162481</v>
      </c>
      <c r="E268" s="1641">
        <f t="shared" si="12"/>
        <v>700703</v>
      </c>
      <c r="F268" s="1641">
        <f t="shared" si="12"/>
        <v>887713</v>
      </c>
      <c r="G268" s="1641">
        <f t="shared" si="12"/>
        <v>642689</v>
      </c>
      <c r="H268" s="1641">
        <f t="shared" si="12"/>
        <v>676957</v>
      </c>
      <c r="I268" s="1641">
        <f t="shared" si="12"/>
        <v>84927</v>
      </c>
      <c r="J268" s="1641">
        <f t="shared" si="12"/>
        <v>451162</v>
      </c>
      <c r="K268" s="1629">
        <f t="shared" si="12"/>
        <v>19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 activePane="bottomLeft" state="frozen"/>
      <selection pane="bottomLeft" activeCell="F6" sqref="F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1778</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4716729</v>
      </c>
      <c r="D5" s="1573">
        <v>813055</v>
      </c>
      <c r="E5" s="1573">
        <v>50842</v>
      </c>
      <c r="F5" s="1573">
        <f>203267+10493</f>
        <v>213760</v>
      </c>
      <c r="G5" s="1573">
        <v>100030</v>
      </c>
      <c r="H5" s="1573">
        <v>833</v>
      </c>
      <c r="I5" s="1574"/>
      <c r="J5" s="1574"/>
      <c r="K5" s="1672">
        <f>SUM(C5:J5)</f>
        <v>5895249</v>
      </c>
      <c r="L5" s="1573">
        <v>6119225</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154845</v>
      </c>
      <c r="D7" s="1574">
        <v>20683</v>
      </c>
      <c r="E7" s="1574">
        <v>3136</v>
      </c>
      <c r="F7" s="1574">
        <v>8989</v>
      </c>
      <c r="G7" s="1574">
        <v>10438</v>
      </c>
      <c r="H7" s="1574"/>
      <c r="I7" s="1574"/>
      <c r="J7" s="1574"/>
      <c r="K7" s="1672">
        <f t="shared" ref="K7:K32" si="0">SUM(C7:J7)</f>
        <v>198091</v>
      </c>
      <c r="L7" s="1573">
        <v>191885</v>
      </c>
    </row>
    <row r="8" spans="1:14" x14ac:dyDescent="0.2">
      <c r="A8" s="1274" t="s">
        <v>163</v>
      </c>
      <c r="B8" s="503">
        <v>1200</v>
      </c>
      <c r="C8" s="1573">
        <v>957678</v>
      </c>
      <c r="D8" s="1573">
        <v>196558</v>
      </c>
      <c r="E8" s="1573">
        <v>4018</v>
      </c>
      <c r="F8" s="1573">
        <v>2038</v>
      </c>
      <c r="G8" s="1573"/>
      <c r="H8" s="1573"/>
      <c r="I8" s="1574"/>
      <c r="J8" s="1574"/>
      <c r="K8" s="1672">
        <f t="shared" si="0"/>
        <v>1160292</v>
      </c>
      <c r="L8" s="1573">
        <v>1242539</v>
      </c>
    </row>
    <row r="9" spans="1:14" x14ac:dyDescent="0.2">
      <c r="A9" s="1274" t="s">
        <v>716</v>
      </c>
      <c r="B9" s="503" t="s">
        <v>962</v>
      </c>
      <c r="C9" s="1574">
        <v>97967</v>
      </c>
      <c r="D9" s="1574">
        <v>20389</v>
      </c>
      <c r="E9" s="1574"/>
      <c r="F9" s="1574">
        <v>298</v>
      </c>
      <c r="G9" s="1574"/>
      <c r="H9" s="1574"/>
      <c r="I9" s="1574"/>
      <c r="J9" s="1574"/>
      <c r="K9" s="1672">
        <f t="shared" si="0"/>
        <v>118654</v>
      </c>
      <c r="L9" s="1573">
        <v>116015</v>
      </c>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307947</v>
      </c>
      <c r="D13" s="1573">
        <v>52129</v>
      </c>
      <c r="E13" s="1573">
        <v>2946</v>
      </c>
      <c r="F13" s="1573">
        <v>10940</v>
      </c>
      <c r="G13" s="1573"/>
      <c r="H13" s="1573"/>
      <c r="I13" s="1574"/>
      <c r="J13" s="1574"/>
      <c r="K13" s="1672">
        <f t="shared" si="0"/>
        <v>373962</v>
      </c>
      <c r="L13" s="1573">
        <v>381809</v>
      </c>
    </row>
    <row r="14" spans="1:14" x14ac:dyDescent="0.2">
      <c r="A14" s="1274" t="s">
        <v>957</v>
      </c>
      <c r="B14" s="503">
        <v>1500</v>
      </c>
      <c r="C14" s="1573">
        <v>124057</v>
      </c>
      <c r="D14" s="1573">
        <v>20619</v>
      </c>
      <c r="E14" s="1573">
        <v>35744</v>
      </c>
      <c r="F14" s="1573">
        <v>20294</v>
      </c>
      <c r="G14" s="1573"/>
      <c r="H14" s="1573">
        <v>290</v>
      </c>
      <c r="I14" s="1574"/>
      <c r="J14" s="1574"/>
      <c r="K14" s="1672">
        <f t="shared" si="0"/>
        <v>201004</v>
      </c>
      <c r="L14" s="1573">
        <v>192825</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6359223</v>
      </c>
      <c r="D33" s="1674">
        <f t="shared" ref="D33:L33" si="1">SUM(D5:D32)</f>
        <v>1123433</v>
      </c>
      <c r="E33" s="1674">
        <f t="shared" si="1"/>
        <v>96686</v>
      </c>
      <c r="F33" s="1674">
        <f t="shared" si="1"/>
        <v>256319</v>
      </c>
      <c r="G33" s="1674">
        <f t="shared" si="1"/>
        <v>110468</v>
      </c>
      <c r="H33" s="1674">
        <f t="shared" si="1"/>
        <v>1123</v>
      </c>
      <c r="I33" s="1674">
        <f t="shared" si="1"/>
        <v>0</v>
      </c>
      <c r="J33" s="1674">
        <f t="shared" si="1"/>
        <v>0</v>
      </c>
      <c r="K33" s="1674">
        <f t="shared" si="1"/>
        <v>7947252</v>
      </c>
      <c r="L33" s="1674">
        <f t="shared" si="1"/>
        <v>8244298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324100</v>
      </c>
      <c r="D37" s="1573">
        <v>52681</v>
      </c>
      <c r="E37" s="1573"/>
      <c r="F37" s="1573">
        <v>297</v>
      </c>
      <c r="G37" s="1573"/>
      <c r="H37" s="1573"/>
      <c r="I37" s="1574"/>
      <c r="J37" s="1574"/>
      <c r="K37" s="1672">
        <f t="shared" si="2"/>
        <v>377078</v>
      </c>
      <c r="L37" s="1573">
        <v>391418</v>
      </c>
    </row>
    <row r="38" spans="1:14" x14ac:dyDescent="0.2">
      <c r="A38" s="1274" t="s">
        <v>196</v>
      </c>
      <c r="B38" s="503">
        <v>2130</v>
      </c>
      <c r="C38" s="1573">
        <v>93389</v>
      </c>
      <c r="D38" s="1573">
        <v>15326</v>
      </c>
      <c r="E38" s="1573">
        <v>510</v>
      </c>
      <c r="F38" s="1573">
        <v>5039</v>
      </c>
      <c r="G38" s="1573"/>
      <c r="H38" s="1573"/>
      <c r="I38" s="1574"/>
      <c r="J38" s="1574"/>
      <c r="K38" s="1672">
        <f t="shared" si="2"/>
        <v>114264</v>
      </c>
      <c r="L38" s="1573">
        <v>206335</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178693</v>
      </c>
      <c r="D40" s="1573">
        <v>35627</v>
      </c>
      <c r="E40" s="1573">
        <v>291211</v>
      </c>
      <c r="F40" s="1573">
        <v>1907</v>
      </c>
      <c r="G40" s="1573"/>
      <c r="H40" s="1573"/>
      <c r="I40" s="1574"/>
      <c r="J40" s="1574"/>
      <c r="K40" s="1672">
        <f t="shared" si="2"/>
        <v>507438</v>
      </c>
      <c r="L40" s="1573">
        <v>584643</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596182</v>
      </c>
      <c r="D42" s="1674">
        <f t="shared" ref="D42:L42" si="3">SUM(D36:D41)</f>
        <v>103634</v>
      </c>
      <c r="E42" s="1674">
        <f t="shared" si="3"/>
        <v>291721</v>
      </c>
      <c r="F42" s="1674">
        <f t="shared" si="3"/>
        <v>7243</v>
      </c>
      <c r="G42" s="1674">
        <f t="shared" si="3"/>
        <v>0</v>
      </c>
      <c r="H42" s="1674">
        <f t="shared" si="3"/>
        <v>0</v>
      </c>
      <c r="I42" s="1674">
        <f t="shared" si="3"/>
        <v>0</v>
      </c>
      <c r="J42" s="1674">
        <f t="shared" si="3"/>
        <v>0</v>
      </c>
      <c r="K42" s="1674">
        <f t="shared" si="3"/>
        <v>998780</v>
      </c>
      <c r="L42" s="1674">
        <f t="shared" si="3"/>
        <v>1182396</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8500</v>
      </c>
      <c r="D44" s="1586">
        <v>357</v>
      </c>
      <c r="E44" s="1586">
        <v>22727</v>
      </c>
      <c r="F44" s="1586">
        <v>3436</v>
      </c>
      <c r="G44" s="1586"/>
      <c r="H44" s="1586"/>
      <c r="I44" s="1574"/>
      <c r="J44" s="1574"/>
      <c r="K44" s="1678">
        <f>SUM(C44:J44)</f>
        <v>35020</v>
      </c>
      <c r="L44" s="1586">
        <v>41508</v>
      </c>
    </row>
    <row r="45" spans="1:14" x14ac:dyDescent="0.2">
      <c r="A45" s="1274" t="s">
        <v>810</v>
      </c>
      <c r="B45" s="503">
        <v>2220</v>
      </c>
      <c r="C45" s="1573">
        <v>105105</v>
      </c>
      <c r="D45" s="1573">
        <v>11384</v>
      </c>
      <c r="E45" s="1573"/>
      <c r="F45" s="1573">
        <v>6051</v>
      </c>
      <c r="G45" s="1573"/>
      <c r="H45" s="1573"/>
      <c r="I45" s="1574"/>
      <c r="J45" s="1574"/>
      <c r="K45" s="1678">
        <f>SUM(C45:J45)</f>
        <v>122540</v>
      </c>
      <c r="L45" s="1573">
        <v>110780</v>
      </c>
    </row>
    <row r="46" spans="1:14" x14ac:dyDescent="0.2">
      <c r="A46" s="1274" t="s">
        <v>811</v>
      </c>
      <c r="B46" s="503">
        <v>2230</v>
      </c>
      <c r="C46" s="1573"/>
      <c r="D46" s="1573"/>
      <c r="E46" s="1573">
        <v>8855</v>
      </c>
      <c r="F46" s="1573"/>
      <c r="G46" s="1573"/>
      <c r="H46" s="1573"/>
      <c r="I46" s="1574"/>
      <c r="J46" s="1574"/>
      <c r="K46" s="1678">
        <f>SUM(C46:J46)</f>
        <v>8855</v>
      </c>
      <c r="L46" s="1573">
        <v>8827</v>
      </c>
    </row>
    <row r="47" spans="1:14" ht="12.75" customHeight="1" thickBot="1" x14ac:dyDescent="0.25">
      <c r="A47" s="1380" t="s">
        <v>557</v>
      </c>
      <c r="B47" s="1381" t="s">
        <v>32</v>
      </c>
      <c r="C47" s="1674">
        <f>SUM(C44:C46)</f>
        <v>113605</v>
      </c>
      <c r="D47" s="1674">
        <f t="shared" ref="D47:K47" si="4">SUM(D44:D46)</f>
        <v>11741</v>
      </c>
      <c r="E47" s="1674">
        <f t="shared" si="4"/>
        <v>31582</v>
      </c>
      <c r="F47" s="1674">
        <f t="shared" si="4"/>
        <v>9487</v>
      </c>
      <c r="G47" s="1674">
        <f t="shared" si="4"/>
        <v>0</v>
      </c>
      <c r="H47" s="1674">
        <f t="shared" si="4"/>
        <v>0</v>
      </c>
      <c r="I47" s="1674">
        <f t="shared" si="4"/>
        <v>0</v>
      </c>
      <c r="J47" s="1674">
        <f t="shared" si="4"/>
        <v>0</v>
      </c>
      <c r="K47" s="1674">
        <f t="shared" si="4"/>
        <v>166415</v>
      </c>
      <c r="L47" s="1674">
        <f>SUM(L44:L46)</f>
        <v>161115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v>379</v>
      </c>
      <c r="E49" s="1586">
        <v>21809</v>
      </c>
      <c r="F49" s="1586">
        <v>6105</v>
      </c>
      <c r="G49" s="1586">
        <v>1701</v>
      </c>
      <c r="H49" s="1586">
        <v>5917</v>
      </c>
      <c r="I49" s="1574"/>
      <c r="J49" s="1574"/>
      <c r="K49" s="1678">
        <f>SUM(C49:J49)</f>
        <v>35911</v>
      </c>
      <c r="L49" s="1586">
        <v>39205</v>
      </c>
    </row>
    <row r="50" spans="1:14" x14ac:dyDescent="0.2">
      <c r="A50" s="1274" t="s">
        <v>813</v>
      </c>
      <c r="B50" s="503">
        <v>2320</v>
      </c>
      <c r="C50" s="1573">
        <v>202877</v>
      </c>
      <c r="D50" s="1573">
        <v>54338</v>
      </c>
      <c r="E50" s="1573">
        <v>28336</v>
      </c>
      <c r="F50" s="1573">
        <v>4946</v>
      </c>
      <c r="G50" s="1573"/>
      <c r="H50" s="1573">
        <v>815</v>
      </c>
      <c r="I50" s="1574"/>
      <c r="J50" s="1574"/>
      <c r="K50" s="1678">
        <f>SUM(C50:J50)</f>
        <v>291312</v>
      </c>
      <c r="L50" s="1573">
        <v>321579</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202877</v>
      </c>
      <c r="D53" s="1674">
        <f t="shared" ref="D53:L53" si="5">SUM(D49:D52)</f>
        <v>54717</v>
      </c>
      <c r="E53" s="1674">
        <f t="shared" si="5"/>
        <v>50145</v>
      </c>
      <c r="F53" s="1674">
        <f t="shared" si="5"/>
        <v>11051</v>
      </c>
      <c r="G53" s="1674">
        <f t="shared" si="5"/>
        <v>1701</v>
      </c>
      <c r="H53" s="1674">
        <f t="shared" si="5"/>
        <v>6732</v>
      </c>
      <c r="I53" s="1674">
        <f t="shared" si="5"/>
        <v>0</v>
      </c>
      <c r="J53" s="1674">
        <f t="shared" si="5"/>
        <v>0</v>
      </c>
      <c r="K53" s="1674">
        <f t="shared" si="5"/>
        <v>327223</v>
      </c>
      <c r="L53" s="1674">
        <f t="shared" si="5"/>
        <v>360784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474148</v>
      </c>
      <c r="D55" s="1586">
        <v>109804</v>
      </c>
      <c r="E55" s="1586">
        <v>73538</v>
      </c>
      <c r="F55" s="1586">
        <v>3564</v>
      </c>
      <c r="G55" s="1586"/>
      <c r="H55" s="1586"/>
      <c r="I55" s="1574"/>
      <c r="J55" s="1574"/>
      <c r="K55" s="1678">
        <f>SUM(C55:J55)</f>
        <v>661054</v>
      </c>
      <c r="L55" s="1586">
        <v>609704</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474148</v>
      </c>
      <c r="D57" s="1679">
        <f t="shared" ref="D57:K57" si="6">SUM(D55:D56)</f>
        <v>109804</v>
      </c>
      <c r="E57" s="1679">
        <f t="shared" si="6"/>
        <v>73538</v>
      </c>
      <c r="F57" s="1679">
        <f t="shared" si="6"/>
        <v>3564</v>
      </c>
      <c r="G57" s="1679">
        <f t="shared" si="6"/>
        <v>0</v>
      </c>
      <c r="H57" s="1679">
        <f t="shared" si="6"/>
        <v>0</v>
      </c>
      <c r="I57" s="1679">
        <f t="shared" si="6"/>
        <v>0</v>
      </c>
      <c r="J57" s="1679">
        <f t="shared" si="6"/>
        <v>0</v>
      </c>
      <c r="K57" s="1679">
        <f t="shared" si="6"/>
        <v>661054</v>
      </c>
      <c r="L57" s="1674">
        <f>SUM(L55:L56)</f>
        <v>609704</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c r="F61" s="1573">
        <v>23032</v>
      </c>
      <c r="G61" s="1573"/>
      <c r="H61" s="1573"/>
      <c r="I61" s="1574"/>
      <c r="J61" s="1574"/>
      <c r="K61" s="1678">
        <f t="shared" si="7"/>
        <v>23032</v>
      </c>
      <c r="L61" s="1573">
        <v>15544</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162605</v>
      </c>
      <c r="D63" s="1573">
        <v>44940</v>
      </c>
      <c r="E63" s="1573">
        <v>462</v>
      </c>
      <c r="F63" s="1573">
        <v>137158</v>
      </c>
      <c r="G63" s="1573"/>
      <c r="H63" s="1573"/>
      <c r="I63" s="1574"/>
      <c r="J63" s="1574"/>
      <c r="K63" s="1678">
        <f t="shared" si="7"/>
        <v>345165</v>
      </c>
      <c r="L63" s="1573">
        <v>373014</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162605</v>
      </c>
      <c r="D65" s="1674">
        <f t="shared" ref="D65:L65" si="8">SUM(D59:D64)</f>
        <v>44940</v>
      </c>
      <c r="E65" s="1674">
        <f t="shared" si="8"/>
        <v>462</v>
      </c>
      <c r="F65" s="1674">
        <f t="shared" si="8"/>
        <v>160190</v>
      </c>
      <c r="G65" s="1674">
        <f t="shared" si="8"/>
        <v>0</v>
      </c>
      <c r="H65" s="1674">
        <f t="shared" si="8"/>
        <v>0</v>
      </c>
      <c r="I65" s="1674">
        <f t="shared" si="8"/>
        <v>0</v>
      </c>
      <c r="J65" s="1674">
        <f t="shared" si="8"/>
        <v>0</v>
      </c>
      <c r="K65" s="1674">
        <f t="shared" si="8"/>
        <v>368197</v>
      </c>
      <c r="L65" s="1674">
        <f t="shared" si="8"/>
        <v>388558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v>41109</v>
      </c>
      <c r="D68" s="1573">
        <v>86</v>
      </c>
      <c r="E68" s="1573">
        <v>47751</v>
      </c>
      <c r="F68" s="1573">
        <v>25877</v>
      </c>
      <c r="G68" s="1573"/>
      <c r="H68" s="1573"/>
      <c r="I68" s="1574"/>
      <c r="J68" s="1574"/>
      <c r="K68" s="1678">
        <f>SUM(C68:J68)</f>
        <v>114823</v>
      </c>
      <c r="L68" s="1573">
        <v>108547</v>
      </c>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v>17827</v>
      </c>
      <c r="F71" s="1573"/>
      <c r="G71" s="1573"/>
      <c r="H71" s="1573"/>
      <c r="I71" s="1574"/>
      <c r="J71" s="1574"/>
      <c r="K71" s="1678">
        <f>SUM(C71:J71)</f>
        <v>17827</v>
      </c>
      <c r="L71" s="1573">
        <v>17828</v>
      </c>
      <c r="M71" s="501"/>
      <c r="N71" s="501"/>
    </row>
    <row r="72" spans="1:14" s="321" customFormat="1" ht="12.75" customHeight="1" thickBot="1" x14ac:dyDescent="0.25">
      <c r="A72" s="1380" t="s">
        <v>37</v>
      </c>
      <c r="B72" s="1383" t="s">
        <v>36</v>
      </c>
      <c r="C72" s="1674">
        <f>SUM(C67:C71)</f>
        <v>41109</v>
      </c>
      <c r="D72" s="1674">
        <f t="shared" ref="D72:K72" si="9">SUM(D67:D71)</f>
        <v>86</v>
      </c>
      <c r="E72" s="1674">
        <f t="shared" si="9"/>
        <v>65578</v>
      </c>
      <c r="F72" s="1674">
        <f t="shared" si="9"/>
        <v>25877</v>
      </c>
      <c r="G72" s="1674">
        <f t="shared" si="9"/>
        <v>0</v>
      </c>
      <c r="H72" s="1674">
        <f t="shared" si="9"/>
        <v>0</v>
      </c>
      <c r="I72" s="1674">
        <f t="shared" si="9"/>
        <v>0</v>
      </c>
      <c r="J72" s="1674">
        <f t="shared" si="9"/>
        <v>0</v>
      </c>
      <c r="K72" s="1674">
        <f t="shared" si="9"/>
        <v>132650</v>
      </c>
      <c r="L72" s="1674">
        <f>SUM(L67:L71)</f>
        <v>126375</v>
      </c>
      <c r="M72" s="501"/>
      <c r="N72" s="501"/>
    </row>
    <row r="73" spans="1:14" s="321" customFormat="1" ht="14.25" thickTop="1" thickBot="1" x14ac:dyDescent="0.25">
      <c r="A73" s="1280" t="s">
        <v>973</v>
      </c>
      <c r="B73" s="515" t="s">
        <v>570</v>
      </c>
      <c r="C73" s="1649">
        <v>17825</v>
      </c>
      <c r="D73" s="1649"/>
      <c r="E73" s="1649">
        <v>11255</v>
      </c>
      <c r="F73" s="1649">
        <v>10286</v>
      </c>
      <c r="G73" s="1649"/>
      <c r="H73" s="1649">
        <v>16398</v>
      </c>
      <c r="I73" s="1627"/>
      <c r="J73" s="1627"/>
      <c r="K73" s="1674">
        <f>SUM(C73:J73)</f>
        <v>55764</v>
      </c>
      <c r="L73" s="1651">
        <v>112235</v>
      </c>
      <c r="M73" s="501"/>
      <c r="N73" s="501"/>
    </row>
    <row r="74" spans="1:14" ht="12.75" customHeight="1" thickTop="1" thickBot="1" x14ac:dyDescent="0.25">
      <c r="A74" s="1380" t="s">
        <v>806</v>
      </c>
      <c r="B74" s="1384">
        <v>2000</v>
      </c>
      <c r="C74" s="1681">
        <f>SUM(C42,C47,C53,C57,C65,C72,C73)</f>
        <v>1608351</v>
      </c>
      <c r="D74" s="1681">
        <f t="shared" ref="D74:K74" si="10">SUM(D42,D47,D53,D57,D65,D72,D73)</f>
        <v>324922</v>
      </c>
      <c r="E74" s="1681">
        <f t="shared" si="10"/>
        <v>524281</v>
      </c>
      <c r="F74" s="1681">
        <f t="shared" si="10"/>
        <v>227698</v>
      </c>
      <c r="G74" s="1681">
        <f t="shared" si="10"/>
        <v>1701</v>
      </c>
      <c r="H74" s="1681">
        <f t="shared" si="10"/>
        <v>23130</v>
      </c>
      <c r="I74" s="1681">
        <f t="shared" si="10"/>
        <v>0</v>
      </c>
      <c r="J74" s="1681">
        <f t="shared" si="10"/>
        <v>0</v>
      </c>
      <c r="K74" s="1681">
        <f t="shared" si="10"/>
        <v>2710083</v>
      </c>
      <c r="L74" s="1681">
        <f>SUM(L42,L47,L53,L57,L65,L72,L73)</f>
        <v>2941167</v>
      </c>
    </row>
    <row r="75" spans="1:14" s="254" customFormat="1" ht="15.75" customHeight="1" thickTop="1" thickBot="1" x14ac:dyDescent="0.25">
      <c r="A75" s="1348" t="s">
        <v>47</v>
      </c>
      <c r="B75" s="1349" t="s">
        <v>571</v>
      </c>
      <c r="C75" s="1649">
        <v>153223</v>
      </c>
      <c r="D75" s="1649">
        <v>21727</v>
      </c>
      <c r="E75" s="1649">
        <v>25493</v>
      </c>
      <c r="F75" s="1649">
        <v>4730</v>
      </c>
      <c r="G75" s="1649"/>
      <c r="H75" s="1649"/>
      <c r="I75" s="1627"/>
      <c r="J75" s="1627"/>
      <c r="K75" s="1674">
        <f>SUM(C75:J75)</f>
        <v>205173</v>
      </c>
      <c r="L75" s="1651">
        <v>237479</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353995</v>
      </c>
      <c r="F79" s="1673"/>
      <c r="G79" s="1673"/>
      <c r="H79" s="1573"/>
      <c r="I79" s="1582"/>
      <c r="J79" s="1582"/>
      <c r="K79" s="1672">
        <f t="shared" si="11"/>
        <v>353995</v>
      </c>
      <c r="L79" s="1573">
        <v>250000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353995</v>
      </c>
      <c r="F84" s="1673"/>
      <c r="G84" s="1673"/>
      <c r="H84" s="1674">
        <f>SUM(H78:H83)</f>
        <v>0</v>
      </c>
      <c r="I84" s="1582"/>
      <c r="J84" s="1582"/>
      <c r="K84" s="1674">
        <f>SUM(K78:K83)</f>
        <v>353995</v>
      </c>
      <c r="L84" s="1674">
        <f>SUM(L78:L83)</f>
        <v>250000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353995</v>
      </c>
      <c r="F102" s="1673"/>
      <c r="G102" s="1673"/>
      <c r="H102" s="1681">
        <f>SUM(H84,H92,H100,H101)</f>
        <v>0</v>
      </c>
      <c r="I102" s="1582"/>
      <c r="J102" s="1582"/>
      <c r="K102" s="1681">
        <f>SUM(K84,K92,K100,K101)</f>
        <v>353995</v>
      </c>
      <c r="L102" s="1681">
        <f>SUM(L84,L92,L100,L101)</f>
        <v>250000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8120797</v>
      </c>
      <c r="D114" s="1674">
        <f t="shared" ref="D114:K114" si="13">SUM(D33,D74,D75,D102,D112,D113)</f>
        <v>1470082</v>
      </c>
      <c r="E114" s="1674">
        <f t="shared" si="13"/>
        <v>1000455</v>
      </c>
      <c r="F114" s="1674">
        <f t="shared" si="13"/>
        <v>488747</v>
      </c>
      <c r="G114" s="1674">
        <f t="shared" si="13"/>
        <v>112169</v>
      </c>
      <c r="H114" s="1674">
        <f>SUM(H33,H74,H75,H102,H112,H113)</f>
        <v>24253</v>
      </c>
      <c r="I114" s="1674">
        <f t="shared" si="13"/>
        <v>0</v>
      </c>
      <c r="J114" s="1674">
        <f t="shared" si="13"/>
        <v>0</v>
      </c>
      <c r="K114" s="1674">
        <f t="shared" si="13"/>
        <v>11216503</v>
      </c>
      <c r="L114" s="1674">
        <f>SUM(L33,L74,L75,L102,L112,L113)</f>
        <v>11672944</v>
      </c>
    </row>
    <row r="115" spans="1:14" ht="13.5" thickTop="1" x14ac:dyDescent="0.2">
      <c r="A115" s="2261" t="s">
        <v>989</v>
      </c>
      <c r="B115" s="2262"/>
      <c r="C115" s="1675"/>
      <c r="D115" s="1675"/>
      <c r="E115" s="1675"/>
      <c r="F115" s="1675"/>
      <c r="G115" s="1675"/>
      <c r="H115" s="1675"/>
      <c r="I115" s="1675"/>
      <c r="J115" s="1675"/>
      <c r="K115" s="1689">
        <f>'Revenues 9-14'!C268-'Expenditures 15-22'!K114</f>
        <v>31601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1962</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527179</v>
      </c>
      <c r="D124" s="1573">
        <v>127978</v>
      </c>
      <c r="E124" s="1573">
        <v>151367</v>
      </c>
      <c r="F124" s="1573">
        <v>374080</v>
      </c>
      <c r="G124" s="1573"/>
      <c r="H124" s="1573">
        <v>195</v>
      </c>
      <c r="I124" s="1574"/>
      <c r="J124" s="1574"/>
      <c r="K124" s="1674">
        <f>SUM(C124:J124)</f>
        <v>1180799</v>
      </c>
      <c r="L124" s="1573">
        <v>1183056</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527179</v>
      </c>
      <c r="D127" s="1674">
        <f t="shared" ref="D127:L127" si="14">SUM(D122:D126)</f>
        <v>127978</v>
      </c>
      <c r="E127" s="1674">
        <f t="shared" si="14"/>
        <v>151367</v>
      </c>
      <c r="F127" s="1674">
        <f t="shared" si="14"/>
        <v>374080</v>
      </c>
      <c r="G127" s="1674">
        <f t="shared" si="14"/>
        <v>0</v>
      </c>
      <c r="H127" s="1674">
        <f t="shared" si="14"/>
        <v>195</v>
      </c>
      <c r="I127" s="1674">
        <f t="shared" si="14"/>
        <v>0</v>
      </c>
      <c r="J127" s="1674">
        <f t="shared" si="14"/>
        <v>0</v>
      </c>
      <c r="K127" s="1674">
        <f t="shared" si="14"/>
        <v>1180799</v>
      </c>
      <c r="L127" s="1674">
        <f t="shared" si="14"/>
        <v>1183056</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527179</v>
      </c>
      <c r="D129" s="1681">
        <f t="shared" ref="D129:L129" si="15">SUM(D120,D127,D128)</f>
        <v>127978</v>
      </c>
      <c r="E129" s="1681">
        <f t="shared" si="15"/>
        <v>151367</v>
      </c>
      <c r="F129" s="1681">
        <f t="shared" si="15"/>
        <v>374080</v>
      </c>
      <c r="G129" s="1681">
        <f t="shared" si="15"/>
        <v>0</v>
      </c>
      <c r="H129" s="1681">
        <f t="shared" si="15"/>
        <v>195</v>
      </c>
      <c r="I129" s="1681">
        <f t="shared" si="15"/>
        <v>0</v>
      </c>
      <c r="J129" s="1681">
        <f t="shared" si="15"/>
        <v>0</v>
      </c>
      <c r="K129" s="1681">
        <f t="shared" si="15"/>
        <v>1180799</v>
      </c>
      <c r="L129" s="1681">
        <f t="shared" si="15"/>
        <v>1183056</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1815</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527179</v>
      </c>
      <c r="D151" s="1674">
        <f t="shared" ref="D151:K151" si="16">SUM(D129,D130,D139,D149,D150)</f>
        <v>127978</v>
      </c>
      <c r="E151" s="1674">
        <f t="shared" si="16"/>
        <v>151367</v>
      </c>
      <c r="F151" s="1674">
        <f t="shared" si="16"/>
        <v>374080</v>
      </c>
      <c r="G151" s="1674">
        <f t="shared" si="16"/>
        <v>0</v>
      </c>
      <c r="H151" s="1674">
        <f t="shared" si="16"/>
        <v>195</v>
      </c>
      <c r="I151" s="1674">
        <f t="shared" si="16"/>
        <v>0</v>
      </c>
      <c r="J151" s="1674">
        <f t="shared" si="16"/>
        <v>0</v>
      </c>
      <c r="K151" s="1674">
        <f t="shared" si="16"/>
        <v>1180799</v>
      </c>
      <c r="L151" s="1674">
        <f>SUM(L129,L130,L139,L149,L150)</f>
        <v>1183056</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-18318</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1815</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1817</v>
      </c>
      <c r="C158" s="1673"/>
      <c r="D158" s="1673"/>
      <c r="E158" s="1673"/>
      <c r="F158" s="1673"/>
      <c r="G158" s="1673"/>
      <c r="H158" s="1574"/>
      <c r="I158" s="1673"/>
      <c r="J158" s="1673"/>
      <c r="K158" s="1672">
        <f>H158</f>
        <v>0</v>
      </c>
      <c r="L158" s="1574"/>
      <c r="M158" s="505"/>
      <c r="N158" s="505"/>
    </row>
    <row r="159" spans="1:14" s="506" customFormat="1" ht="12" x14ac:dyDescent="0.2">
      <c r="A159" s="1462" t="s">
        <v>1818</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1819</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60564</v>
      </c>
      <c r="I169" s="1673"/>
      <c r="J169" s="1673"/>
      <c r="K169" s="1672">
        <f>SUM(C169:H169)</f>
        <v>60564</v>
      </c>
      <c r="L169" s="1695">
        <v>67031</v>
      </c>
    </row>
    <row r="170" spans="1:14" ht="33.75" customHeight="1" x14ac:dyDescent="0.2">
      <c r="A170" s="543" t="s">
        <v>1651</v>
      </c>
      <c r="B170" s="545" t="s">
        <v>31</v>
      </c>
      <c r="C170" s="1673"/>
      <c r="D170" s="1673"/>
      <c r="E170" s="1673"/>
      <c r="F170" s="1673"/>
      <c r="G170" s="1673"/>
      <c r="H170" s="1646">
        <v>613800</v>
      </c>
      <c r="I170" s="1673"/>
      <c r="J170" s="1673"/>
      <c r="K170" s="1672">
        <f>SUM(C170:J170)</f>
        <v>613800</v>
      </c>
      <c r="L170" s="1646">
        <v>613800</v>
      </c>
    </row>
    <row r="171" spans="1:14" ht="15.75" customHeight="1" x14ac:dyDescent="0.2">
      <c r="A171" s="507" t="s">
        <v>761</v>
      </c>
      <c r="B171" s="546" t="s">
        <v>84</v>
      </c>
      <c r="C171" s="1673"/>
      <c r="D171" s="1673"/>
      <c r="E171" s="1573">
        <v>1153</v>
      </c>
      <c r="F171" s="1673"/>
      <c r="G171" s="1673"/>
      <c r="H171" s="1646">
        <v>19841</v>
      </c>
      <c r="I171" s="1582"/>
      <c r="J171" s="1673"/>
      <c r="K171" s="1672">
        <f>SUM(C171:J171)</f>
        <v>20994</v>
      </c>
      <c r="L171" s="1646">
        <v>15418</v>
      </c>
    </row>
    <row r="172" spans="1:14" ht="12.75" customHeight="1" thickBot="1" x14ac:dyDescent="0.25">
      <c r="A172" s="1380" t="s">
        <v>633</v>
      </c>
      <c r="B172" s="1381" t="s">
        <v>489</v>
      </c>
      <c r="C172" s="1673"/>
      <c r="D172" s="1673"/>
      <c r="E172" s="1681">
        <f>SUM(E168,E169,E170,E171)</f>
        <v>1153</v>
      </c>
      <c r="F172" s="1673"/>
      <c r="G172" s="1673"/>
      <c r="H172" s="1681">
        <f>SUM(H168,H169,H170,H171)</f>
        <v>694205</v>
      </c>
      <c r="I172" s="1684"/>
      <c r="J172" s="1673"/>
      <c r="K172" s="1681">
        <f>SUM(K168,K169,K170,K171)</f>
        <v>695358</v>
      </c>
      <c r="L172" s="1681">
        <f>SUM(L168,L169,L170,L171)</f>
        <v>696249</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1153</v>
      </c>
      <c r="F174" s="1673"/>
      <c r="G174" s="1673"/>
      <c r="H174" s="1681">
        <f>SUM(H160,H172,H173)</f>
        <v>694205</v>
      </c>
      <c r="I174" s="1684"/>
      <c r="J174" s="1673"/>
      <c r="K174" s="1681">
        <f>SUM(K160,K172,K173)</f>
        <v>695358</v>
      </c>
      <c r="L174" s="1681">
        <f>SUM(L160,L172,L173)</f>
        <v>696249</v>
      </c>
    </row>
    <row r="175" spans="1:14" ht="13.5" thickTop="1" x14ac:dyDescent="0.2">
      <c r="A175" s="2261" t="s">
        <v>989</v>
      </c>
      <c r="B175" s="2262"/>
      <c r="C175" s="1673"/>
      <c r="D175" s="1673"/>
      <c r="E175" s="1673"/>
      <c r="F175" s="1673"/>
      <c r="G175" s="1673"/>
      <c r="H175" s="1675"/>
      <c r="I175" s="1673"/>
      <c r="J175" s="1673"/>
      <c r="K175" s="1689">
        <f>'Revenues 9-14'!E268-'Expenditures 15-22'!K174</f>
        <v>5345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711</v>
      </c>
      <c r="C180" s="1573">
        <v>63569</v>
      </c>
      <c r="D180" s="1573">
        <v>20089</v>
      </c>
      <c r="E180" s="1573"/>
      <c r="F180" s="1573"/>
      <c r="G180" s="1573"/>
      <c r="H180" s="1573"/>
      <c r="I180" s="1574"/>
      <c r="J180" s="1574"/>
      <c r="K180" s="1672">
        <f>SUM(C180:J180)</f>
        <v>83658</v>
      </c>
      <c r="L180" s="1573">
        <v>87103</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289290</v>
      </c>
      <c r="D182" s="1573">
        <v>61520</v>
      </c>
      <c r="E182" s="1573">
        <v>7675</v>
      </c>
      <c r="F182" s="1573">
        <v>87536</v>
      </c>
      <c r="G182" s="1573">
        <v>118439</v>
      </c>
      <c r="H182" s="1573"/>
      <c r="I182" s="1574"/>
      <c r="J182" s="1574"/>
      <c r="K182" s="1672">
        <f>SUM(C182:J182)</f>
        <v>564460</v>
      </c>
      <c r="L182" s="1573">
        <v>575211</v>
      </c>
    </row>
    <row r="183" spans="1:14" ht="12.75" customHeight="1" thickBot="1" x14ac:dyDescent="0.25">
      <c r="A183" s="1279" t="s">
        <v>973</v>
      </c>
      <c r="B183" s="551">
        <v>2900</v>
      </c>
      <c r="C183" s="1649">
        <v>59308</v>
      </c>
      <c r="D183" s="1649">
        <v>17303</v>
      </c>
      <c r="E183" s="1649">
        <v>19500</v>
      </c>
      <c r="F183" s="1649">
        <v>-710</v>
      </c>
      <c r="G183" s="1649"/>
      <c r="H183" s="1649"/>
      <c r="I183" s="1628"/>
      <c r="J183" s="1628"/>
      <c r="K183" s="1681">
        <f>SUM(C183:J183)</f>
        <v>95401</v>
      </c>
      <c r="L183" s="1649">
        <v>79103</v>
      </c>
    </row>
    <row r="184" spans="1:14" ht="12.75" customHeight="1" thickTop="1" thickBot="1" x14ac:dyDescent="0.25">
      <c r="A184" s="1393" t="s">
        <v>806</v>
      </c>
      <c r="B184" s="1381" t="s">
        <v>565</v>
      </c>
      <c r="C184" s="1681">
        <f>SUM(C180,C182,C183)</f>
        <v>412167</v>
      </c>
      <c r="D184" s="1681">
        <f t="shared" ref="D184:J184" si="17">SUM(D180,D182,D183)</f>
        <v>98912</v>
      </c>
      <c r="E184" s="1681">
        <f t="shared" si="17"/>
        <v>27175</v>
      </c>
      <c r="F184" s="1681">
        <f t="shared" si="17"/>
        <v>86826</v>
      </c>
      <c r="G184" s="1681">
        <f t="shared" si="17"/>
        <v>118439</v>
      </c>
      <c r="H184" s="1681">
        <f t="shared" si="17"/>
        <v>0</v>
      </c>
      <c r="I184" s="1681">
        <f t="shared" si="17"/>
        <v>0</v>
      </c>
      <c r="J184" s="1681">
        <f t="shared" si="17"/>
        <v>0</v>
      </c>
      <c r="K184" s="1681">
        <f>SUM(K180,K182,K183)</f>
        <v>743519</v>
      </c>
      <c r="L184" s="1681">
        <f>SUM(L180, L182:L183)</f>
        <v>741417</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412167</v>
      </c>
      <c r="D210" s="1674">
        <f>SUM(D184,D185)</f>
        <v>98912</v>
      </c>
      <c r="E210" s="1674">
        <f>SUM(E184,E185,E196)</f>
        <v>27175</v>
      </c>
      <c r="F210" s="1674">
        <f>SUM(F184,F185)</f>
        <v>86826</v>
      </c>
      <c r="G210" s="1674">
        <f>SUM(G184,G185)</f>
        <v>118439</v>
      </c>
      <c r="H210" s="1674">
        <f>SUM(H184,H185,H196,H208,H209)</f>
        <v>0</v>
      </c>
      <c r="I210" s="1674">
        <f>SUM(I184,I185)</f>
        <v>0</v>
      </c>
      <c r="J210" s="1674">
        <f>SUM(J184,J185)</f>
        <v>0</v>
      </c>
      <c r="K210" s="1672">
        <f>SUM(K184,K185,K196,K208,K209)</f>
        <v>743519</v>
      </c>
      <c r="L210" s="1674">
        <f>SUM(L184,L185,L196,L208,L209)</f>
        <v>741417</v>
      </c>
    </row>
    <row r="211" spans="1:14" ht="13.5" thickTop="1" x14ac:dyDescent="0.2">
      <c r="A211" s="2261" t="s">
        <v>989</v>
      </c>
      <c r="B211" s="2262"/>
      <c r="C211" s="1675"/>
      <c r="D211" s="1675"/>
      <c r="E211" s="1675"/>
      <c r="F211" s="1675"/>
      <c r="G211" s="1675"/>
      <c r="H211" s="1675"/>
      <c r="I211" s="1673"/>
      <c r="J211" s="1673"/>
      <c r="K211" s="1689">
        <f>'Revenues 9-14'!F268-'Expenditures 15-22'!K210</f>
        <v>144194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131223</v>
      </c>
      <c r="E215" s="1673"/>
      <c r="F215" s="1673"/>
      <c r="G215" s="1673"/>
      <c r="H215" s="1673"/>
      <c r="I215" s="1673"/>
      <c r="J215" s="1673"/>
      <c r="K215" s="1672">
        <f>D215</f>
        <v>131223</v>
      </c>
      <c r="L215" s="1573">
        <v>121639</v>
      </c>
    </row>
    <row r="216" spans="1:14" x14ac:dyDescent="0.2">
      <c r="A216" s="1274" t="s">
        <v>162</v>
      </c>
      <c r="B216" s="503" t="s">
        <v>961</v>
      </c>
      <c r="C216" s="1673"/>
      <c r="D216" s="1574">
        <v>9684</v>
      </c>
      <c r="E216" s="1673"/>
      <c r="F216" s="1673"/>
      <c r="G216" s="1673"/>
      <c r="H216" s="1673"/>
      <c r="I216" s="1673"/>
      <c r="J216" s="1673"/>
      <c r="K216" s="1672">
        <f t="shared" ref="K216:K228" si="19">D216</f>
        <v>9684</v>
      </c>
      <c r="L216" s="1573">
        <v>9758</v>
      </c>
    </row>
    <row r="217" spans="1:14" x14ac:dyDescent="0.2">
      <c r="A217" s="1274" t="s">
        <v>163</v>
      </c>
      <c r="B217" s="503">
        <v>1200</v>
      </c>
      <c r="C217" s="1673"/>
      <c r="D217" s="1573">
        <v>70440</v>
      </c>
      <c r="E217" s="1673"/>
      <c r="F217" s="1673"/>
      <c r="G217" s="1673"/>
      <c r="H217" s="1673"/>
      <c r="I217" s="1673"/>
      <c r="J217" s="1673"/>
      <c r="K217" s="1672">
        <f t="shared" si="19"/>
        <v>70440</v>
      </c>
      <c r="L217" s="1573">
        <v>94500</v>
      </c>
    </row>
    <row r="218" spans="1:14" x14ac:dyDescent="0.2">
      <c r="A218" s="1274" t="s">
        <v>276</v>
      </c>
      <c r="B218" s="503" t="s">
        <v>962</v>
      </c>
      <c r="C218" s="1673"/>
      <c r="D218" s="1574">
        <v>1206</v>
      </c>
      <c r="E218" s="1673"/>
      <c r="F218" s="1673"/>
      <c r="G218" s="1673"/>
      <c r="H218" s="1673"/>
      <c r="I218" s="1673"/>
      <c r="J218" s="1673"/>
      <c r="K218" s="1672">
        <f t="shared" si="19"/>
        <v>1206</v>
      </c>
      <c r="L218" s="1573">
        <v>720</v>
      </c>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4243</v>
      </c>
      <c r="E222" s="1673"/>
      <c r="F222" s="1673"/>
      <c r="G222" s="1673"/>
      <c r="H222" s="1673"/>
      <c r="I222" s="1673"/>
      <c r="J222" s="1673"/>
      <c r="K222" s="1672">
        <f t="shared" si="19"/>
        <v>4243</v>
      </c>
      <c r="L222" s="1573">
        <v>5190</v>
      </c>
    </row>
    <row r="223" spans="1:14" x14ac:dyDescent="0.2">
      <c r="A223" s="1274" t="s">
        <v>957</v>
      </c>
      <c r="B223" s="503">
        <v>1500</v>
      </c>
      <c r="C223" s="1673"/>
      <c r="D223" s="1573">
        <v>10638</v>
      </c>
      <c r="E223" s="1673"/>
      <c r="F223" s="1673"/>
      <c r="G223" s="1673"/>
      <c r="H223" s="1673"/>
      <c r="I223" s="1673"/>
      <c r="J223" s="1673"/>
      <c r="K223" s="1672">
        <f t="shared" si="19"/>
        <v>10638</v>
      </c>
      <c r="L223" s="1573">
        <v>11823</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227434</v>
      </c>
      <c r="E229" s="1673"/>
      <c r="F229" s="1673"/>
      <c r="G229" s="1673"/>
      <c r="H229" s="1673"/>
      <c r="I229" s="1673"/>
      <c r="J229" s="1673"/>
      <c r="K229" s="1674">
        <f>SUM(K215:K228)</f>
        <v>227434</v>
      </c>
      <c r="L229" s="1674">
        <f>SUM(L215:L228)</f>
        <v>243630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15728</v>
      </c>
      <c r="E233" s="1673"/>
      <c r="F233" s="1673"/>
      <c r="G233" s="1673"/>
      <c r="H233" s="1673"/>
      <c r="I233" s="1673"/>
      <c r="J233" s="1673"/>
      <c r="K233" s="1672">
        <f t="shared" si="20"/>
        <v>15728</v>
      </c>
      <c r="L233" s="1573">
        <v>13210</v>
      </c>
    </row>
    <row r="234" spans="1:12" x14ac:dyDescent="0.2">
      <c r="A234" s="1274" t="s">
        <v>196</v>
      </c>
      <c r="B234" s="503">
        <v>2130</v>
      </c>
      <c r="C234" s="1673"/>
      <c r="D234" s="1573">
        <v>9862</v>
      </c>
      <c r="E234" s="1673"/>
      <c r="F234" s="1673"/>
      <c r="G234" s="1673"/>
      <c r="H234" s="1673"/>
      <c r="I234" s="1673"/>
      <c r="J234" s="1673"/>
      <c r="K234" s="1672">
        <f t="shared" si="20"/>
        <v>9862</v>
      </c>
      <c r="L234" s="1573">
        <v>13156</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2480</v>
      </c>
      <c r="E236" s="1673"/>
      <c r="F236" s="1673"/>
      <c r="G236" s="1673"/>
      <c r="H236" s="1673"/>
      <c r="I236" s="1673"/>
      <c r="J236" s="1673"/>
      <c r="K236" s="1672">
        <f t="shared" si="20"/>
        <v>2480</v>
      </c>
      <c r="L236" s="1573">
        <v>2335</v>
      </c>
    </row>
    <row r="237" spans="1:12" x14ac:dyDescent="0.2">
      <c r="A237" s="1274" t="s">
        <v>164</v>
      </c>
      <c r="B237" s="503">
        <v>2190</v>
      </c>
      <c r="C237" s="1673"/>
      <c r="D237" s="1573">
        <v>12036</v>
      </c>
      <c r="E237" s="1673"/>
      <c r="F237" s="1673"/>
      <c r="G237" s="1673"/>
      <c r="H237" s="1673"/>
      <c r="I237" s="1673"/>
      <c r="J237" s="1673"/>
      <c r="K237" s="1672">
        <f t="shared" si="20"/>
        <v>12036</v>
      </c>
      <c r="L237" s="1573">
        <v>12060</v>
      </c>
    </row>
    <row r="238" spans="1:12" ht="12.75" customHeight="1" thickBot="1" x14ac:dyDescent="0.25">
      <c r="A238" s="1380" t="s">
        <v>556</v>
      </c>
      <c r="B238" s="1383" t="s">
        <v>711</v>
      </c>
      <c r="C238" s="1673"/>
      <c r="D238" s="1674">
        <f>SUM(D232:D237)</f>
        <v>40106</v>
      </c>
      <c r="E238" s="1673"/>
      <c r="F238" s="1673"/>
      <c r="G238" s="1673"/>
      <c r="H238" s="1673"/>
      <c r="I238" s="1673"/>
      <c r="J238" s="1673"/>
      <c r="K238" s="1674">
        <f>SUM(K232:K237)</f>
        <v>40106</v>
      </c>
      <c r="L238" s="1674">
        <f>SUM(L232:L237)</f>
        <v>40761</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721</v>
      </c>
      <c r="E240" s="1673"/>
      <c r="F240" s="1673"/>
      <c r="G240" s="1673"/>
      <c r="H240" s="1673"/>
      <c r="I240" s="1673"/>
      <c r="J240" s="1673"/>
      <c r="K240" s="1678">
        <f>D240</f>
        <v>721</v>
      </c>
      <c r="L240" s="1586">
        <v>51</v>
      </c>
    </row>
    <row r="241" spans="1:12" x14ac:dyDescent="0.2">
      <c r="A241" s="1274" t="s">
        <v>810</v>
      </c>
      <c r="B241" s="503">
        <v>2220</v>
      </c>
      <c r="C241" s="1673"/>
      <c r="D241" s="1573">
        <v>19246</v>
      </c>
      <c r="E241" s="1673"/>
      <c r="F241" s="1673"/>
      <c r="G241" s="1673"/>
      <c r="H241" s="1673"/>
      <c r="I241" s="1673"/>
      <c r="J241" s="1673"/>
      <c r="K241" s="1678">
        <f>D241</f>
        <v>19246</v>
      </c>
      <c r="L241" s="1573">
        <v>17030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19967</v>
      </c>
      <c r="E243" s="1673"/>
      <c r="F243" s="1673"/>
      <c r="G243" s="1673"/>
      <c r="H243" s="1673"/>
      <c r="I243" s="1673"/>
      <c r="J243" s="1673"/>
      <c r="K243" s="1674">
        <f>SUM(K240:K242)</f>
        <v>19967</v>
      </c>
      <c r="L243" s="1674">
        <f>SUM(L240:L242)</f>
        <v>17081</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342</v>
      </c>
      <c r="E245" s="1673"/>
      <c r="F245" s="1673"/>
      <c r="G245" s="1673"/>
      <c r="H245" s="1673"/>
      <c r="I245" s="1673"/>
      <c r="J245" s="1673"/>
      <c r="K245" s="1678">
        <f>D245</f>
        <v>342</v>
      </c>
      <c r="L245" s="1586">
        <v>0</v>
      </c>
    </row>
    <row r="246" spans="1:12" x14ac:dyDescent="0.2">
      <c r="A246" s="1274" t="s">
        <v>813</v>
      </c>
      <c r="B246" s="503">
        <v>2320</v>
      </c>
      <c r="C246" s="1673"/>
      <c r="D246" s="1573">
        <v>32478</v>
      </c>
      <c r="E246" s="1673"/>
      <c r="F246" s="1673"/>
      <c r="G246" s="1673"/>
      <c r="H246" s="1673"/>
      <c r="I246" s="1673"/>
      <c r="J246" s="1673"/>
      <c r="K246" s="1678">
        <f t="shared" ref="K246:K256" si="21">D246</f>
        <v>32478</v>
      </c>
      <c r="L246" s="1573">
        <v>30009</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1781</v>
      </c>
      <c r="B249" s="557" t="s">
        <v>280</v>
      </c>
      <c r="C249" s="1673"/>
      <c r="D249" s="1579"/>
      <c r="E249" s="1673"/>
      <c r="F249" s="1673"/>
      <c r="G249" s="1673"/>
      <c r="H249" s="1673"/>
      <c r="I249" s="1673"/>
      <c r="J249" s="1673"/>
      <c r="K249" s="1678">
        <f t="shared" si="21"/>
        <v>0</v>
      </c>
      <c r="L249" s="1573"/>
    </row>
    <row r="250" spans="1:12" x14ac:dyDescent="0.2">
      <c r="A250" s="1275" t="s">
        <v>1782</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v>2804</v>
      </c>
      <c r="E252" s="1673"/>
      <c r="F252" s="1673"/>
      <c r="G252" s="1673"/>
      <c r="H252" s="1673"/>
      <c r="I252" s="1673"/>
      <c r="J252" s="1673"/>
      <c r="K252" s="1678">
        <f t="shared" si="21"/>
        <v>2804</v>
      </c>
      <c r="L252" s="1573">
        <v>3400</v>
      </c>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35624</v>
      </c>
      <c r="E257" s="1673"/>
      <c r="F257" s="1673"/>
      <c r="G257" s="1673"/>
      <c r="H257" s="1673"/>
      <c r="I257" s="1673"/>
      <c r="J257" s="1673"/>
      <c r="K257" s="1674">
        <f>SUM(K245:K256)</f>
        <v>35624</v>
      </c>
      <c r="L257" s="1674">
        <f>SUM(L245:L256)</f>
        <v>33409</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27098</v>
      </c>
      <c r="E259" s="1673"/>
      <c r="F259" s="1673"/>
      <c r="G259" s="1673"/>
      <c r="H259" s="1673"/>
      <c r="I259" s="1673"/>
      <c r="J259" s="1673"/>
      <c r="K259" s="1678">
        <f>D259</f>
        <v>27098</v>
      </c>
      <c r="L259" s="1586">
        <v>20465</v>
      </c>
    </row>
    <row r="260" spans="1:14" s="493" customFormat="1" x14ac:dyDescent="0.2">
      <c r="A260" s="1292" t="s">
        <v>1780</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27098</v>
      </c>
      <c r="E261" s="1673"/>
      <c r="F261" s="1673"/>
      <c r="G261" s="1673"/>
      <c r="H261" s="1673"/>
      <c r="I261" s="1673"/>
      <c r="J261" s="1673"/>
      <c r="K261" s="1674">
        <f>SUM(K259:K260)</f>
        <v>27098</v>
      </c>
      <c r="L261" s="1674">
        <f>SUM(L259:L260)</f>
        <v>20465</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96764</v>
      </c>
      <c r="E266" s="1673"/>
      <c r="F266" s="1673"/>
      <c r="G266" s="1673"/>
      <c r="H266" s="1673"/>
      <c r="I266" s="1673"/>
      <c r="J266" s="1673"/>
      <c r="K266" s="1678">
        <f t="shared" si="22"/>
        <v>96764</v>
      </c>
      <c r="L266" s="1573">
        <v>115170</v>
      </c>
    </row>
    <row r="267" spans="1:14" x14ac:dyDescent="0.2">
      <c r="A267" s="1274" t="s">
        <v>947</v>
      </c>
      <c r="B267" s="503">
        <v>2550</v>
      </c>
      <c r="C267" s="1673"/>
      <c r="D267" s="1573">
        <v>52920</v>
      </c>
      <c r="E267" s="1673"/>
      <c r="F267" s="1673"/>
      <c r="G267" s="1673"/>
      <c r="H267" s="1673"/>
      <c r="I267" s="1673"/>
      <c r="J267" s="1673"/>
      <c r="K267" s="1678">
        <f t="shared" si="22"/>
        <v>52920</v>
      </c>
      <c r="L267" s="1573">
        <v>64280</v>
      </c>
    </row>
    <row r="268" spans="1:14" x14ac:dyDescent="0.2">
      <c r="A268" s="1274" t="s">
        <v>100</v>
      </c>
      <c r="B268" s="503">
        <v>2560</v>
      </c>
      <c r="C268" s="1673"/>
      <c r="D268" s="1573">
        <v>27216</v>
      </c>
      <c r="E268" s="1673"/>
      <c r="F268" s="1673"/>
      <c r="G268" s="1673"/>
      <c r="H268" s="1673"/>
      <c r="I268" s="1673"/>
      <c r="J268" s="1673"/>
      <c r="K268" s="1678">
        <f t="shared" si="22"/>
        <v>27216</v>
      </c>
      <c r="L268" s="1573">
        <v>24916</v>
      </c>
    </row>
    <row r="269" spans="1:14" x14ac:dyDescent="0.2">
      <c r="A269" s="1274" t="s">
        <v>101</v>
      </c>
      <c r="B269" s="503">
        <v>2570</v>
      </c>
      <c r="C269" s="1673"/>
      <c r="D269" s="1573">
        <v>8289</v>
      </c>
      <c r="E269" s="1673"/>
      <c r="F269" s="1673"/>
      <c r="G269" s="1673"/>
      <c r="H269" s="1673"/>
      <c r="I269" s="1673"/>
      <c r="J269" s="1673"/>
      <c r="K269" s="1678">
        <f t="shared" si="22"/>
        <v>8289</v>
      </c>
      <c r="L269" s="1573">
        <v>0</v>
      </c>
    </row>
    <row r="270" spans="1:14" ht="12.75" customHeight="1" thickBot="1" x14ac:dyDescent="0.25">
      <c r="A270" s="1380" t="s">
        <v>714</v>
      </c>
      <c r="B270" s="1383" t="s">
        <v>35</v>
      </c>
      <c r="C270" s="1673"/>
      <c r="D270" s="1674">
        <f>SUM(D263:D269)</f>
        <v>185189</v>
      </c>
      <c r="E270" s="1673"/>
      <c r="F270" s="1673"/>
      <c r="G270" s="1673"/>
      <c r="H270" s="1673"/>
      <c r="I270" s="1673"/>
      <c r="J270" s="1673"/>
      <c r="K270" s="1674">
        <f>SUM(K263:K269)</f>
        <v>185189</v>
      </c>
      <c r="L270" s="1674">
        <f>SUM(L263:L269)</f>
        <v>204366</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v>8800</v>
      </c>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8800</v>
      </c>
    </row>
    <row r="278" spans="1:12" ht="13.5" customHeight="1" thickTop="1" x14ac:dyDescent="0.2">
      <c r="A278" s="1280" t="s">
        <v>973</v>
      </c>
      <c r="B278" s="531" t="s">
        <v>570</v>
      </c>
      <c r="C278" s="1673"/>
      <c r="D278" s="1695">
        <v>3563</v>
      </c>
      <c r="E278" s="1673"/>
      <c r="F278" s="1673"/>
      <c r="G278" s="1673"/>
      <c r="H278" s="1673"/>
      <c r="I278" s="1673"/>
      <c r="J278" s="1673"/>
      <c r="K278" s="1696">
        <f>D278</f>
        <v>3563</v>
      </c>
      <c r="L278" s="1695"/>
    </row>
    <row r="279" spans="1:12" ht="12.75" customHeight="1" thickBot="1" x14ac:dyDescent="0.25">
      <c r="A279" s="1400" t="s">
        <v>806</v>
      </c>
      <c r="B279" s="1387">
        <v>2000</v>
      </c>
      <c r="C279" s="1673"/>
      <c r="D279" s="1681">
        <f>SUM(D238,D243,D257,D261,D270,D277,D278)</f>
        <v>311547</v>
      </c>
      <c r="E279" s="1673"/>
      <c r="F279" s="1673"/>
      <c r="G279" s="1673"/>
      <c r="H279" s="1673"/>
      <c r="I279" s="1673"/>
      <c r="J279" s="1673"/>
      <c r="K279" s="1681">
        <f>SUM(K238,K243,K257,K261,K270,K277,K278)</f>
        <v>311547</v>
      </c>
      <c r="L279" s="1681">
        <f>SUM(L238,L243,L257,L261,L270,L277,L278)</f>
        <v>324882</v>
      </c>
    </row>
    <row r="280" spans="1:12" ht="15.75" customHeight="1" thickTop="1" thickBot="1" x14ac:dyDescent="0.25">
      <c r="A280" s="1362" t="s">
        <v>870</v>
      </c>
      <c r="B280" s="1351">
        <v>3000</v>
      </c>
      <c r="C280" s="1673"/>
      <c r="D280" s="1651">
        <v>29298</v>
      </c>
      <c r="E280" s="1673"/>
      <c r="F280" s="1673"/>
      <c r="G280" s="1673"/>
      <c r="H280" s="1673"/>
      <c r="I280" s="1673"/>
      <c r="J280" s="1673"/>
      <c r="K280" s="1687">
        <f>D280</f>
        <v>29298</v>
      </c>
      <c r="L280" s="1651">
        <v>33208</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1815</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568279</v>
      </c>
      <c r="E295" s="1673"/>
      <c r="F295" s="1673"/>
      <c r="G295" s="1673"/>
      <c r="H295" s="1674">
        <f>H293</f>
        <v>0</v>
      </c>
      <c r="I295" s="1673"/>
      <c r="J295" s="1673"/>
      <c r="K295" s="1674">
        <f>SUM(K229,K279,K280,K285,K293,K294)</f>
        <v>568279</v>
      </c>
      <c r="L295" s="1674">
        <f>SUM(L229,L279,L280,L285,L293,L294)</f>
        <v>601720</v>
      </c>
    </row>
    <row r="296" spans="1:14" ht="13.5" thickTop="1" x14ac:dyDescent="0.2">
      <c r="A296" s="2261" t="s">
        <v>989</v>
      </c>
      <c r="B296" s="2262"/>
      <c r="C296" s="1673"/>
      <c r="D296" s="1675"/>
      <c r="E296" s="1673"/>
      <c r="F296" s="1673"/>
      <c r="G296" s="1673"/>
      <c r="H296" s="1707"/>
      <c r="I296" s="1673"/>
      <c r="J296" s="1673"/>
      <c r="K296" s="1689">
        <f>'Revenues 9-14'!G268-'Expenditures 15-22'!K295</f>
        <v>74410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374587</v>
      </c>
      <c r="H301" s="1573"/>
      <c r="I301" s="1574"/>
      <c r="J301" s="1574"/>
      <c r="K301" s="1672">
        <f>SUM(C301:J301)</f>
        <v>374587</v>
      </c>
      <c r="L301" s="1574">
        <v>500000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374587</v>
      </c>
      <c r="H303" s="1681">
        <f t="shared" si="23"/>
        <v>0</v>
      </c>
      <c r="I303" s="1681">
        <f t="shared" si="23"/>
        <v>0</v>
      </c>
      <c r="J303" s="1681">
        <f t="shared" si="23"/>
        <v>0</v>
      </c>
      <c r="K303" s="1681">
        <f t="shared" si="23"/>
        <v>374587</v>
      </c>
      <c r="L303" s="1681">
        <f t="shared" si="23"/>
        <v>500000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374587</v>
      </c>
      <c r="H312" s="1674">
        <f>SUM(H303,H310)</f>
        <v>0</v>
      </c>
      <c r="I312" s="1674">
        <f>SUM(I303)</f>
        <v>0</v>
      </c>
      <c r="J312" s="1674">
        <f>SUM(J303)</f>
        <v>0</v>
      </c>
      <c r="K312" s="1674">
        <f>SUM(K303,K310,K311)</f>
        <v>374587</v>
      </c>
      <c r="L312" s="1674">
        <f>SUM(L303,L310,L311)</f>
        <v>500000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302370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1781</v>
      </c>
      <c r="B320" s="568" t="s">
        <v>280</v>
      </c>
      <c r="C320" s="1574"/>
      <c r="D320" s="1574"/>
      <c r="E320" s="1574">
        <v>68939</v>
      </c>
      <c r="F320" s="1574"/>
      <c r="G320" s="1574"/>
      <c r="H320" s="1574"/>
      <c r="I320" s="1574"/>
      <c r="J320" s="1574"/>
      <c r="K320" s="1672">
        <f t="shared" ref="K320:K327" si="24">SUM(C320:J320)</f>
        <v>68939</v>
      </c>
      <c r="L320" s="1574">
        <v>79169</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9214</v>
      </c>
      <c r="F322" s="1574"/>
      <c r="G322" s="1574"/>
      <c r="H322" s="1574"/>
      <c r="I322" s="1574"/>
      <c r="J322" s="1574"/>
      <c r="K322" s="1672">
        <f t="shared" si="24"/>
        <v>9214</v>
      </c>
      <c r="L322" s="1574">
        <v>24741</v>
      </c>
      <c r="M322" s="539"/>
      <c r="N322" s="539"/>
    </row>
    <row r="323" spans="1:14" s="548" customFormat="1" x14ac:dyDescent="0.2">
      <c r="A323" s="1289" t="s">
        <v>697</v>
      </c>
      <c r="B323" s="567" t="s">
        <v>283</v>
      </c>
      <c r="C323" s="1574">
        <v>67795</v>
      </c>
      <c r="D323" s="1574">
        <v>15753</v>
      </c>
      <c r="E323" s="1574">
        <v>7620</v>
      </c>
      <c r="F323" s="1574"/>
      <c r="G323" s="1574"/>
      <c r="H323" s="1574"/>
      <c r="I323" s="1574"/>
      <c r="J323" s="1574"/>
      <c r="K323" s="1672">
        <f t="shared" si="24"/>
        <v>91168</v>
      </c>
      <c r="L323" s="1574">
        <v>85815</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4010</v>
      </c>
      <c r="F327" s="1574"/>
      <c r="G327" s="1574"/>
      <c r="H327" s="1574"/>
      <c r="I327" s="1574"/>
      <c r="J327" s="1574"/>
      <c r="K327" s="1672">
        <f t="shared" si="24"/>
        <v>4010</v>
      </c>
      <c r="L327" s="1574">
        <v>16200</v>
      </c>
      <c r="M327" s="539"/>
      <c r="N327" s="539"/>
    </row>
    <row r="328" spans="1:14" s="548" customFormat="1" x14ac:dyDescent="0.2">
      <c r="A328" s="1290" t="s">
        <v>469</v>
      </c>
      <c r="B328" s="562" t="s">
        <v>1122</v>
      </c>
      <c r="C328" s="1579"/>
      <c r="D328" s="1579"/>
      <c r="E328" s="1579">
        <v>151910</v>
      </c>
      <c r="F328" s="1579"/>
      <c r="G328" s="1579"/>
      <c r="H328" s="1579"/>
      <c r="I328" s="1579"/>
      <c r="J328" s="1579"/>
      <c r="K328" s="1713">
        <f>SUM(C328:J328)</f>
        <v>151910</v>
      </c>
      <c r="L328" s="1579">
        <v>152232</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67795</v>
      </c>
      <c r="D330" s="1674">
        <f t="shared" ref="D330:J330" si="25">SUM(D319:D329)</f>
        <v>15753</v>
      </c>
      <c r="E330" s="1674">
        <f t="shared" si="25"/>
        <v>241693</v>
      </c>
      <c r="F330" s="1674">
        <f t="shared" si="25"/>
        <v>0</v>
      </c>
      <c r="G330" s="1674">
        <f t="shared" si="25"/>
        <v>0</v>
      </c>
      <c r="H330" s="1674">
        <f t="shared" si="25"/>
        <v>0</v>
      </c>
      <c r="I330" s="1674">
        <f t="shared" si="25"/>
        <v>0</v>
      </c>
      <c r="J330" s="1674">
        <f t="shared" si="25"/>
        <v>0</v>
      </c>
      <c r="K330" s="1674">
        <f>SUM(K319:K329)</f>
        <v>325241</v>
      </c>
      <c r="L330" s="1674">
        <f>SUM(L319:L329)</f>
        <v>358157</v>
      </c>
      <c r="M330" s="539"/>
      <c r="N330" s="539"/>
    </row>
    <row r="331" spans="1:14" s="548" customFormat="1" ht="12.75" customHeight="1" thickTop="1" x14ac:dyDescent="0.2">
      <c r="A331" s="1467" t="s">
        <v>1821</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1815</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1817</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1822</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67795</v>
      </c>
      <c r="D342" s="1674">
        <f>SUM(D330)</f>
        <v>15753</v>
      </c>
      <c r="E342" s="1674">
        <f>SUM(E330)</f>
        <v>241693</v>
      </c>
      <c r="F342" s="1674">
        <f>SUM(F330)</f>
        <v>0</v>
      </c>
      <c r="G342" s="1674">
        <f>SUM(G330)</f>
        <v>0</v>
      </c>
      <c r="H342" s="1674">
        <f>SUM(H330,H334,H340)</f>
        <v>0</v>
      </c>
      <c r="I342" s="1674">
        <f>SUM(I330)</f>
        <v>0</v>
      </c>
      <c r="J342" s="1674">
        <f>SUM(J330)</f>
        <v>0</v>
      </c>
      <c r="K342" s="1674">
        <f>SUM(K330,K334,K340)</f>
        <v>325241</v>
      </c>
      <c r="L342" s="1681">
        <f>SUM(L330,L334,L340,L341)</f>
        <v>358157</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125921</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325</v>
      </c>
      <c r="F349" s="1573"/>
      <c r="G349" s="1573"/>
      <c r="H349" s="1573"/>
      <c r="I349" s="1574"/>
      <c r="J349" s="1574"/>
      <c r="K349" s="1672">
        <f>SUM(C349:J349)</f>
        <v>325</v>
      </c>
      <c r="L349" s="1573">
        <v>2053</v>
      </c>
    </row>
    <row r="350" spans="1:14" ht="12.75" customHeight="1" thickBot="1" x14ac:dyDescent="0.25">
      <c r="A350" s="1380" t="s">
        <v>714</v>
      </c>
      <c r="B350" s="1381" t="s">
        <v>35</v>
      </c>
      <c r="C350" s="1674">
        <f>SUM(C348:C349)</f>
        <v>0</v>
      </c>
      <c r="D350" s="1674">
        <f t="shared" ref="D350:L350" si="26">SUM(D348:D349)</f>
        <v>0</v>
      </c>
      <c r="E350" s="1674">
        <f t="shared" si="26"/>
        <v>325</v>
      </c>
      <c r="F350" s="1674">
        <f t="shared" si="26"/>
        <v>0</v>
      </c>
      <c r="G350" s="1674">
        <f t="shared" si="26"/>
        <v>0</v>
      </c>
      <c r="H350" s="1674">
        <f t="shared" si="26"/>
        <v>0</v>
      </c>
      <c r="I350" s="1674">
        <f t="shared" si="26"/>
        <v>0</v>
      </c>
      <c r="J350" s="1674">
        <f t="shared" si="26"/>
        <v>0</v>
      </c>
      <c r="K350" s="1674">
        <f t="shared" si="26"/>
        <v>325</v>
      </c>
      <c r="L350" s="1674">
        <f t="shared" si="26"/>
        <v>2053</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325</v>
      </c>
      <c r="F352" s="1674">
        <f t="shared" si="27"/>
        <v>0</v>
      </c>
      <c r="G352" s="1674">
        <f t="shared" si="27"/>
        <v>0</v>
      </c>
      <c r="H352" s="1674">
        <f t="shared" si="27"/>
        <v>0</v>
      </c>
      <c r="I352" s="1674">
        <f t="shared" si="27"/>
        <v>0</v>
      </c>
      <c r="J352" s="1674">
        <f t="shared" si="27"/>
        <v>0</v>
      </c>
      <c r="K352" s="1674">
        <f t="shared" si="27"/>
        <v>325</v>
      </c>
      <c r="L352" s="1674">
        <f t="shared" si="27"/>
        <v>2053</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c r="I354" s="1716"/>
      <c r="J354" s="1673"/>
      <c r="K354" s="1713">
        <f>H354</f>
        <v>0</v>
      </c>
      <c r="L354" s="1577"/>
    </row>
    <row r="355" spans="1:14" ht="12.75" customHeight="1" x14ac:dyDescent="0.2">
      <c r="A355" s="1283" t="s">
        <v>1824</v>
      </c>
      <c r="B355" s="562" t="s">
        <v>1817</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325</v>
      </c>
      <c r="F367" s="1674">
        <f t="shared" si="28"/>
        <v>0</v>
      </c>
      <c r="G367" s="1674">
        <f t="shared" si="28"/>
        <v>0</v>
      </c>
      <c r="H367" s="1674">
        <f t="shared" si="28"/>
        <v>0</v>
      </c>
      <c r="I367" s="1674">
        <f t="shared" si="28"/>
        <v>0</v>
      </c>
      <c r="J367" s="1674">
        <f t="shared" si="28"/>
        <v>0</v>
      </c>
      <c r="K367" s="1674">
        <f t="shared" si="28"/>
        <v>325</v>
      </c>
      <c r="L367" s="1674">
        <f t="shared" si="28"/>
        <v>2053</v>
      </c>
    </row>
    <row r="368" spans="1:14" ht="13.5" thickTop="1" x14ac:dyDescent="0.2">
      <c r="A368" s="2261" t="s">
        <v>989</v>
      </c>
      <c r="B368" s="2262"/>
      <c r="C368" s="1694"/>
      <c r="D368" s="1694"/>
      <c r="E368" s="1677"/>
      <c r="F368" s="1677"/>
      <c r="G368" s="1677"/>
      <c r="H368" s="1677"/>
      <c r="I368" s="1677"/>
      <c r="J368" s="1676"/>
      <c r="K368" s="1672">
        <f>'Revenues 9-14'!K268-'Expenditures 15-22'!K367</f>
        <v>-306</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d21dc803-237d-4c68-8692-8d731fd29118"/>
    <ds:schemaRef ds:uri="http://www.w3.org/XML/1998/namespace"/>
    <ds:schemaRef ds:uri="6ce3111e-7420-4802-b50a-75d4e9a0b980"/>
    <ds:schemaRef ds:uri="http://purl.org/dc/dcmitype/"/>
    <ds:schemaRef ds:uri="http://schemas.openxmlformats.org/package/2006/metadata/core-properties"/>
    <ds:schemaRef ds:uri="http://schemas.microsoft.com/sharepoint/v3"/>
    <ds:schemaRef ds:uri="http://schemas.microsoft.com/office/infopath/2007/PartnerControls"/>
    <ds:schemaRef ds:uri="4d435f69-8686-490b-bd6d-b153bf22ab50"/>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2020-12-10T15:53:50Z</cp:lastPrinted>
  <dcterms:created xsi:type="dcterms:W3CDTF">2003-10-29T19:06:34Z</dcterms:created>
  <dcterms:modified xsi:type="dcterms:W3CDTF">2020-12-16T02:50:30Z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