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A0663F7-8A28-44B1-B601-B0D5EB845E18}"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H342" i="29" l="1"/>
  <c r="B7696" i="106"/>
  <c r="D7696" i="106" s="1"/>
  <c r="E66" i="184"/>
  <c r="N66" i="184" s="1"/>
  <c r="B7189" i="106"/>
  <c r="D7189" i="106" s="1"/>
  <c r="E64" i="184"/>
  <c r="N64" i="184" s="1"/>
  <c r="B7171" i="106"/>
  <c r="D7171" i="106" s="1"/>
  <c r="E62" i="184"/>
  <c r="N62" i="184" s="1"/>
  <c r="D31" i="108"/>
  <c r="E16" i="184"/>
  <c r="H16" i="184" s="1"/>
  <c r="B7705" i="106"/>
  <c r="D7705" i="106" s="1"/>
  <c r="E67" i="184"/>
  <c r="N67" i="184" s="1"/>
  <c r="B7198" i="106"/>
  <c r="D7198" i="106" s="1"/>
  <c r="E65" i="184"/>
  <c r="N65" i="184" s="1"/>
  <c r="B7162" i="106"/>
  <c r="D7162" i="106" s="1"/>
  <c r="E61" i="184"/>
  <c r="N61" i="184" s="1"/>
  <c r="B7126" i="106"/>
  <c r="D7126" i="106" s="1"/>
  <c r="E57" i="184"/>
  <c r="N57" i="184" s="1"/>
  <c r="G33" i="108"/>
  <c r="E17" i="184"/>
  <c r="H17" i="184" s="1"/>
  <c r="C342" i="29"/>
  <c r="B7216" i="106" s="1"/>
  <c r="D7216" i="106" s="1"/>
  <c r="B7180" i="106"/>
  <c r="D7180" i="106" s="1"/>
  <c r="E63" i="184"/>
  <c r="N63" i="184" s="1"/>
  <c r="B7153" i="106"/>
  <c r="D7153" i="106" s="1"/>
  <c r="E60" i="184"/>
  <c r="N60" i="184" s="1"/>
  <c r="B7135" i="106"/>
  <c r="D7135" i="106" s="1"/>
  <c r="E58" i="184"/>
  <c r="G30" i="108"/>
  <c r="E19" i="184"/>
  <c r="H12" i="184"/>
  <c r="H19" i="184" s="1"/>
  <c r="L20" i="184" s="1"/>
  <c r="F34"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20" i="106" l="1"/>
  <c r="D7220" i="106" s="1"/>
  <c r="F75" i="34"/>
  <c r="B7886" i="106" s="1"/>
  <c r="D7886" i="106" s="1"/>
  <c r="B5770" i="106"/>
  <c r="D5770" i="106" s="1"/>
  <c r="B7222" i="106"/>
  <c r="D7222" i="106" s="1"/>
  <c r="F76" i="34"/>
  <c r="B7887" i="106" s="1"/>
  <c r="D7887" i="106" s="1"/>
  <c r="L114" i="29"/>
  <c r="L16" i="11"/>
  <c r="B2061" i="106" s="1"/>
  <c r="D2061" i="106" s="1"/>
  <c r="B2031" i="106"/>
  <c r="D2031" i="106" s="1"/>
  <c r="N23" i="3"/>
  <c r="B284" i="106" s="1"/>
  <c r="D284" i="106" s="1"/>
  <c r="D44" i="36"/>
  <c r="E367" i="29"/>
  <c r="B3635" i="106"/>
  <c r="D3635" i="106" s="1"/>
  <c r="K342" i="29"/>
  <c r="F13" i="34" s="1"/>
  <c r="N58" i="184"/>
  <c r="N68" i="184" s="1"/>
  <c r="E68" i="184"/>
  <c r="B1381" i="106"/>
  <c r="D1381" i="106" s="1"/>
  <c r="B7826" i="106"/>
  <c r="D7826" i="106" s="1"/>
  <c r="B5527" i="106"/>
  <c r="D552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77"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J19" i="4"/>
  <c r="B6229" i="106" s="1"/>
  <c r="D6229" i="106" s="1"/>
  <c r="K17" i="4"/>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<sst xmlns="http://schemas.openxmlformats.org/spreadsheetml/2006/main" count="5143" uniqueCount="2081">
  <si>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</si>
  <si>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</si>
  <si>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</si>
  <si>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</si>
  <si>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</si>
  <si>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</si>
  <si>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</si>
  <si>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</si>
  <si>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</si>
  <si>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</si>
  <si>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</si>
  <si>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</si>
  <si>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</si>
  <si>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</si>
  <si>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</si>
  <si>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</si>
  <si>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</si>
  <si>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</si>
  <si>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</si>
  <si>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</si>
  <si>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</si>
  <si>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</si>
  <si>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</si>
  <si>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</si>
  <si>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</si>
  <si>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</si>
  <si>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</si>
  <si>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</si>
  <si>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</si>
  <si>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</si>
  <si>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</si>
  <si>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</si>
  <si>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</si>
  <si>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</si>
  <si>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</si>
  <si>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</si>
  <si>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</si>
  <si>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</si>
  <si>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</si>
  <si>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</si>
  <si>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</si>
  <si>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</si>
  <si>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</si>
  <si>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</si>
  <si>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</si>
  <si>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</si>
  <si>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</si>
  <si>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</si>
  <si>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</si>
  <si>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</si>
  <si>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</si>
  <si>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</si>
  <si>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</si>
  <si>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</si>
  <si>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</si>
  <si>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</si>
  <si>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</si>
  <si>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</si>
  <si>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</si>
  <si>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</si>
  <si>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</si>
  <si>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</si>
  <si>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</si>
  <si>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</si>
  <si>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</si>
  <si>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</si>
  <si>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</si>
  <si>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</si>
  <si>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</si>
  <si>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</si>
  <si>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</si>
  <si>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</si>
  <si>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</si>
  <si>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</si>
  <si>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</si>
  <si>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</si>
  <si>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</si>
  <si>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</si>
  <si>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</si>
  <si>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</si>
  <si>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</si>
  <si>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</si>
  <si>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</si>
  <si>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</si>
  <si>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</si>
  <si>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</si>
  <si>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</si>
  <si>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</si>
  <si>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</si>
  <si>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</si>
  <si>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</si>
  <si>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</si>
  <si>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</si>
  <si>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</si>
  <si>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</si>
  <si>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</si>
  <si>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</si>
  <si>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</si>
  <si>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</si>
  <si>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</si>
  <si>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</si>
  <si>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</si>
  <si>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</si>
  <si>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</si>
  <si>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</si>
  <si>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</si>
  <si>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</si>
  <si>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</si>
  <si>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</si>
  <si>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</si>
  <si>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</si>
  <si>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</si>
  <si>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</si>
  <si>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</si>
  <si>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</si>
  <si>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</si>
  <si>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</si>
  <si>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</si>
  <si>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</si>
  <si>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</si>
  <si>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</si>
  <si>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</si>
  <si>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</si>
  <si>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</si>
  <si>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</si>
  <si>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</si>
  <si>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</si>
  <si>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</si>
  <si>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</si>
  <si>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</si>
  <si>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</si>
  <si>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</si>
  <si>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</si>
  <si>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</si>
  <si>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</si>
  <si>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</si>
  <si>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</si>
  <si>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</si>
  <si>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</si>
  <si>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</si>
  <si>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</si>
  <si>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</si>
  <si>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</si>
  <si>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</si>
  <si>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</si>
  <si>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</si>
  <si>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</si>
  <si>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</si>
  <si>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</si>
  <si>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</si>
  <si>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</si>
  <si>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</si>
  <si>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</si>
  <si>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</si>
  <si>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</si>
  <si>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</si>
  <si>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</si>
  <si>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</si>
  <si>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</si>
  <si>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</si>
  <si>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</si>
  <si>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</si>
  <si>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</si>
  <si>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</si>
  <si>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</si>
  <si>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</si>
  <si>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</si>
  <si>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</si>
  <si>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</si>
  <si>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</si>
  <si>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</si>
  <si>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</si>
  <si>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</si>
  <si>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</si>
  <si>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</si>
  <si>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</si>
  <si>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</si>
  <si>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</si>
  <si>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</si>
  <si>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</si>
  <si>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</si>
  <si>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</si>
  <si>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</si>
  <si>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</si>
  <si>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</si>
  <si>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</si>
  <si>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</si>
  <si>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</si>
  <si>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</si>
  <si>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</si>
  <si>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</si>
  <si>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</si>
  <si>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</si>
  <si>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</si>
  <si>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</si>
  <si>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</si>
  <si>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</si>
  <si>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</si>
  <si>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</si>
  <si>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</si>
  <si>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</si>
  <si>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</si>
  <si>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</si>
  <si>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</si>
  <si>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</si>
  <si>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</si>
  <si>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</si>
  <si>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</si>
  <si>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</si>
  <si>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</si>
  <si>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</si>
  <si>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</si>
  <si>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</si>
  <si>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</si>
  <si>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</si>
  <si>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</si>
  <si>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</si>
  <si>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</si>
  <si>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</si>
  <si>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</si>
  <si>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</si>
  <si>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</si>
  <si>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</si>
  <si>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</si>
  <si>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</si>
  <si>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</si>
  <si>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</si>
  <si>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</si>
  <si>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</si>
  <si>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</si>
  <si>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</si>
  <si>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</si>
  <si>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</si>
  <si>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</si>
  <si>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</si>
  <si>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</si>
  <si>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</si>
  <si>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</si>
  <si>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</si>
  <si>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</si>
  <si>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</si>
  <si>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</si>
  <si>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</si>
  <si>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</si>
  <si>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</si>
  <si>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</si>
  <si>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</si>
  <si>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</si>
  <si>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</si>
  <si>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</si>
  <si>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</si>
  <si>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</si>
  <si>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</si>
  <si>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</si>
  <si>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</si>
  <si>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</si>
  <si>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</si>
  <si>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</si>
  <si>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</si>
  <si>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</si>
  <si>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</si>
  <si>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</si>
  <si>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</si>
  <si>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</si>
  <si>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</si>
  <si>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</si>
  <si>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</si>
  <si>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</si>
  <si>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</si>
  <si>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</si>
  <si>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</si>
  <si>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</si>
  <si>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</si>
  <si>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</si>
  <si>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</si>
  <si>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</si>
  <si>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</si>
  <si>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</si>
  <si>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</si>
  <si>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</si>
  <si>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</si>
  <si>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</si>
  <si>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</si>
  <si>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</si>
  <si>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</si>
  <si>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</si>
  <si>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</si>
  <si>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</si>
  <si>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</si>
  <si>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</si>
  <si>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</si>
  <si>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</si>
  <si>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</si>
  <si>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</si>
  <si>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</si>
  <si>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</si>
  <si>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</si>
  <si>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</si>
  <si>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</si>
  <si>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</si>
  <si>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</si>
  <si>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</si>
  <si>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</si>
  <si>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</si>
  <si>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</si>
  <si>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</si>
  <si>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</si>
  <si>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</si>
  <si>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</si>
  <si>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</si>
  <si>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</si>
  <si>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</si>
  <si>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</si>
  <si>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</si>
  <si>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</si>
  <si>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</si>
  <si>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</si>
  <si>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</si>
  <si>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</si>
  <si>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</si>
  <si>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</si>
  <si>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</si>
  <si>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</si>
  <si>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</si>
  <si>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</si>
  <si>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</si>
  <si>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</si>
  <si>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</si>
  <si>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</si>
  <si>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</si>
  <si>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</si>
  <si>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</si>
  <si>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</si>
  <si>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</si>
  <si>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</si>
  <si>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</si>
  <si>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</si>
  <si>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</si>
  <si>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</si>
  <si>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</si>
  <si>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</si>
  <si>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</si>
  <si>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</si>
  <si>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</si>
  <si>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</si>
  <si>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</si>
  <si>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</si>
  <si>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</si>
  <si>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</si>
  <si>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</si>
  <si>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</si>
  <si>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</si>
  <si>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</si>
  <si>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</si>
  <si>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</si>
  <si>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</si>
  <si>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</si>
  <si>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</si>
  <si>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</si>
  <si>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</si>
  <si>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</si>
  <si>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</si>
  <si>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</si>
  <si>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</si>
  <si>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</si>
  <si>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</si>
  <si>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</si>
  <si>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</si>
  <si>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</si>
  <si>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</si>
  <si>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</si>
  <si>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</si>
  <si>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</si>
  <si>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</si>
  <si>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</si>
  <si>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</si>
  <si>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</si>
  <si>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</si>
  <si>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</si>
  <si>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</si>
  <si>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</si>
  <si>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</si>
  <si>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</si>
  <si>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</si>
  <si>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</si>
  <si>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</si>
  <si>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</si>
  <si>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</si>
  <si>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</si>
  <si>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</si>
  <si>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</si>
  <si>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</si>
  <si>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</si>
  <si>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</si>
  <si>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</si>
  <si>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</si>
  <si>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</si>
  <si>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</si>
  <si>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</si>
  <si>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</si>
  <si>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</si>
  <si>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</si>
  <si>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</si>
  <si>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</si>
  <si>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</si>
  <si>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</si>
  <si>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</si>
  <si>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</si>
  <si>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</si>
  <si>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</si>
  <si>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</si>
  <si>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</si>
  <si>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</si>
  <si>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</si>
  <si>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</si>
  <si>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</si>
  <si>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</si>
  <si>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</si>
  <si>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</si>
  <si>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</si>
  <si>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</si>
  <si>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</si>
  <si>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</si>
  <si>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</si>
  <si>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</si>
  <si>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</si>
  <si>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</si>
  <si>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</si>
  <si>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</si>
  <si>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</si>
  <si>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</si>
  <si>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</si>
  <si>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</si>
  <si>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</si>
  <si>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</si>
  <si>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</si>
  <si>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</si>
  <si>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</si>
  <si>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</si>
  <si>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</si>
  <si>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</si>
  <si>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</si>
  <si>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</si>
  <si>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</si>
  <si>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</si>
  <si>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</si>
  <si>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</si>
  <si>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</si>
  <si>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</si>
  <si>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</si>
  <si>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</si>
  <si>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</si>
  <si>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</si>
  <si>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</si>
  <si>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</si>
  <si>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</si>
  <si>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</si>
  <si>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</si>
  <si>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</si>
  <si>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</si>
  <si>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</si>
  <si>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</si>
  <si>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</si>
  <si>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</si>
  <si>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</si>
  <si>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</si>
  <si>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</si>
  <si>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</si>
  <si>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</si>
  <si>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</si>
  <si>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</si>
  <si>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</si>
  <si>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</si>
  <si>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</si>
  <si>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</si>
  <si>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</si>
  <si>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</si>
  <si>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</si>
  <si>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</si>
  <si>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</si>
  <si>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</si>
  <si>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</si>
  <si>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</si>
  <si>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</si>
  <si>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</si>
  <si>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</si>
  <si>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</si>
  <si>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</si>
  <si>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</si>
  <si>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</si>
  <si>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</si>
  <si>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</si>
  <si>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</si>
  <si>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</si>
  <si>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</si>
  <si>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</si>
  <si>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</si>
  <si>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</si>
  <si>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</si>
  <si>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</si>
  <si>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</si>
  <si>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</si>
  <si>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</si>
  <si>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</si>
  <si>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</si>
  <si>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</si>
  <si>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</si>
  <si>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</si>
  <si>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</si>
  <si>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</si>
  <si>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</si>
  <si>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</si>
  <si>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</si>
  <si>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</si>
  <si>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</si>
  <si>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</si>
  <si>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</si>
  <si>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</si>
  <si>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</si>
  <si>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</si>
  <si>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</si>
  <si>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</si>
  <si>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</si>
  <si>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</si>
  <si>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</si>
  <si>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</si>
  <si>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</si>
  <si>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</si>
  <si>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</si>
  <si>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</si>
  <si>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</si>
  <si>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</si>
  <si>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</si>
  <si>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</si>
  <si>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</si>
  <si>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</si>
  <si>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</si>
  <si>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</si>
  <si>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</si>
  <si>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</si>
  <si>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</si>
  <si>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</si>
  <si>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</si>
  <si>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</si>
  <si>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</si>
  <si>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</si>
  <si>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</si>
  <si>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</si>
  <si>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</si>
  <si>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</si>
  <si>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</si>
  <si>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</si>
  <si>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</si>
  <si>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</si>
  <si>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</si>
  <si>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</si>
  <si>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</si>
  <si>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</si>
  <si>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</si>
  <si>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</si>
  <si>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</si>
  <si>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</si>
  <si>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</si>
  <si>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</si>
  <si>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</si>
  <si>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</si>
  <si>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</si>
  <si>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</si>
  <si>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</si>
  <si>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</si>
  <si>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</si>
  <si>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</si>
  <si>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</si>
  <si>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</si>
  <si>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</si>
  <si>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</si>
  <si>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</si>
  <si>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</si>
  <si>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</si>
  <si>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</si>
  <si>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</si>
  <si>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</si>
  <si>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</si>
  <si>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</si>
  <si>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</si>
  <si>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</si>
  <si>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</si>
  <si>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</si>
  <si>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</si>
  <si>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</si>
  <si>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</si>
  <si>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</si>
  <si>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</si>
  <si>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</si>
  <si>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</si>
  <si>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</si>
  <si>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</si>
  <si>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</si>
  <si>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</si>
  <si>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</si>
  <si>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</si>
  <si>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</si>
  <si>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</si>
  <si>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</si>
  <si>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</si>
  <si>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</si>
  <si>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</si>
  <si>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</si>
  <si>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</si>
  <si>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</si>
  <si>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</si>
  <si>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</si>
  <si>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</si>
  <si>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</si>
  <si>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</si>
  <si>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</si>
  <si>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</si>
  <si>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</si>
  <si>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</si>
  <si>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</si>
  <si>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</si>
  <si>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</si>
  <si>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</si>
  <si>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</si>
  <si>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</si>
  <si>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</si>
  <si>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</si>
  <si>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</si>
  <si>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</si>
  <si>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</si>
  <si>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</si>
  <si>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</si>
  <si>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</si>
  <si>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</si>
  <si>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</si>
  <si>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</si>
  <si>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</si>
  <si>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</si>
  <si>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</si>
  <si>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</si>
  <si>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</si>
  <si>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</si>
  <si>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</si>
  <si>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</si>
  <si>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</si>
  <si>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</si>
  <si>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</si>
  <si>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</si>
  <si>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</si>
  <si>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</si>
  <si>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</si>
  <si>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</si>
  <si>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</si>
  <si>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</si>
  <si>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</si>
  <si>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</si>
  <si>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</si>
  <si>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</si>
  <si>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</si>
  <si>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</si>
  <si>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</si>
  <si>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</si>
  <si>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</si>
  <si>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</si>
  <si>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</si>
  <si>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</si>
  <si>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</si>
  <si>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</si>
  <si>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</si>
  <si>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</si>
  <si>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</si>
  <si>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</si>
  <si>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</si>
  <si>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</si>
  <si>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</si>
  <si>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</si>
  <si>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</si>
  <si>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</si>
  <si>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</si>
  <si>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</si>
  <si>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</si>
  <si>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</si>
  <si>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</si>
  <si>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</si>
  <si>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</si>
  <si>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</si>
  <si>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</si>
  <si>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</si>
  <si>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</si>
  <si>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</si>
  <si>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</si>
  <si>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</si>
  <si>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</si>
  <si>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</si>
  <si>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</si>
  <si>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</si>
  <si>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</si>
  <si>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</si>
  <si>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</si>
  <si>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</si>
  <si>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</si>
  <si>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</si>
  <si>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</si>
  <si>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</si>
  <si>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</si>
  <si>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</si>
  <si>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</si>
  <si>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</si>
  <si>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</si>
  <si>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</si>
  <si>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</si>
  <si>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</si>
  <si>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</si>
  <si>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</si>
  <si>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</si>
  <si>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</si>
  <si>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</si>
  <si>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</si>
  <si>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</si>
  <si>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</si>
  <si>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</si>
  <si>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</si>
  <si>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</si>
  <si>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</si>
  <si>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</si>
  <si>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</si>
  <si>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</si>
  <si>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</si>
  <si>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</si>
  <si>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</si>
  <si>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</si>
  <si>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</si>
  <si>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</si>
  <si>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</si>
  <si>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</si>
  <si>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</si>
  <si>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</si>
  <si>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</si>
  <si>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</si>
  <si>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</si>
  <si>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</si>
  <si>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</si>
  <si>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</si>
  <si>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</si>
  <si>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</si>
  <si>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</si>
  <si>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</si>
  <si>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</si>
  <si>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</si>
  <si>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</si>
  <si>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</si>
  <si>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</si>
  <si>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</si>
  <si>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</si>
  <si>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</si>
  <si>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</si>
  <si>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</si>
  <si>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</si>
  <si>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</si>
  <si>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</si>
  <si>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</si>
  <si>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</si>
  <si>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</si>
  <si>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</si>
  <si>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</si>
  <si>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</si>
  <si>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</si>
  <si>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</si>
  <si>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</si>
  <si>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</si>
  <si>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</si>
  <si>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</si>
  <si>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</si>
  <si>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</si>
  <si>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</si>
  <si>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</si>
  <si>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</si>
  <si>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</si>
  <si>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</si>
  <si>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</si>
  <si>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</si>
  <si>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</si>
  <si>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</si>
  <si>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</si>
  <si>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</si>
  <si>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</si>
  <si>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</si>
  <si>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</si>
  <si>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</si>
  <si>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</si>
  <si>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</si>
  <si>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</si>
  <si>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</si>
  <si>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</si>
  <si>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</si>
  <si>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</si>
  <si>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</si>
  <si>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</si>
  <si>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</si>
  <si>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</si>
  <si>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</si>
  <si>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</si>
  <si>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</si>
  <si>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</si>
  <si>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</si>
  <si>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</si>
  <si>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</si>
  <si>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</si>
  <si>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</si>
  <si>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</si>
  <si>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</si>
  <si>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</si>
  <si>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</si>
  <si>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</si>
  <si>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</si>
  <si>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</si>
  <si>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</si>
  <si>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</si>
  <si>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</si>
  <si>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</si>
  <si>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</si>
  <si>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</si>
  <si>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</si>
  <si>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</si>
  <si>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</si>
  <si>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</si>
  <si>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</si>
  <si>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</si>
  <si>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</si>
  <si>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</si>
  <si>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</si>
  <si>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</si>
  <si>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</si>
  <si>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</si>
  <si>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</si>
  <si>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</si>
  <si>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</si>
  <si>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</si>
  <si>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</si>
  <si>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</si>
  <si>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</si>
  <si>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</si>
  <si>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</si>
  <si>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</si>
  <si>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</si>
  <si>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</si>
  <si>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</si>
  <si>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</si>
  <si>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</si>
  <si>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</si>
  <si>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</si>
  <si>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</si>
  <si>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</si>
  <si>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</si>
  <si>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</si>
  <si>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</si>
  <si>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</si>
  <si>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</si>
  <si>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</si>
  <si>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</si>
  <si>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</si>
  <si>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</si>
  <si>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</si>
  <si>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</si>
  <si>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</si>
  <si>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</si>
  <si>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</si>
  <si>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</si>
  <si>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</si>
  <si>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</si>
  <si>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</si>
  <si>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</si>
  <si>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</si>
  <si>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</si>
  <si>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</si>
  <si>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</si>
  <si>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</si>
  <si>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</si>
  <si>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</si>
  <si>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</si>
  <si>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</si>
  <si>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</si>
  <si>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</si>
  <si>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</si>
  <si>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</si>
  <si>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</si>
  <si>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</si>
  <si>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</si>
  <si>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</si>
  <si>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</si>
  <si>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</si>
  <si>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</si>
  <si>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</si>
  <si>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</si>
  <si>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</si>
  <si>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</si>
  <si>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</si>
  <si>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</si>
  <si>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</si>
  <si>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</si>
  <si>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</si>
  <si>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</si>
  <si>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</si>
  <si>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</si>
  <si>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</si>
  <si>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</si>
  <si>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</si>
  <si>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</si>
  <si>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</si>
  <si>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</si>
  <si>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</si>
  <si>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</si>
  <si>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</si>
  <si>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</si>
  <si>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</si>
  <si>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</si>
  <si>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</si>
  <si>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</si>
  <si>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</si>
  <si>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</si>
  <si>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</si>
  <si>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</si>
  <si>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</si>
  <si>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</si>
  <si>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</si>
  <si>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</si>
  <si>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</si>
  <si>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</si>
  <si>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</si>
  <si>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</si>
  <si>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</si>
  <si>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</si>
  <si>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</si>
  <si>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</si>
  <si>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</si>
  <si>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</si>
  <si>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</si>
  <si>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</si>
  <si>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</si>
  <si>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</si>
  <si>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</si>
  <si>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</si>
  <si>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</si>
  <si>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</si>
  <si>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</si>
  <si>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</si>
  <si>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</si>
  <si>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</si>
  <si>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</si>
  <si>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</si>
  <si>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</si>
  <si>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</si>
  <si>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</si>
  <si>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</si>
  <si>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</si>
  <si>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</si>
  <si>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</si>
  <si>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</si>
  <si>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</si>
  <si>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</si>
  <si>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</si>
  <si>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</si>
  <si>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</si>
  <si>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</si>
  <si>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</si>
  <si>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</si>
  <si>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</si>
  <si>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</si>
  <si>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</si>
  <si>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</si>
  <si>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</si>
  <si>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</si>
  <si>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</si>
  <si>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</si>
  <si>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</si>
  <si>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</si>
  <si>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</si>
  <si>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</si>
  <si>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</si>
  <si>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</si>
  <si>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</si>
  <si>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</si>
  <si>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</si>
  <si>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</si>
  <si>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</si>
  <si>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</si>
  <si>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</si>
  <si>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</si>
  <si>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</si>
  <si>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</si>
  <si>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</si>
  <si>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</si>
  <si>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</si>
  <si>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</si>
  <si>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</si>
  <si>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</si>
  <si>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</si>
  <si>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</si>
  <si>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</si>
  <si>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</si>
  <si>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</si>
  <si>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</si>
  <si>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</si>
  <si>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</si>
  <si>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</si>
  <si>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</si>
  <si>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</si>
  <si>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</si>
  <si>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</si>
  <si>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</si>
  <si>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</si>
  <si>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</si>
  <si>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</si>
  <si>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</si>
  <si>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</si>
  <si>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</si>
  <si>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</si>
  <si>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</si>
  <si>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</si>
  <si>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</si>
  <si>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</si>
  <si>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</si>
  <si>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</si>
  <si>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</si>
  <si>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</si>
  <si>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</si>
  <si>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</si>
  <si>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</si>
  <si>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</si>
  <si>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</si>
  <si>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</si>
  <si>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</si>
  <si>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</si>
  <si>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</si>
  <si>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</si>
  <si>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</si>
  <si>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</si>
  <si>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</si>
  <si>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</si>
  <si>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</si>
  <si>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</si>
  <si>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</si>
  <si>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</si>
  <si>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</si>
  <si>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</si>
  <si>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</si>
  <si>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</si>
  <si>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</si>
  <si>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</si>
  <si>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</si>
  <si>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</si>
  <si>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</si>
  <si>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</si>
  <si>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</si>
  <si>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</si>
  <si>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</si>
  <si>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</si>
  <si>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</si>
  <si>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</si>
  <si>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</si>
  <si>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</si>
  <si>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</si>
  <si>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</si>
  <si>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</si>
  <si>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</si>
  <si>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</si>
  <si>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</si>
  <si>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</si>
  <si>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</si>
  <si>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</si>
  <si>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</si>
  <si>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</si>
  <si>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</si>
  <si>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</si>
  <si>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</si>
  <si>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</si>
  <si>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</si>
  <si>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</si>
  <si>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</si>
  <si>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</si>
  <si>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</si>
  <si>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</si>
  <si>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</si>
  <si>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</si>
  <si>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</si>
  <si>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</si>
  <si>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</si>
  <si>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</si>
  <si>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</si>
  <si>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</si>
  <si>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</si>
  <si>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</si>
  <si>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</si>
  <si>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</si>
  <si>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</si>
  <si>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</si>
  <si>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</si>
  <si>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</si>
  <si>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</si>
  <si>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</si>
  <si>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</si>
  <si>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</si>
  <si>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</si>
  <si>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</si>
  <si>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</si>
  <si>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</si>
  <si>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</si>
  <si>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</si>
  <si>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</si>
  <si>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</si>
  <si>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</si>
  <si>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</si>
  <si>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</si>
  <si>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</si>
  <si>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</si>
  <si>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</si>
  <si>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</si>
  <si>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</si>
  <si>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</si>
  <si>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</si>
  <si>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</si>
  <si>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</si>
  <si>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</si>
  <si>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</si>
  <si>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</si>
  <si>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</si>
  <si>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</si>
  <si>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</si>
  <si>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</si>
  <si>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</si>
  <si>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</si>
  <si>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</si>
  <si>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</si>
  <si>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</si>
  <si>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</si>
  <si>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</si>
  <si>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</si>
  <si>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</si>
  <si>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</si>
  <si>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</si>
  <si>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</si>
  <si>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</si>
  <si>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</si>
  <si>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</si>
  <si>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</si>
  <si>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</si>
  <si>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</si>
  <si>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</si>
  <si>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</si>
  <si>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</si>
  <si>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</si>
  <si>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</si>
  <si>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</si>
  <si>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</si>
  <si>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</si>
  <si>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</si>
  <si>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</si>
  <si>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</si>
  <si>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</si>
  <si>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</si>
  <si>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</si>
  <si>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</si>
  <si>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</si>
  <si>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</si>
  <si>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</si>
  <si>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</si>
  <si>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</si>
  <si>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</si>
  <si>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</si>
  <si>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</si>
  <si>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</si>
  <si>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</si>
  <si>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</si>
  <si>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</si>
  <si>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</si>
  <si>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</si>
  <si>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</si>
  <si>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</si>
  <si>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</si>
  <si>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</si>
  <si>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</si>
  <si>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</si>
  <si>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</si>
  <si>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</si>
  <si>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</si>
  <si>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</si>
  <si>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</si>
  <si>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</si>
  <si>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</si>
  <si>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</si>
  <si>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</si>
  <si>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</si>
  <si>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</si>
  <si>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</si>
  <si>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</si>
  <si>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</si>
  <si>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</si>
  <si>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</si>
  <si>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</si>
  <si>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</si>
  <si>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</si>
  <si>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</si>
  <si>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</si>
  <si>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</si>
  <si>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</si>
  <si>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</si>
  <si>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</si>
  <si>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</si>
  <si>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</si>
  <si>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</si>
  <si>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</si>
  <si>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</si>
  <si>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</si>
  <si>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</si>
  <si>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</si>
  <si>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</si>
  <si>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</si>
  <si>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</si>
  <si>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</si>
  <si>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</si>
  <si>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</si>
  <si>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</si>
  <si>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</si>
  <si>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</si>
  <si>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</si>
  <si>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</si>
  <si>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</si>
  <si>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</si>
  <si>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</si>
  <si>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</si>
  <si>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</si>
  <si>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</si>
  <si>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</si>
  <si>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</si>
  <si>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</si>
  <si>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</si>
  <si>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</si>
  <si>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</si>
  <si>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</si>
  <si>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</si>
  <si>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</si>
  <si>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</si>
  <si>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</si>
  <si>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</si>
  <si>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</si>
  <si>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</si>
  <si>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</si>
  <si>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</si>
  <si>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</si>
  <si>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</si>
  <si>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</si>
  <si>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</si>
  <si>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</si>
  <si>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</si>
  <si>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</si>
  <si>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</si>
  <si>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</si>
  <si>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</si>
  <si>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</si>
  <si>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</si>
  <si>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</si>
  <si>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</si>
  <si>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</si>
  <si>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</si>
  <si>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</si>
  <si>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</si>
  <si>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</si>
  <si>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</si>
  <si>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</si>
  <si>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</si>
  <si>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</si>
  <si>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</si>
  <si>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</si>
  <si>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</si>
  <si>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</si>
  <si>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</si>
  <si>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</si>
  <si>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</si>
  <si>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</si>
  <si>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</si>
  <si>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</si>
  <si>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</si>
  <si>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</si>
  <si>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</si>
  <si>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</si>
  <si>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</si>
  <si>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</si>
  <si>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</si>
  <si>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</si>
  <si>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</si>
  <si>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</si>
  <si>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</si>
  <si>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</si>
  <si>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</si>
  <si>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</si>
  <si>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</si>
  <si>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</si>
  <si>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</si>
  <si>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</si>
  <si>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</si>
  <si>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</si>
  <si>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</si>
  <si>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</si>
  <si>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</si>
  <si>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</si>
  <si>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</si>
  <si>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</si>
  <si>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</si>
  <si>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</si>
  <si>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</si>
  <si>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</si>
  <si>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</si>
  <si>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</si>
  <si>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</si>
  <si>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</si>
  <si>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</si>
  <si>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</si>
  <si>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</si>
  <si>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</si>
  <si>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</si>
  <si>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</si>
  <si>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</si>
  <si>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</si>
  <si>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</si>
  <si>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</si>
  <si>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</si>
  <si>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</si>
  <si>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</si>
  <si>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</si>
  <si>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</si>
  <si>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</si>
  <si>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</si>
  <si>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</si>
  <si>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</si>
  <si>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</si>
  <si>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</si>
  <si>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</si>
  <si>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</si>
  <si>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</si>
  <si>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</si>
  <si>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</si>
  <si>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</si>
  <si>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</si>
  <si>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</si>
  <si>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</si>
  <si>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</si>
  <si>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</si>
  <si>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</si>
  <si>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</si>
  <si>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</si>
  <si>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</si>
  <si>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</si>
  <si>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</si>
  <si>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</si>
  <si>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</si>
  <si>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</si>
  <si>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</si>
  <si>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</si>
  <si>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</si>
  <si>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</si>
  <si>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</si>
  <si>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</si>
  <si>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</si>
  <si>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</si>
  <si>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</si>
  <si>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</si>
  <si>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</si>
  <si>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</si>
  <si>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</si>
  <si>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</si>
  <si>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</si>
  <si>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</si>
  <si>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</si>
  <si>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</si>
  <si>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</si>
  <si>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</si>
  <si>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</si>
  <si>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</si>
  <si>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</si>
  <si>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</si>
  <si>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</si>
  <si>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</si>
  <si>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</si>
  <si>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</si>
  <si>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</si>
  <si>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</si>
  <si>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</si>
  <si>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</si>
  <si>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</si>
  <si>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</si>
  <si>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</si>
  <si>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</si>
  <si>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</si>
  <si>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</si>
  <si>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</si>
  <si>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</si>
  <si>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</si>
  <si>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</si>
  <si>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</si>
  <si>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</si>
  <si>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</si>
  <si>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</si>
  <si>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</si>
  <si>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</si>
  <si>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</si>
  <si>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</si>
  <si>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</si>
  <si>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</si>
  <si>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</si>
  <si>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</si>
  <si>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</si>
  <si>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</si>
  <si>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</si>
  <si>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</si>
  <si>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</si>
  <si>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</si>
  <si>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</si>
  <si>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</si>
  <si>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</si>
  <si>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</si>
  <si>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</si>
  <si>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</si>
  <si>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</si>
  <si>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</si>
  <si>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</si>
  <si>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</si>
  <si>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</si>
  <si>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</si>
  <si>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</si>
  <si>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</si>
  <si>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</si>
  <si>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</si>
  <si>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</si>
  <si>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</si>
  <si>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</si>
  <si>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</si>
  <si>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</si>
  <si>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</si>
  <si>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</si>
  <si>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</si>
  <si>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</si>
  <si>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</si>
  <si>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</si>
  <si>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</si>
  <si>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</si>
  <si>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</si>
  <si>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</si>
  <si>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</si>
  <si>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</si>
  <si>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</si>
  <si>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</si>
  <si>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</si>
  <si>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</si>
  <si>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</si>
  <si>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</si>
  <si>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</si>
  <si>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</si>
  <si>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</si>
  <si>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</si>
  <si>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</si>
  <si>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</si>
  <si>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</si>
  <si>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</si>
  <si>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</si>
  <si>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</si>
  <si>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</si>
  <si>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</si>
  <si>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</si>
  <si>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</si>
  <si>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</si>
  <si>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</si>
  <si>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</si>
  <si>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</si>
  <si>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</si>
  <si>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</si>
  <si>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</si>
  <si>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</si>
  <si>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</si>
  <si>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</si>
  <si>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</si>
  <si>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</si>
  <si>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</si>
  <si>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</si>
  <si>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</si>
  <si>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</si>
  <si>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</si>
  <si>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</si>
  <si>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</si>
  <si>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</si>
  <si>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</si>
  <si>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</si>
  <si>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</si>
  <si>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</si>
  <si>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</si>
  <si>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</si>
  <si>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</si>
  <si>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</si>
  <si>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</si>
  <si>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</si>
  <si>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</si>
  <si>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</si>
  <si>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</si>
  <si>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</si>
  <si>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</si>
  <si>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</si>
  <si>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</si>
  <si>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</si>
  <si>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</si>
  <si>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</si>
  <si>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</si>
  <si>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</si>
  <si>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</si>
  <si>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</si>
  <si>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</si>
  <si>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</si>
  <si>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</si>
  <si>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</si>
  <si>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</si>
  <si>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</si>
  <si>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</si>
  <si>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</si>
  <si>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</si>
  <si>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</si>
  <si>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</si>
  <si>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</si>
  <si>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</si>
  <si>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</si>
  <si>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</si>
  <si>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</si>
  <si>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</si>
  <si>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</si>
  <si>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</si>
  <si>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</si>
  <si>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</si>
  <si>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</si>
  <si>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</si>
  <si>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</si>
  <si>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</si>
  <si>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</si>
  <si>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</si>
  <si>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</si>
  <si>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</si>
  <si>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</si>
  <si>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</si>
  <si>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</si>
  <si>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</si>
  <si>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</si>
  <si>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</si>
  <si>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</si>
  <si>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</si>
  <si>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</si>
  <si>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</si>
  <si>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</si>
  <si>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</si>
  <si>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</si>
  <si>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</si>
  <si>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</si>
  <si>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</si>
  <si>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</si>
  <si>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</si>
  <si>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</si>
  <si>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</si>
  <si>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</si>
  <si>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</si>
  <si>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</si>
  <si>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</si>
  <si>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</si>
  <si>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</si>
  <si>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</si>
  <si>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</si>
  <si>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</si>
  <si>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</si>
  <si>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</si>
  <si>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</si>
  <si>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</si>
  <si>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</si>
  <si>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</si>
  <si>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</si>
  <si>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</si>
  <si>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</si>
  <si>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</si>
  <si>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</si>
  <si>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</si>
  <si>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</si>
  <si>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</si>
  <si>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</si>
  <si>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</si>
  <si>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</si>
  <si>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</si>
  <si>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</si>
  <si>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</si>
  <si>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</si>
  <si>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</si>
  <si>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</si>
  <si>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</si>
  <si>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</si>
  <si>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</si>
  <si>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</si>
  <si>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</si>
  <si>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</si>
  <si>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</si>
  <si>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</si>
  <si>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</si>
  <si>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</si>
  <si>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</si>
  <si>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</si>
  <si>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</si>
  <si>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</si>
  <si>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</si>
  <si>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</si>
  <si>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</si>
  <si>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</si>
  <si>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</si>
  <si>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</si>
  <si>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</si>
  <si>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</si>
  <si>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</si>
  <si>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</si>
  <si>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</si>
  <si>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</si>
  <si>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</si>
  <si>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</si>
  <si>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</si>
  <si>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</si>
  <si>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</si>
  <si>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</si>
  <si>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</si>
  <si>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</si>
  <si>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</si>
  <si>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</si>
  <si>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</si>
  <si>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</si>
  <si>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</si>
  <si>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</si>
  <si>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</si>
  <si>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</si>
  <si>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</si>
  <si>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</si>
  <si>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</si>
  <si>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</si>
  <si>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</si>
  <si>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</si>
  <si>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</si>
  <si>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</si>
  <si>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</si>
  <si>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</si>
  <si>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</si>
  <si>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</si>
  <si>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</si>
  <si>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</si>
  <si>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</si>
  <si>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</si>
  <si>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</si>
  <si>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</si>
  <si>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</si>
  <si>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</si>
  <si>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</si>
  <si>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</si>
  <si>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</si>
  <si>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</si>
  <si>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</si>
  <si>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</si>
  <si>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</si>
  <si>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</si>
  <si>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</si>
  <si>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</si>
  <si>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</si>
  <si>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</si>
  <si>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</si>
  <si>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</si>
  <si>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</si>
  <si>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</si>
  <si>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</si>
  <si>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</si>
  <si>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</si>
  <si>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</si>
  <si>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</si>
  <si>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</si>
  <si>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</si>
  <si>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</si>
  <si>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</si>
  <si>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</si>
  <si>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</si>
  <si>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</si>
  <si>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</si>
  <si>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</si>
  <si>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</si>
  <si>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</si>
  <si>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</si>
  <si>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</si>
  <si>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</si>
  <si>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</si>
  <si>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</si>
  <si>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</si>
  <si>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</si>
  <si>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</si>
  <si>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</si>
  <si>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</si>
  <si>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</si>
  <si>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</si>
  <si>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</si>
  <si>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</si>
  <si>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</si>
  <si>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</si>
  <si>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</si>
  <si>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</si>
  <si>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</si>
  <si>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</si>
  <si>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</si>
  <si>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</si>
  <si>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</si>
  <si>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</si>
  <si>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</si>
  <si>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</si>
  <si>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</si>
  <si>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</si>
  <si>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</si>
  <si>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</si>
  <si>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</si>
  <si>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</si>
  <si>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</si>
  <si>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</si>
  <si>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</si>
  <si>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</si>
  <si>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</si>
  <si>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</si>
  <si>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</si>
  <si>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</si>
  <si>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</si>
  <si>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</si>
  <si>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</si>
  <si>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</si>
  <si>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</si>
  <si>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</si>
  <si>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</si>
  <si>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</si>
  <si>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</si>
  <si>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</si>
  <si>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</si>
  <si>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</si>
  <si>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</si>
  <si>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</si>
  <si>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</si>
  <si>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</si>
  <si>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</si>
  <si>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</si>
  <si>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</si>
  <si>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</si>
  <si>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</si>
  <si>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</si>
  <si>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</si>
  <si>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</si>
  <si>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</si>
  <si>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</si>
  <si>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</si>
  <si>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</si>
  <si>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</si>
  <si>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</si>
  <si>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</si>
  <si>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</si>
  <si>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</si>
  <si>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</si>
  <si>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</si>
  <si>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</si>
  <si>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</si>
  <si>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</si>
  <si>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</si>
  <si>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</si>
  <si>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</si>
  <si>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</si>
  <si>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</si>
  <si>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</si>
  <si>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</si>
  <si>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</si>
  <si>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</si>
  <si>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</si>
  <si>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</si>
  <si>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</si>
  <si>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</si>
  <si>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</si>
  <si>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</si>
  <si>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</si>
  <si>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</si>
  <si>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</si>
  <si>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</si>
  <si>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</si>
  <si>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</si>
  <si>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</si>
  <si>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</si>
  <si>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</si>
  <si>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</si>
  <si>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</si>
  <si>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</si>
  <si>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</si>
  <si>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</si>
  <si>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</si>
  <si>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</si>
  <si>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</si>
  <si>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</si>
  <si>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</si>
  <si>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</si>
  <si>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</si>
  <si>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</si>
  <si>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</si>
  <si>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</si>
  <si>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</si>
  <si>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</si>
  <si>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</si>
  <si>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</si>
  <si>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</si>
  <si>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</si>
  <si>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</si>
  <si>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</si>
  <si>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</si>
  <si>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</si>
  <si>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</si>
  <si>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</si>
  <si>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</si>
  <si>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</si>
  <si>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</si>
  <si>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</si>
  <si>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</si>
  <si>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</si>
  <si>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</si>
  <si>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</si>
  <si>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</si>
  <si>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</si>
  <si>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</si>
  <si>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</si>
  <si>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</si>
  <si>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</si>
  <si>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</si>
  <si>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</si>
  <si>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</si>
  <si>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</si>
  <si>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</si>
  <si>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</si>
  <si>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</si>
  <si>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</si>
  <si>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</si>
  <si>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</si>
  <si>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</si>
  <si>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</si>
  <si>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</si>
  <si>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</si>
  <si>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</si>
  <si>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</si>
  <si>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</si>
  <si>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</si>
  <si>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</si>
  <si>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</si>
  <si>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</si>
  <si>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</si>
  <si>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</si>
  <si>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</si>
  <si>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</si>
  <si>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</si>
  <si>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</si>
  <si>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</si>
  <si>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</si>
  <si>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</si>
  <si>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</si>
  <si>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</si>
  <si>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</si>
  <si>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</si>
  <si>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</si>
  <si>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</si>
  <si>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</si>
  <si>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</si>
  <si>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</si>
  <si>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</si>
  <si>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</si>
  <si>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</si>
  <si>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</si>
  <si>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</si>
  <si>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</si>
  <si>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</si>
  <si>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</si>
  <si>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</si>
  <si>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</si>
  <si>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</si>
  <si>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</si>
  <si>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</si>
  <si>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</si>
  <si>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</si>
  <si>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</si>
  <si>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</si>
  <si>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</si>
  <si>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</si>
  <si>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</si>
  <si>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</si>
  <si>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</si>
  <si>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</si>
  <si>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</si>
  <si>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</si>
  <si>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</si>
  <si>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</si>
  <si>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</si>
  <si>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</si>
  <si>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</si>
  <si>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</si>
  <si>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</si>
  <si>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</si>
  <si>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</si>
  <si>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</si>
  <si>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</si>
  <si>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</si>
  <si>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</si>
  <si>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</si>
  <si>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</si>
  <si>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</si>
  <si>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</si>
  <si>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</si>
  <si>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</si>
  <si>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</si>
  <si>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</si>
  <si>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</si>
  <si>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</si>
  <si>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</si>
  <si>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</si>
  <si>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</si>
  <si>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</si>
  <si>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</si>
  <si>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</si>
  <si>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</si>
  <si>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</si>
  <si>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</si>
  <si>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</si>
  <si>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</si>
  <si>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</si>
  <si>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</si>
  <si>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</si>
  <si>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</si>
  <si>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</si>
  <si>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</si>
  <si>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</si>
  <si>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</si>
  <si>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</si>
  <si>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</si>
  <si>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</si>
  <si>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</si>
  <si>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</si>
  <si>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</si>
  <si>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</si>
  <si>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</si>
  <si>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</si>
  <si>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</si>
  <si>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</si>
  <si>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</si>
  <si>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</si>
  <si>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</si>
  <si>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</si>
  <si>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</si>
  <si>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</si>
  <si>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</si>
  <si>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</si>
  <si>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</si>
  <si>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</si>
  <si>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</si>
  <si>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</si>
  <si>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</si>
  <si>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</si>
  <si>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</si>
  <si>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</si>
  <si>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</si>
  <si>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</si>
  <si>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</si>
  <si>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</si>
  <si>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</si>
  <si>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</si>
  <si>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</si>
  <si>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</si>
  <si>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</si>
  <si>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</si>
  <si>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</si>
  <si>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</si>
  <si>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</si>
  <si>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</si>
  <si>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</si>
  <si>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</si>
  <si>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</si>
  <si>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</si>
  <si>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</si>
  <si>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</si>
  <si>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</si>
  <si>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</si>
  <si>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</si>
  <si>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</si>
  <si>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</si>
  <si>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</si>
  <si>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</si>
  <si>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</si>
  <si>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</si>
  <si>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</si>
  <si>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</si>
  <si>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</si>
  <si>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</si>
  <si>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</si>
  <si>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</si>
  <si>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</si>
  <si>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</si>
  <si>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</si>
  <si>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</si>
  <si>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</si>
  <si>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</si>
  <si>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</si>
  <si>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</si>
  <si>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</si>
  <si>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</si>
  <si>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</si>
  <si>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</si>
  <si>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</si>
  <si>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</si>
  <si>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</si>
  <si>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</si>
  <si>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</si>
  <si>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</si>
  <si>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</si>
  <si>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</si>
  <si>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</si>
  <si>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</si>
  <si>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</si>
  <si>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</si>
  <si>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</si>
  <si>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</si>
  <si>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</si>
  <si>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</si>
  <si>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</si>
  <si>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</si>
  <si>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</si>
  <si>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</si>
  <si>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</si>
  <si>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</si>
  <si>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</si>
  <si>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</si>
  <si>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</si>
  <si>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</si>
  <si>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</si>
  <si>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</si>
  <si>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</si>
  <si>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</si>
  <si>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</si>
  <si>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</si>
  <si>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</si>
  <si>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</si>
  <si>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</si>
  <si>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</si>
  <si>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</si>
  <si>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</si>
  <si>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</si>
  <si>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</si>
  <si>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WABASH</t>
  </si>
  <si>
    <t>P.O. BOX 130</t>
  </si>
  <si>
    <t>ALLENDALE</t>
  </si>
  <si>
    <t>BBOWSER@ALLENDALESCHOOL.NET</t>
  </si>
  <si>
    <t>X</t>
  </si>
  <si>
    <t>BOB BOWSER</t>
  </si>
  <si>
    <t>618-299-3161</t>
  </si>
  <si>
    <t>618-299-2015</t>
  </si>
  <si>
    <t>TERRY L. HARPER, CPA</t>
  </si>
  <si>
    <t>TERRY L. HARPER</t>
  </si>
  <si>
    <t>9 N FIFTH ST.</t>
  </si>
  <si>
    <t>ALBION</t>
  </si>
  <si>
    <t>IL</t>
  </si>
  <si>
    <t>618-445-3433</t>
  </si>
  <si>
    <t>618-445-3969</t>
  </si>
  <si>
    <t>065-011645</t>
  </si>
  <si>
    <t>HARPERCPA@FRONTIER.COM</t>
  </si>
  <si>
    <t>BETH RISTER</t>
  </si>
  <si>
    <t>BRISER@ROE20.ORG</t>
  </si>
  <si>
    <t>618-253-5581</t>
  </si>
  <si>
    <t>618-252-8472</t>
  </si>
  <si>
    <t>Fire Prevention &amp; Life Safety</t>
  </si>
  <si>
    <t>ED-Fiscal Services-PurchasedServices</t>
  </si>
  <si>
    <t>Britt Shepherd</t>
  </si>
  <si>
    <t>Regional Office of Education</t>
  </si>
  <si>
    <t>ED &amp; Tort, Other Local Revenue, A/C #1999 - $199 is a healthcare settlement</t>
  </si>
  <si>
    <t>Ed, Other Restricted Revenue from State, A/C #3999 - $750 - State Library Grant</t>
  </si>
  <si>
    <t>Ed, Other Restricted Revenue from Federal, A/C #4998 - $6,848 - REAP Grant</t>
  </si>
  <si>
    <t xml:space="preserve"> Allendale CCSD 17</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</si>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</sst>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790575</xdr:colOff>
          <xdr:row>9</xdr:row>
          <xdr:rowOff>38100</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1</xdr:col>
          <xdr:colOff>790575</xdr:colOff>
          <xdr:row>14</xdr:row>
          <xdr:rowOff>38100</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B6" sqref="B6"/>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2003</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2080</v>
      </c>
      <c r="C5" s="26" t="s">
        <v>904</v>
      </c>
      <c r="D5" s="81"/>
      <c r="E5" s="81"/>
      <c r="H5" s="38"/>
      <c r="I5" s="2125" t="s">
        <v>675</v>
      </c>
      <c r="J5" s="2070"/>
      <c r="K5" s="2070"/>
      <c r="L5" s="2070"/>
      <c r="M5" s="2070"/>
      <c r="N5" s="2070"/>
      <c r="O5" s="2070"/>
      <c r="P5" s="2070"/>
      <c r="Q5" s="2070"/>
      <c r="R5" s="2070"/>
      <c r="S5" s="2070"/>
      <c r="AF5" s="1827"/>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2055</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20093017024</v>
      </c>
      <c r="B13" s="2087"/>
      <c r="C13" s="2087"/>
      <c r="D13" s="2087"/>
      <c r="E13" s="2087"/>
      <c r="F13" s="2087"/>
      <c r="G13" s="2087"/>
      <c r="H13" s="2088"/>
      <c r="I13" s="31"/>
      <c r="J13" s="30"/>
      <c r="K13" s="28"/>
      <c r="L13" s="30"/>
      <c r="M13" s="30"/>
      <c r="N13" s="30"/>
      <c r="O13" s="30"/>
      <c r="P13" s="30"/>
      <c r="Q13" s="30"/>
      <c r="R13" s="30"/>
      <c r="S13" s="30"/>
      <c r="T13" s="2091" t="s">
        <v>2059</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2051</v>
      </c>
      <c r="B15" s="2089"/>
      <c r="C15" s="2089"/>
      <c r="D15" s="2089"/>
      <c r="E15" s="2089"/>
      <c r="F15" s="2089"/>
      <c r="G15" s="2089"/>
      <c r="H15" s="2090"/>
      <c r="T15" s="2052" t="s">
        <v>2060</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2079</v>
      </c>
      <c r="B17" s="2114"/>
      <c r="C17" s="2114"/>
      <c r="D17" s="2114"/>
      <c r="E17" s="2114"/>
      <c r="F17" s="2114"/>
      <c r="G17" s="2114"/>
      <c r="H17" s="2115"/>
      <c r="T17" s="2101" t="s">
        <v>2061</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2052</v>
      </c>
      <c r="B19" s="2085"/>
      <c r="C19" s="2085"/>
      <c r="D19" s="2085"/>
      <c r="E19" s="2085"/>
      <c r="F19" s="2085"/>
      <c r="G19" s="2085"/>
      <c r="H19" s="2083"/>
      <c r="I19" s="30"/>
      <c r="J19" s="96"/>
      <c r="K19" s="40"/>
      <c r="L19" s="38"/>
      <c r="M19" s="109" t="s">
        <v>312</v>
      </c>
      <c r="P19" s="27"/>
      <c r="Q19" s="27"/>
      <c r="R19" s="27"/>
      <c r="S19" s="31"/>
      <c r="T19" s="2084" t="s">
        <v>2062</v>
      </c>
      <c r="U19" s="2082"/>
      <c r="V19" s="2082"/>
      <c r="W19" s="2083"/>
      <c r="X19" s="2099" t="s">
        <v>2063</v>
      </c>
      <c r="Y19" s="2100"/>
      <c r="Z19" s="2097">
        <v>62806</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2053</v>
      </c>
      <c r="B21" s="2082"/>
      <c r="C21" s="2082"/>
      <c r="D21" s="2082"/>
      <c r="E21" s="2082"/>
      <c r="F21" s="2082"/>
      <c r="G21" s="2082"/>
      <c r="H21" s="2083"/>
      <c r="I21" s="2107" t="s">
        <v>673</v>
      </c>
      <c r="J21" s="2070"/>
      <c r="K21" s="2070"/>
      <c r="L21" s="2070"/>
      <c r="M21" s="2070"/>
      <c r="N21" s="2070"/>
      <c r="O21" s="2070"/>
      <c r="P21" s="2070"/>
      <c r="Q21" s="2070"/>
      <c r="R21" s="2070"/>
      <c r="S21" s="2071"/>
      <c r="T21" s="2049" t="s">
        <v>2064</v>
      </c>
      <c r="U21" s="2050"/>
      <c r="V21" s="2050"/>
      <c r="W21" s="2050"/>
      <c r="X21" s="2063" t="s">
        <v>2065</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t="s">
        <v>2054</v>
      </c>
      <c r="B23" s="2105"/>
      <c r="C23" s="2105"/>
      <c r="D23" s="2105"/>
      <c r="E23" s="2105"/>
      <c r="F23" s="2105"/>
      <c r="G23" s="2105"/>
      <c r="H23" s="2106"/>
      <c r="T23" s="2044" t="s">
        <v>2066</v>
      </c>
      <c r="U23" s="2045"/>
      <c r="V23" s="2045"/>
      <c r="W23" s="2045"/>
      <c r="X23" s="2060">
        <v>44469</v>
      </c>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62410</v>
      </c>
      <c r="B25" s="2082"/>
      <c r="C25" s="2082"/>
      <c r="D25" s="2082"/>
      <c r="E25" s="2082"/>
      <c r="F25" s="2082"/>
      <c r="G25" s="2082"/>
      <c r="H25" s="2083"/>
      <c r="I25" s="110"/>
      <c r="J25" s="2148"/>
      <c r="K25" s="2148"/>
      <c r="L25" s="2148"/>
      <c r="M25" s="2148"/>
      <c r="N25" s="2148"/>
      <c r="O25" s="2148"/>
      <c r="P25" s="2148"/>
      <c r="Q25" s="2148"/>
      <c r="R25" s="2148"/>
      <c r="S25" s="2149"/>
      <c r="T25" s="2041" t="s">
        <v>2067</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2055</v>
      </c>
      <c r="M29" s="40" t="s">
        <v>99</v>
      </c>
      <c r="N29" s="32" t="s">
        <v>1506</v>
      </c>
      <c r="O29" s="32"/>
      <c r="P29" s="32"/>
      <c r="Q29" s="32"/>
      <c r="R29" s="32"/>
      <c r="S29" s="120"/>
      <c r="T29" s="6"/>
      <c r="U29" s="6"/>
      <c r="V29" s="6"/>
      <c r="W29" s="6"/>
      <c r="X29" s="6"/>
      <c r="Y29" s="6"/>
      <c r="Z29" s="6"/>
      <c r="AA29" s="129"/>
    </row>
    <row r="30" spans="1:27" ht="13.5" customHeight="1" x14ac:dyDescent="0.2">
      <c r="A30" s="149"/>
      <c r="B30" s="133" t="s">
        <v>2055</v>
      </c>
      <c r="C30" s="121" t="s">
        <v>1154</v>
      </c>
      <c r="D30" s="28"/>
      <c r="E30" s="28"/>
      <c r="F30" s="136"/>
      <c r="G30" s="111"/>
      <c r="H30" s="111"/>
      <c r="I30" s="51"/>
      <c r="J30" s="99"/>
      <c r="K30" s="28" t="s">
        <v>572</v>
      </c>
      <c r="L30" s="144" t="s">
        <v>2055</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2055</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2056</v>
      </c>
      <c r="B38" s="2114"/>
      <c r="C38" s="2114"/>
      <c r="D38" s="2114"/>
      <c r="E38" s="2114"/>
      <c r="F38" s="2082"/>
      <c r="G38" s="2082"/>
      <c r="H38" s="2083"/>
      <c r="I38" s="2133"/>
      <c r="J38" s="2053"/>
      <c r="K38" s="2053"/>
      <c r="L38" s="2053"/>
      <c r="M38" s="2053"/>
      <c r="N38" s="2053"/>
      <c r="O38" s="2053"/>
      <c r="P38" s="2054"/>
      <c r="Q38" s="2054"/>
      <c r="R38" s="2054"/>
      <c r="S38" s="2055"/>
      <c r="T38" s="2052" t="s">
        <v>2068</v>
      </c>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2054</v>
      </c>
      <c r="B40" s="2141"/>
      <c r="C40" s="2142"/>
      <c r="D40" s="2142"/>
      <c r="E40" s="2142"/>
      <c r="F40" s="2143"/>
      <c r="G40" s="2143"/>
      <c r="H40" s="2144"/>
      <c r="I40" s="2056"/>
      <c r="J40" s="2058"/>
      <c r="K40" s="2058"/>
      <c r="L40" s="2058"/>
      <c r="M40" s="2058"/>
      <c r="N40" s="2058"/>
      <c r="O40" s="2058"/>
      <c r="P40" s="2058"/>
      <c r="Q40" s="2058"/>
      <c r="R40" s="2058"/>
      <c r="S40" s="2059"/>
      <c r="T40" s="2056" t="s">
        <v>2069</v>
      </c>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2057</v>
      </c>
      <c r="B42" s="2131"/>
      <c r="C42" s="2132"/>
      <c r="D42" s="2145" t="s">
        <v>2058</v>
      </c>
      <c r="E42" s="2131"/>
      <c r="F42" s="2131"/>
      <c r="G42" s="2131"/>
      <c r="H42" s="2132"/>
      <c r="I42" s="2051"/>
      <c r="J42" s="2047"/>
      <c r="K42" s="2047"/>
      <c r="L42" s="2047"/>
      <c r="M42" s="2047"/>
      <c r="N42" s="2047"/>
      <c r="O42" s="2048"/>
      <c r="P42" s="2046"/>
      <c r="Q42" s="2047"/>
      <c r="R42" s="2047"/>
      <c r="S42" s="2048"/>
      <c r="T42" s="2051" t="s">
        <v>2070</v>
      </c>
      <c r="U42" s="2047"/>
      <c r="V42" s="2047"/>
      <c r="W42" s="2048"/>
      <c r="X42" s="2046" t="s">
        <v>2071</v>
      </c>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270795</v>
      </c>
      <c r="C4" s="1722"/>
      <c r="D4" s="1723">
        <f>B4-C4</f>
        <v>270795</v>
      </c>
      <c r="E4" s="1722">
        <v>278919</v>
      </c>
      <c r="F4" s="1723">
        <f>E4-C4</f>
        <v>278919</v>
      </c>
    </row>
    <row r="5" spans="1:8" ht="13.7" customHeight="1" x14ac:dyDescent="0.2">
      <c r="A5" s="579" t="s">
        <v>865</v>
      </c>
      <c r="B5" s="1724">
        <f>'Revenues 9-14'!D5</f>
        <v>64477</v>
      </c>
      <c r="C5" s="1664"/>
      <c r="D5" s="1725">
        <f t="shared" ref="D5:D18" si="0">B5-C5</f>
        <v>64477</v>
      </c>
      <c r="E5" s="1664">
        <v>66411</v>
      </c>
      <c r="F5" s="1725">
        <f>E5-C5</f>
        <v>66411</v>
      </c>
    </row>
    <row r="6" spans="1:8" ht="13.7" customHeight="1" x14ac:dyDescent="0.2">
      <c r="A6" s="579" t="s">
        <v>408</v>
      </c>
      <c r="B6" s="1724">
        <f>'Revenues 9-14'!E5</f>
        <v>55159</v>
      </c>
      <c r="C6" s="1664"/>
      <c r="D6" s="1725">
        <f t="shared" si="0"/>
        <v>55159</v>
      </c>
      <c r="E6" s="1664">
        <v>56814</v>
      </c>
      <c r="F6" s="1725">
        <f t="shared" ref="F6:F18" si="1">E6-C6</f>
        <v>56814</v>
      </c>
    </row>
    <row r="7" spans="1:8" ht="13.7" customHeight="1" x14ac:dyDescent="0.2">
      <c r="A7" s="579" t="s">
        <v>154</v>
      </c>
      <c r="B7" s="1724">
        <f>'Revenues 9-14'!F5</f>
        <v>25801</v>
      </c>
      <c r="C7" s="1664"/>
      <c r="D7" s="1725">
        <f t="shared" si="0"/>
        <v>25801</v>
      </c>
      <c r="E7" s="1664">
        <v>26575</v>
      </c>
      <c r="F7" s="1725">
        <f t="shared" si="1"/>
        <v>26575</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6456</v>
      </c>
      <c r="C10" s="1664"/>
      <c r="D10" s="1725">
        <f t="shared" si="0"/>
        <v>6456</v>
      </c>
      <c r="E10" s="1664">
        <v>6650</v>
      </c>
      <c r="F10" s="1725">
        <f t="shared" si="1"/>
        <v>6650</v>
      </c>
    </row>
    <row r="11" spans="1:8" x14ac:dyDescent="0.2">
      <c r="A11" s="579" t="s">
        <v>406</v>
      </c>
      <c r="B11" s="1724">
        <f>'Revenues 9-14'!J5</f>
        <v>55652</v>
      </c>
      <c r="C11" s="1664"/>
      <c r="D11" s="1725">
        <f t="shared" si="0"/>
        <v>55652</v>
      </c>
      <c r="E11" s="1664">
        <v>57322</v>
      </c>
      <c r="F11" s="1725">
        <f t="shared" si="1"/>
        <v>57322</v>
      </c>
    </row>
    <row r="12" spans="1:8" ht="13.7" customHeight="1" x14ac:dyDescent="0.2">
      <c r="A12" s="579" t="s">
        <v>156</v>
      </c>
      <c r="B12" s="1724">
        <f>'Revenues 9-14'!K5</f>
        <v>6457</v>
      </c>
      <c r="C12" s="1664"/>
      <c r="D12" s="1725">
        <f t="shared" si="0"/>
        <v>6457</v>
      </c>
      <c r="E12" s="1664">
        <v>6651</v>
      </c>
      <c r="F12" s="1725">
        <f t="shared" si="1"/>
        <v>6651</v>
      </c>
    </row>
    <row r="13" spans="1:8" ht="13.7" customHeight="1" x14ac:dyDescent="0.2">
      <c r="A13" s="579" t="s">
        <v>930</v>
      </c>
      <c r="B13" s="1724">
        <f>SUM('Revenues 9-14'!C6:D6)</f>
        <v>6457</v>
      </c>
      <c r="C13" s="1664"/>
      <c r="D13" s="1725">
        <f t="shared" si="0"/>
        <v>6457</v>
      </c>
      <c r="E13" s="1664">
        <v>6651</v>
      </c>
      <c r="F13" s="1725">
        <f t="shared" si="1"/>
        <v>6651</v>
      </c>
    </row>
    <row r="14" spans="1:8" ht="13.7" customHeight="1" x14ac:dyDescent="0.2">
      <c r="A14" s="579" t="s">
        <v>407</v>
      </c>
      <c r="B14" s="1724">
        <f>SUM('Revenues 9-14'!C7:D7,'Revenues 9-14'!F7:H7)</f>
        <v>5160</v>
      </c>
      <c r="C14" s="1664"/>
      <c r="D14" s="1725">
        <f t="shared" si="0"/>
        <v>5160</v>
      </c>
      <c r="E14" s="1664">
        <v>5315</v>
      </c>
      <c r="F14" s="1725">
        <f t="shared" si="1"/>
        <v>5315</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26879</v>
      </c>
      <c r="C16" s="1664"/>
      <c r="D16" s="1725">
        <f t="shared" si="0"/>
        <v>26879</v>
      </c>
      <c r="E16" s="1664">
        <v>27685</v>
      </c>
      <c r="F16" s="1725">
        <f t="shared" si="1"/>
        <v>27685</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523293</v>
      </c>
      <c r="C19" s="1726">
        <f>SUM(C4:C18)</f>
        <v>0</v>
      </c>
      <c r="D19" s="1726">
        <f>SUM(D4:D18)</f>
        <v>523293</v>
      </c>
      <c r="E19" s="1726">
        <f>SUM(E4:E18)</f>
        <v>538993</v>
      </c>
      <c r="F19" s="1726">
        <f>SUM(F4:F18)</f>
        <v>538993</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3" colorId="8" zoomScale="110" zoomScaleNormal="110" workbookViewId="0">
      <selection activeCell="J33" sqref="J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1779</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2006</v>
      </c>
      <c r="B24" s="2291"/>
      <c r="C24" s="2299"/>
      <c r="D24" s="2300"/>
      <c r="E24" s="2300"/>
      <c r="F24" s="2301"/>
    </row>
    <row r="25" spans="1:11" ht="13.5" thickBot="1" x14ac:dyDescent="0.25">
      <c r="A25" s="2305" t="s">
        <v>2007</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404</v>
      </c>
      <c r="B31" s="595">
        <v>42948</v>
      </c>
      <c r="C31" s="1734">
        <v>200000</v>
      </c>
      <c r="D31" s="1735">
        <v>1</v>
      </c>
      <c r="E31" s="1734">
        <v>178920</v>
      </c>
      <c r="F31" s="1734"/>
      <c r="G31" s="1734"/>
      <c r="H31" s="1734">
        <v>13081</v>
      </c>
      <c r="I31" s="1736">
        <f>((E31+F31)-H31)+G31</f>
        <v>165839</v>
      </c>
      <c r="J31" s="1734">
        <v>165839</v>
      </c>
      <c r="K31" s="596"/>
    </row>
    <row r="32" spans="1:11" ht="12" customHeight="1" x14ac:dyDescent="0.2">
      <c r="A32" s="594" t="s">
        <v>2072</v>
      </c>
      <c r="B32" s="595">
        <v>42948</v>
      </c>
      <c r="C32" s="1734">
        <v>677600</v>
      </c>
      <c r="D32" s="1735">
        <v>4</v>
      </c>
      <c r="E32" s="1734">
        <v>606180</v>
      </c>
      <c r="F32" s="1734"/>
      <c r="G32" s="1734"/>
      <c r="H32" s="1734">
        <v>44319</v>
      </c>
      <c r="I32" s="1736">
        <f>((E32+F32)-H32)+G32</f>
        <v>561861</v>
      </c>
      <c r="J32" s="1734">
        <v>543264</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877600</v>
      </c>
      <c r="D49" s="1742"/>
      <c r="E49" s="1736">
        <f t="shared" ref="E49:J49" si="2">SUM(E31:E48)</f>
        <v>785100</v>
      </c>
      <c r="F49" s="1736">
        <f t="shared" si="2"/>
        <v>0</v>
      </c>
      <c r="G49" s="1736">
        <f t="shared" si="2"/>
        <v>0</v>
      </c>
      <c r="H49" s="1736">
        <f t="shared" si="2"/>
        <v>57400</v>
      </c>
      <c r="I49" s="1736">
        <f t="shared" si="2"/>
        <v>727700</v>
      </c>
      <c r="J49" s="1736">
        <f t="shared" si="2"/>
        <v>709103</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1789</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8" t="s">
        <v>1790</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0</v>
      </c>
      <c r="I12" s="1755">
        <f>SUM(I5:I11)</f>
        <v>0</v>
      </c>
      <c r="J12" s="1755">
        <f>SUM(J5:J11)</f>
        <v>0</v>
      </c>
      <c r="K12" s="1755">
        <f>SUM(K5:K11)</f>
        <v>0</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c r="I14" s="1749"/>
      <c r="J14" s="1751"/>
      <c r="K14" s="1745"/>
    </row>
    <row r="15" spans="1:11" x14ac:dyDescent="0.2">
      <c r="A15" s="2319" t="s">
        <v>4</v>
      </c>
      <c r="B15" s="2319"/>
      <c r="C15" s="2319"/>
      <c r="D15" s="2319"/>
      <c r="E15" s="2349"/>
      <c r="F15" s="635" t="s">
        <v>850</v>
      </c>
      <c r="G15" s="1749"/>
      <c r="H15" s="1744"/>
      <c r="I15" s="1744"/>
      <c r="J15" s="1745"/>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1786</v>
      </c>
      <c r="B19" s="2356"/>
      <c r="C19" s="2356"/>
      <c r="D19" s="2356"/>
      <c r="E19" s="2357"/>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1792</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13" sqref="D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19115</v>
      </c>
      <c r="D5" s="1770"/>
      <c r="E5" s="1770"/>
      <c r="F5" s="1765">
        <f>(C5+D5)-E5</f>
        <v>19115</v>
      </c>
      <c r="G5" s="676"/>
      <c r="H5" s="680"/>
      <c r="I5" s="680"/>
      <c r="J5" s="680"/>
      <c r="K5" s="637"/>
      <c r="L5" s="1442">
        <f>F5-K5</f>
        <v>19115</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1617981</v>
      </c>
      <c r="D8" s="1771"/>
      <c r="E8" s="1771"/>
      <c r="F8" s="1765">
        <f>(C8+D8)-E8</f>
        <v>1617981</v>
      </c>
      <c r="G8" s="681">
        <v>50</v>
      </c>
      <c r="H8" s="619">
        <v>907702</v>
      </c>
      <c r="I8" s="619">
        <v>32360</v>
      </c>
      <c r="J8" s="619"/>
      <c r="K8" s="1442">
        <f>(H8+I8)-J8</f>
        <v>940062</v>
      </c>
      <c r="L8" s="1442">
        <f>F8-K8</f>
        <v>677919</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143892</v>
      </c>
      <c r="D10" s="1772"/>
      <c r="E10" s="1772"/>
      <c r="F10" s="1773">
        <f>(C10+D10)-E10</f>
        <v>143892</v>
      </c>
      <c r="G10" s="681">
        <v>20</v>
      </c>
      <c r="H10" s="683">
        <v>143892</v>
      </c>
      <c r="I10" s="683"/>
      <c r="J10" s="683"/>
      <c r="K10" s="1442">
        <f>(H10+I10)-J10</f>
        <v>143892</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370643</v>
      </c>
      <c r="D12" s="1771">
        <v>58500</v>
      </c>
      <c r="E12" s="1771"/>
      <c r="F12" s="1765">
        <f>(C12+D12)-E12</f>
        <v>429143</v>
      </c>
      <c r="G12" s="681">
        <v>10</v>
      </c>
      <c r="H12" s="619">
        <v>330705</v>
      </c>
      <c r="I12" s="619">
        <v>10288</v>
      </c>
      <c r="J12" s="619"/>
      <c r="K12" s="1442">
        <f>(H12+I12)-J12</f>
        <v>340993</v>
      </c>
      <c r="L12" s="1442">
        <f>F12-K12</f>
        <v>88150</v>
      </c>
    </row>
    <row r="13" spans="1:14" ht="14.25" thickTop="1" thickBot="1" x14ac:dyDescent="0.25">
      <c r="A13" s="684" t="s">
        <v>1112</v>
      </c>
      <c r="B13" s="679">
        <v>252</v>
      </c>
      <c r="C13" s="1771">
        <v>552989</v>
      </c>
      <c r="D13" s="1771"/>
      <c r="E13" s="1771"/>
      <c r="F13" s="1765">
        <f>(C13+D13)-E13</f>
        <v>552989</v>
      </c>
      <c r="G13" s="681">
        <v>5</v>
      </c>
      <c r="H13" s="619">
        <v>534037</v>
      </c>
      <c r="I13" s="619">
        <v>9775</v>
      </c>
      <c r="J13" s="619"/>
      <c r="K13" s="1442">
        <f>(H13+I13)-J13</f>
        <v>543812</v>
      </c>
      <c r="L13" s="1442">
        <f>F13-K13</f>
        <v>9177</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2704620</v>
      </c>
      <c r="D16" s="1765">
        <f>SUM(D3,D5:D6,D8:D10,D12:D15)</f>
        <v>58500</v>
      </c>
      <c r="E16" s="1765">
        <f>SUM(E3,E5:E6,E8:E10,E12:E15)</f>
        <v>0</v>
      </c>
      <c r="F16" s="1765">
        <f>SUM(F3,F5:F6,F8:F10,F12:F15)</f>
        <v>2763120</v>
      </c>
      <c r="G16" s="681"/>
      <c r="H16" s="1435">
        <f>SUM(H3,H6,H8:H10,H12:H14,)</f>
        <v>1916336</v>
      </c>
      <c r="I16" s="1435">
        <f>SUM(I3,I6,I8:I10,I12:I14,)</f>
        <v>52423</v>
      </c>
      <c r="J16" s="1435">
        <f>SUM(J3,J6,J8:J10,J12:J14,)</f>
        <v>0</v>
      </c>
      <c r="K16" s="1435">
        <f>(H16+I16)-J16</f>
        <v>1968759</v>
      </c>
      <c r="L16" s="1435">
        <f>F16-K16</f>
        <v>794361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12758</v>
      </c>
      <c r="G17" s="676">
        <v>10</v>
      </c>
      <c r="H17" s="621"/>
      <c r="I17" s="1442">
        <f>F17/G17</f>
        <v>1275.8</v>
      </c>
      <c r="J17" s="621"/>
      <c r="K17" s="638"/>
      <c r="L17" s="638"/>
    </row>
    <row r="18" spans="1:12" ht="14.25" thickTop="1" thickBot="1" x14ac:dyDescent="0.25">
      <c r="A18" s="1440" t="s">
        <v>680</v>
      </c>
      <c r="B18" s="1441"/>
      <c r="C18" s="623"/>
      <c r="D18" s="623"/>
      <c r="E18" s="623"/>
      <c r="F18" s="686"/>
      <c r="G18" s="687"/>
      <c r="H18" s="624"/>
      <c r="I18" s="1435">
        <f>SUM(I16,I17)</f>
        <v>53698.8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63" colorId="8" zoomScale="110" zoomScaleNormal="110" workbookViewId="0">
      <selection activeCell="F173" sqref="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1307133</v>
      </c>
      <c r="G8" s="701"/>
    </row>
    <row r="9" spans="1:9" x14ac:dyDescent="0.2">
      <c r="A9" s="705" t="s">
        <v>457</v>
      </c>
      <c r="B9" s="706" t="s">
        <v>1848</v>
      </c>
      <c r="C9" s="707"/>
      <c r="D9" s="705" t="s">
        <v>498</v>
      </c>
      <c r="E9" s="704"/>
      <c r="F9" s="1775">
        <f>'Expenditures 15-22'!K151</f>
        <v>72789</v>
      </c>
      <c r="G9" s="708"/>
    </row>
    <row r="10" spans="1:9" x14ac:dyDescent="0.2">
      <c r="A10" s="705" t="s">
        <v>496</v>
      </c>
      <c r="B10" s="706" t="s">
        <v>1849</v>
      </c>
      <c r="C10" s="707"/>
      <c r="D10" s="705" t="s">
        <v>498</v>
      </c>
      <c r="E10" s="704"/>
      <c r="F10" s="1775">
        <f>'Expenditures 15-22'!K174</f>
        <v>77275</v>
      </c>
      <c r="G10" s="708"/>
    </row>
    <row r="11" spans="1:9" x14ac:dyDescent="0.2">
      <c r="A11" s="705" t="s">
        <v>458</v>
      </c>
      <c r="B11" s="706" t="s">
        <v>1850</v>
      </c>
      <c r="C11" s="707"/>
      <c r="D11" s="705" t="s">
        <v>498</v>
      </c>
      <c r="E11" s="704"/>
      <c r="F11" s="1775">
        <f>'Expenditures 15-22'!K210</f>
        <v>104882</v>
      </c>
      <c r="G11" s="708"/>
    </row>
    <row r="12" spans="1:9" x14ac:dyDescent="0.2">
      <c r="A12" s="705" t="s">
        <v>459</v>
      </c>
      <c r="B12" s="706" t="s">
        <v>1851</v>
      </c>
      <c r="C12" s="707"/>
      <c r="D12" s="705" t="s">
        <v>498</v>
      </c>
      <c r="E12" s="704"/>
      <c r="F12" s="1775">
        <f>'Expenditures 15-22'!K295</f>
        <v>42660</v>
      </c>
      <c r="G12" s="708"/>
    </row>
    <row r="13" spans="1:9" x14ac:dyDescent="0.2">
      <c r="A13" s="705" t="s">
        <v>106</v>
      </c>
      <c r="B13" s="706" t="s">
        <v>1852</v>
      </c>
      <c r="C13" s="707"/>
      <c r="D13" s="705" t="s">
        <v>498</v>
      </c>
      <c r="E13" s="704"/>
      <c r="F13" s="1775">
        <f>'Expenditures 15-22'!K342</f>
        <v>73826</v>
      </c>
      <c r="G13" s="709"/>
    </row>
    <row r="14" spans="1:9" ht="12" customHeight="1" thickBot="1" x14ac:dyDescent="0.25">
      <c r="A14" s="1443"/>
      <c r="B14" s="1444"/>
      <c r="C14" s="1445"/>
      <c r="D14" s="1446" t="s">
        <v>498</v>
      </c>
      <c r="E14" s="1447" t="s">
        <v>952</v>
      </c>
      <c r="F14" s="1776">
        <f>SUM(F8:F13)</f>
        <v>1678565</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70952</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336996</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12758</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57400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50000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2972</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531078</v>
      </c>
      <c r="G77" s="701"/>
    </row>
    <row r="78" spans="1:9" s="728" customFormat="1" ht="12" customHeight="1" thickTop="1" thickBot="1" x14ac:dyDescent="0.25">
      <c r="A78" s="1450"/>
      <c r="B78" s="1448"/>
      <c r="C78" s="1445"/>
      <c r="D78" s="1449" t="s">
        <v>2012</v>
      </c>
      <c r="E78" s="1447"/>
      <c r="F78" s="1788">
        <f>(F14-F77)</f>
        <v>1147487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164.2</v>
      </c>
      <c r="G79" s="733"/>
      <c r="H79" s="705"/>
      <c r="I79" s="705"/>
    </row>
    <row r="80" spans="1:9" s="728" customFormat="1" ht="12" customHeight="1" thickBot="1" x14ac:dyDescent="0.25">
      <c r="A80" s="1452"/>
      <c r="B80" s="1448"/>
      <c r="C80" s="1445"/>
      <c r="D80" s="1449" t="s">
        <v>2013</v>
      </c>
      <c r="E80" s="1447" t="s">
        <v>952</v>
      </c>
      <c r="F80" s="1790">
        <f>IF(F79&gt;0,F78/F79," Complete Line 79")</f>
        <v>6988.3495736906216</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2043</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16024</v>
      </c>
      <c r="G95" s="745"/>
    </row>
    <row r="96" spans="1:7" x14ac:dyDescent="0.2">
      <c r="A96" s="741" t="s">
        <v>139</v>
      </c>
      <c r="B96" s="741" t="s">
        <v>174</v>
      </c>
      <c r="C96" s="743">
        <v>1700</v>
      </c>
      <c r="D96" s="751" t="str">
        <f>'Revenues 9-14'!A82</f>
        <v>Total District/School Activity Income</v>
      </c>
      <c r="E96" s="739"/>
      <c r="F96" s="1793">
        <f>SUM('Revenues 9-14'!C82,'Revenues 9-14'!D82)</f>
        <v>4770</v>
      </c>
      <c r="G96" s="745"/>
    </row>
    <row r="97" spans="1:7" x14ac:dyDescent="0.2">
      <c r="A97" s="741" t="s">
        <v>456</v>
      </c>
      <c r="B97" s="741" t="s">
        <v>175</v>
      </c>
      <c r="C97" s="743">
        <f>'Revenues 9-14'!B84</f>
        <v>1811</v>
      </c>
      <c r="D97" s="744" t="str">
        <f>'Revenues 9-14'!A84</f>
        <v>Rentals - Regular Textbooks</v>
      </c>
      <c r="E97" s="739"/>
      <c r="F97" s="1793">
        <f>'Revenues 9-14'!C84</f>
        <v>8666</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2846</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591</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42582</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79109</v>
      </c>
      <c r="G126" s="763"/>
    </row>
    <row r="127" spans="1:7" x14ac:dyDescent="0.2">
      <c r="A127" s="760" t="s">
        <v>663</v>
      </c>
      <c r="B127" s="760" t="s">
        <v>1931</v>
      </c>
      <c r="C127" s="765">
        <v>4300</v>
      </c>
      <c r="D127" s="766" t="str">
        <f>'Revenues 9-14'!A204</f>
        <v>Total Title I</v>
      </c>
      <c r="E127" s="739"/>
      <c r="F127" s="1793">
        <f>SUM('Revenues 9-14'!C204,'Revenues 9-14'!D204,'Revenues 9-14'!F204,'Revenues 9-14'!G204)</f>
        <v>56574</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8844</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23906</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7081</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2805</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6848</v>
      </c>
      <c r="G171" s="760"/>
    </row>
    <row r="172" spans="1:7" x14ac:dyDescent="0.2">
      <c r="A172" s="1529" t="s">
        <v>5</v>
      </c>
      <c r="B172" s="1530" t="s">
        <v>1885</v>
      </c>
      <c r="C172" s="1531">
        <v>3100</v>
      </c>
      <c r="D172" s="1532" t="s">
        <v>1887</v>
      </c>
      <c r="E172" s="739"/>
      <c r="F172" s="1794">
        <v>47270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310709</v>
      </c>
    </row>
    <row r="176" spans="1:7" ht="12" customHeight="1" x14ac:dyDescent="0.2">
      <c r="A176" s="1443"/>
      <c r="B176" s="1453"/>
      <c r="C176" s="1454"/>
      <c r="D176" s="1455" t="s">
        <v>2014</v>
      </c>
      <c r="E176" s="1456"/>
      <c r="F176" s="1793">
        <f>'PCTC-OEPP 27-28'!F78-F175</f>
        <v>836778</v>
      </c>
    </row>
    <row r="177" spans="1:9" ht="12" customHeight="1" x14ac:dyDescent="0.2">
      <c r="A177" s="1443"/>
      <c r="B177" s="1453"/>
      <c r="C177" s="1454"/>
      <c r="D177" s="1455" t="s">
        <v>1794</v>
      </c>
      <c r="E177" s="1456"/>
      <c r="F177" s="1793">
        <f>'Cap Outlay Deprec 26'!I18</f>
        <v>53698.8</v>
      </c>
    </row>
    <row r="178" spans="1:9" ht="12" customHeight="1" x14ac:dyDescent="0.2">
      <c r="A178" s="1443"/>
      <c r="B178" s="1453"/>
      <c r="C178" s="1454"/>
      <c r="D178" s="1455" t="s">
        <v>2015</v>
      </c>
      <c r="E178" s="1456"/>
      <c r="F178" s="1793">
        <f>F176+F177</f>
        <v>890476.8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164.2</v>
      </c>
      <c r="G179" s="763"/>
      <c r="I179" s="701"/>
    </row>
    <row r="180" spans="1:9" ht="12" customHeight="1" thickBot="1" x14ac:dyDescent="0.25">
      <c r="A180" s="1443"/>
      <c r="B180" s="1457"/>
      <c r="C180" s="1454"/>
      <c r="D180" s="1455" t="s">
        <v>2017</v>
      </c>
      <c r="E180" s="1456" t="s">
        <v>1528</v>
      </c>
      <c r="F180" s="1798">
        <f>F178/F179</f>
        <v>5423.1230207064564</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E18" sqref="E18"/>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2073</v>
      </c>
      <c r="B18" s="1908">
        <v>102520300</v>
      </c>
      <c r="C18" s="2036" t="s">
        <v>2074</v>
      </c>
      <c r="D18" s="1886">
        <v>9000</v>
      </c>
      <c r="E18" s="1906">
        <f t="shared" ref="E18:E81" si="0">IF(D18&lt;25000,D18,"25,000")</f>
        <v>9000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9000</v>
      </c>
      <c r="E142" s="1893">
        <f>SUM(E18:E141)</f>
        <v>9000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7"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43504</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680045</v>
      </c>
      <c r="F19" s="1802"/>
      <c r="G19" s="1804">
        <f>'Expenditures 15-22'!K33-SUM('Expenditures 15-22'!G33,'Expenditures 15-22'!I33)+'Expenditures 15-22'!D229</f>
        <v>680045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26424</v>
      </c>
      <c r="F21" s="1805"/>
      <c r="G21" s="1808">
        <f>'Expenditures 15-22'!K42-SUM('Expenditures 15-22'!G42,'Expenditures 15-22'!I42)+'Expenditures 15-22'!K120-SUM('Expenditures 15-22'!G120,'Expenditures 15-22'!I120)+'Expenditures 15-22'!K180-SUM('Expenditures 15-22'!G180,'Expenditures 15-22'!I180)+'Expenditures 15-22'!D238</f>
        <v>26424</v>
      </c>
      <c r="H21" s="817"/>
      <c r="I21" s="157"/>
    </row>
    <row r="22" spans="1:9" s="542" customFormat="1" ht="12" customHeight="1" x14ac:dyDescent="0.2">
      <c r="A22" s="824" t="s">
        <v>560</v>
      </c>
      <c r="B22" s="825"/>
      <c r="C22" s="823">
        <v>2200</v>
      </c>
      <c r="D22" s="1805"/>
      <c r="E22" s="1807">
        <f>'Expenditures 15-22'!K47-SUM('Expenditures 15-22'!G47,'Expenditures 15-22'!I47)+'Expenditures 15-22'!D243</f>
        <v>46513</v>
      </c>
      <c r="F22" s="1805"/>
      <c r="G22" s="1808">
        <f>'Expenditures 15-22'!K47-SUM('Expenditures 15-22'!G47,'Expenditures 15-22'!I47)+'Expenditures 15-22'!D243</f>
        <v>46513</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94964</v>
      </c>
      <c r="F23" s="1805"/>
      <c r="G23" s="1807">
        <f>'Expenditures 15-22'!K53-SUM('Expenditures 15-22'!G53,'Expenditures 15-22'!I53)+'Expenditures 15-22'!D257+'Expenditures 15-22'!K330-SUM('Expenditures 15-22'!G330,'Expenditures 15-22'!I330)</f>
        <v>94964</v>
      </c>
      <c r="H23" s="817"/>
      <c r="I23" s="157"/>
    </row>
    <row r="24" spans="1:9" s="542" customFormat="1" ht="12" customHeight="1" x14ac:dyDescent="0.2">
      <c r="A24" s="824" t="s">
        <v>562</v>
      </c>
      <c r="B24" s="825"/>
      <c r="C24" s="823">
        <v>2400</v>
      </c>
      <c r="D24" s="1805"/>
      <c r="E24" s="1807">
        <f>'Expenditures 15-22'!K57-SUM('Expenditures 15-22'!G57,'Expenditures 15-22'!I57)+'Expenditures 15-22'!D261</f>
        <v>109842</v>
      </c>
      <c r="F24" s="1805"/>
      <c r="G24" s="1808">
        <f>'Expenditures 15-22'!K57-SUM('Expenditures 15-22'!G57,'Expenditures 15-22'!I57)+'Expenditures 15-22'!D261</f>
        <v>109842</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9917</v>
      </c>
      <c r="E26" s="1807">
        <f>'Expenditures 15-22'!K122-SUM('Expenditures 15-22'!G122,'Expenditures 15-22'!I122)+E7</f>
        <v>0</v>
      </c>
      <c r="F26" s="1807">
        <f>'Expenditures 15-22'!K59-SUM('Expenditures 15-22'!G59,'Expenditures 15-22'!I59)+'Expenditures 15-22'!D263-E7</f>
        <v>9917</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9000</v>
      </c>
      <c r="E27" s="1807">
        <f>E8</f>
        <v>0</v>
      </c>
      <c r="F27" s="1807">
        <f>'Expenditures 15-22'!K60-SUM('Expenditures 15-22'!G60,'Expenditures 15-22'!I60)+'Expenditures 15-22'!D264-E8</f>
        <v>9000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76750</v>
      </c>
      <c r="F28" s="1809">
        <f>'Expenditures 15-22'!K61-SUM('Expenditures 15-22'!G61,'Expenditures 15-22'!I61)+'Expenditures 15-22'!K124-SUM('Expenditures 15-22'!G124,'Expenditures 15-22'!I124)+'Expenditures 15-22'!D266-E9</f>
        <v>76750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59271</v>
      </c>
      <c r="F29" s="1805"/>
      <c r="G29" s="1808">
        <f>'Expenditures 15-22'!K62-SUM('Expenditures 15-22'!G62,'Expenditures 15-22'!I62)+'Expenditures 15-22'!K125-SUM('Expenditures 15-22'!G125,'Expenditures 15-22'!I125)+'Expenditures 15-22'!K182-SUM('Expenditures 15-22'!G182,'Expenditures 15-22'!I182)+'Expenditures 15-22'!D267</f>
        <v>59271</v>
      </c>
      <c r="H29" s="815"/>
    </row>
    <row r="30" spans="1:9" ht="12" customHeight="1" x14ac:dyDescent="0.2">
      <c r="A30" s="824" t="s">
        <v>100</v>
      </c>
      <c r="B30" s="827"/>
      <c r="C30" s="823">
        <v>2560</v>
      </c>
      <c r="D30" s="1805"/>
      <c r="E30" s="1807">
        <f>'Expenditures 15-22'!K63-SUM('Expenditures 15-22'!G63,'Expenditures 15-22'!I63)+'Expenditures 15-22'!D268-E10</f>
        <v>41727</v>
      </c>
      <c r="F30" s="1805"/>
      <c r="G30" s="1807">
        <f>'Expenditures 15-22'!K63-SUM('Expenditures 15-22'!G63,'Expenditures 15-22'!I63)+'Expenditures 15-22'!D268-E10</f>
        <v>41727</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3579</v>
      </c>
      <c r="F35" s="1805"/>
      <c r="G35" s="1807">
        <f>'Expenditures 15-22'!K69-SUM('Expenditures 15-22'!G69,'Expenditures 15-22'!I69)+'Expenditures 15-22'!D274</f>
        <v>3579</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18917</v>
      </c>
      <c r="E41" s="1809">
        <f>SUM(E19:E40)</f>
        <v>1139115</v>
      </c>
      <c r="F41" s="1809">
        <f>SUM(F19:F39)</f>
        <v>95667</v>
      </c>
      <c r="G41" s="1809">
        <f>SUM(G19:G40)</f>
        <v>1062365</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18917</v>
      </c>
      <c r="F43" s="1458" t="s">
        <v>470</v>
      </c>
      <c r="G43" s="1810">
        <f>F41</f>
        <v>95667</v>
      </c>
    </row>
    <row r="44" spans="1:7" ht="12" customHeight="1" x14ac:dyDescent="0.2">
      <c r="A44" s="817"/>
      <c r="B44" s="157"/>
      <c r="C44" s="831"/>
      <c r="D44" s="1458" t="s">
        <v>471</v>
      </c>
      <c r="E44" s="1810">
        <f>E41</f>
        <v>1139115</v>
      </c>
      <c r="F44" s="1458" t="s">
        <v>471</v>
      </c>
      <c r="G44" s="1810">
        <f>G41</f>
        <v>1062365</v>
      </c>
    </row>
    <row r="45" spans="1:7" ht="12" customHeight="1" x14ac:dyDescent="0.2">
      <c r="A45" s="817"/>
      <c r="B45" s="157"/>
      <c r="C45" s="157"/>
      <c r="D45" s="1459" t="s">
        <v>999</v>
      </c>
      <c r="E45" s="1811">
        <f>(E43/E44)</f>
        <v>1.6606751732704775E-2</v>
      </c>
      <c r="F45" s="1459" t="s">
        <v>999</v>
      </c>
      <c r="G45" s="1811">
        <f>(G43/G44)</f>
        <v>9.0050971182220801E-2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C25" sqref="C25"/>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 xml:space="preserve"> Allendale CCSD 17</v>
      </c>
      <c r="D6" s="2404"/>
      <c r="E6" s="2404"/>
      <c r="F6" s="1482"/>
      <c r="G6" s="1507"/>
      <c r="L6" s="1507"/>
      <c r="M6" s="1855"/>
      <c r="N6" s="1855"/>
      <c r="O6" s="1855"/>
    </row>
    <row r="7" spans="1:15" ht="11.25" customHeight="1" thickBot="1" x14ac:dyDescent="0.3">
      <c r="A7" s="1480"/>
      <c r="B7" s="1481"/>
      <c r="C7" s="2405">
        <f>COVER!A13</f>
        <v>20093017024</v>
      </c>
      <c r="D7" s="2405"/>
      <c r="E7" s="240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2055</v>
      </c>
      <c r="D24" s="1495" t="s">
        <v>2055</v>
      </c>
      <c r="E24" s="1498" t="s">
        <v>2055</v>
      </c>
      <c r="F24" s="1497" t="s">
        <v>2075</v>
      </c>
      <c r="G24" s="1507"/>
      <c r="H24" s="1507">
        <f t="shared" si="0"/>
        <v>5</v>
      </c>
      <c r="I24" s="1507">
        <f t="shared" si="1"/>
        <v>5</v>
      </c>
      <c r="J24" s="1507">
        <f t="shared" si="2"/>
        <v>5</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6" sqref="I16"/>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0" t="str">
        <f>COVER!A17</f>
        <v xml:space="preserve"> Allendale CCSD 17</v>
      </c>
      <c r="K6" s="2420"/>
      <c r="L6" s="2421"/>
      <c r="M6" s="838"/>
      <c r="N6" s="1998"/>
    </row>
    <row r="7" spans="1:14" x14ac:dyDescent="0.2">
      <c r="A7" s="2422" t="s">
        <v>864</v>
      </c>
      <c r="B7" s="2423"/>
      <c r="C7" s="2423"/>
      <c r="D7" s="2423"/>
      <c r="E7" s="2424"/>
      <c r="F7" s="839"/>
      <c r="G7" s="838"/>
      <c r="H7" s="838"/>
      <c r="I7" s="1924" t="s">
        <v>369</v>
      </c>
      <c r="J7" s="2425">
        <f>COVER!A13</f>
        <v>20093017024</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6" t="s">
        <v>478</v>
      </c>
      <c r="B11" s="2427"/>
      <c r="C11" s="242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5805</v>
      </c>
      <c r="F12" s="1942"/>
      <c r="G12" s="1968">
        <f>G68</f>
        <v>0</v>
      </c>
      <c r="H12" s="1944">
        <f t="shared" ref="H12:H18" si="0">SUM(E12:G12)</f>
        <v>5805</v>
      </c>
      <c r="I12" s="1943">
        <v>6057</v>
      </c>
      <c r="J12" s="1942"/>
      <c r="K12" s="1943"/>
      <c r="L12" s="1944">
        <f t="shared" ref="L12:L18" si="1">SUM(I12:K12)</f>
        <v>6057</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9073</v>
      </c>
      <c r="F15" s="1944">
        <f>'Expenditures 15-22'!K122</f>
        <v>0</v>
      </c>
      <c r="G15" s="1968">
        <f>J68</f>
        <v>0</v>
      </c>
      <c r="H15" s="1944">
        <f t="shared" si="0"/>
        <v>9073</v>
      </c>
      <c r="I15" s="1943">
        <v>9200</v>
      </c>
      <c r="J15" s="1943"/>
      <c r="K15" s="1943"/>
      <c r="L15" s="1944">
        <f t="shared" si="1"/>
        <v>9200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9" t="s">
        <v>7</v>
      </c>
      <c r="C18" s="2430"/>
      <c r="D18" s="243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14878</v>
      </c>
      <c r="F19" s="1950">
        <f t="shared" si="2"/>
        <v>0</v>
      </c>
      <c r="G19" s="1950">
        <f>SUM(G12:G17)-G18</f>
        <v>0</v>
      </c>
      <c r="H19" s="1950">
        <f t="shared" si="2"/>
        <v>14878</v>
      </c>
      <c r="I19" s="1950">
        <f t="shared" si="2"/>
        <v>15257</v>
      </c>
      <c r="J19" s="1950">
        <f t="shared" si="2"/>
        <v>0</v>
      </c>
      <c r="K19" s="1950">
        <f t="shared" si="2"/>
        <v>0</v>
      </c>
      <c r="L19" s="1950">
        <f t="shared" si="2"/>
        <v>15257</v>
      </c>
      <c r="M19" s="838"/>
      <c r="N19" s="1998"/>
    </row>
    <row r="20" spans="1:14" ht="13.5" thickTop="1" x14ac:dyDescent="0.2">
      <c r="A20" s="2003">
        <v>9</v>
      </c>
      <c r="B20" s="2432" t="s">
        <v>2021</v>
      </c>
      <c r="C20" s="2432"/>
      <c r="D20" s="2433"/>
      <c r="E20" s="1951"/>
      <c r="F20" s="1951"/>
      <c r="G20" s="1951"/>
      <c r="H20" s="1951"/>
      <c r="I20" s="1951"/>
      <c r="J20" s="1951"/>
      <c r="K20" s="1951"/>
      <c r="L20" s="1952">
        <f>IF(AND(H19&gt;0,L19&gt;0),(((L19-H19)/H19)),"Enter Budget Data")</f>
        <v>2.5473854012636108E-2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1026</v>
      </c>
      <c r="D28" s="844"/>
      <c r="E28" s="1958"/>
      <c r="F28" s="2436" t="s">
        <v>1492</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1544</v>
      </c>
      <c r="D30" s="838"/>
      <c r="E30" s="1959"/>
      <c r="F30" s="2419" t="s">
        <v>1493</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2024</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2025</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2" t="s">
        <v>2026</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0" t="str">
        <f>J6</f>
        <v xml:space="preserve"> Allendale CCSD 17</v>
      </c>
      <c r="M52" s="2420"/>
      <c r="N52" s="2450"/>
    </row>
    <row r="53" spans="1:14" x14ac:dyDescent="0.2">
      <c r="A53" s="1982"/>
      <c r="B53" s="1983"/>
      <c r="C53" s="1983"/>
      <c r="D53" s="1983"/>
      <c r="E53" s="1983"/>
      <c r="F53" s="1983"/>
      <c r="G53" s="1983"/>
      <c r="H53" s="1983"/>
      <c r="I53" s="1983"/>
      <c r="J53" s="1983"/>
      <c r="K53" s="1924" t="s">
        <v>369</v>
      </c>
      <c r="L53" s="2425">
        <f>J7</f>
        <v>20093017024</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2030</v>
      </c>
      <c r="H55" s="2454"/>
      <c r="I55" s="2454"/>
      <c r="J55" s="2454"/>
      <c r="K55" s="2454"/>
      <c r="L55" s="2454"/>
      <c r="M55" s="2454"/>
      <c r="N55" s="2455"/>
    </row>
    <row r="56" spans="1:14" ht="63.75" x14ac:dyDescent="0.2">
      <c r="A56" s="2456" t="s">
        <v>2031</v>
      </c>
      <c r="B56" s="2457"/>
      <c r="C56" s="245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2041</v>
      </c>
      <c r="B58" s="2439"/>
      <c r="C58" s="2439"/>
      <c r="D58" s="1967">
        <v>2362</v>
      </c>
      <c r="E58" s="1977">
        <f>'Expenditures 15-22'!K320</f>
        <v>14056</v>
      </c>
      <c r="F58" s="1972"/>
      <c r="G58" s="2031"/>
      <c r="H58" s="2032"/>
      <c r="I58" s="2032"/>
      <c r="J58" s="2032"/>
      <c r="K58" s="2032"/>
      <c r="L58" s="2032"/>
      <c r="M58" s="2032">
        <v>14056</v>
      </c>
      <c r="N58" s="1975">
        <f>IF((SUM(G58:M58))=E58,SUM(G58:M58),"Column N does not agree with Column E")</f>
        <v>14056</v>
      </c>
    </row>
    <row r="59" spans="1:14" ht="24.75" customHeight="1" x14ac:dyDescent="0.2">
      <c r="A59" s="2461" t="s">
        <v>297</v>
      </c>
      <c r="B59" s="2462"/>
      <c r="C59" s="2462"/>
      <c r="D59" s="1967">
        <v>2363</v>
      </c>
      <c r="E59" s="1977">
        <f>'Expenditures 15-22'!K321</f>
        <v>83</v>
      </c>
      <c r="F59" s="1972"/>
      <c r="G59" s="2031"/>
      <c r="H59" s="2032"/>
      <c r="I59" s="2032"/>
      <c r="J59" s="2032"/>
      <c r="K59" s="2032"/>
      <c r="L59" s="2032"/>
      <c r="M59" s="2032">
        <v>83</v>
      </c>
      <c r="N59" s="1975">
        <f>IF((SUM(G59:M59))=E59,SUM(G59:M59),"Column N does not agree with Column E")</f>
        <v>83</v>
      </c>
    </row>
    <row r="60" spans="1:14" ht="24" customHeight="1" x14ac:dyDescent="0.2">
      <c r="A60" s="2461" t="s">
        <v>236</v>
      </c>
      <c r="B60" s="2462"/>
      <c r="C60" s="2462"/>
      <c r="D60" s="1967">
        <v>2364</v>
      </c>
      <c r="E60" s="1977">
        <f>'Expenditures 15-22'!K322</f>
        <v>34193</v>
      </c>
      <c r="F60" s="1972"/>
      <c r="G60" s="2031"/>
      <c r="H60" s="2032"/>
      <c r="I60" s="2032"/>
      <c r="J60" s="2032"/>
      <c r="K60" s="2032"/>
      <c r="L60" s="2032"/>
      <c r="M60" s="2032">
        <v>34193</v>
      </c>
      <c r="N60" s="1975">
        <f t="shared" ref="N60:N67" si="3">IF((SUM(G60:M60))=E60,SUM(G60:M60),"Column N does not agree with Column E")</f>
        <v>34193</v>
      </c>
    </row>
    <row r="61" spans="1:14" ht="24.75" customHeight="1" x14ac:dyDescent="0.2">
      <c r="A61" s="2461" t="s">
        <v>697</v>
      </c>
      <c r="B61" s="2462"/>
      <c r="C61" s="2462"/>
      <c r="D61" s="1967">
        <v>2365</v>
      </c>
      <c r="E61" s="1977">
        <f>'Expenditures 15-22'!K323</f>
        <v>0</v>
      </c>
      <c r="F61" s="1972"/>
      <c r="G61" s="2031"/>
      <c r="H61" s="2032"/>
      <c r="I61" s="2032"/>
      <c r="J61" s="2032"/>
      <c r="K61" s="2032"/>
      <c r="L61" s="2032"/>
      <c r="M61" s="2032"/>
      <c r="N61" s="1975">
        <f t="shared" si="3"/>
        <v>0</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3"/>
        <v>0</v>
      </c>
    </row>
    <row r="63" spans="1:14" ht="24" customHeight="1" x14ac:dyDescent="0.2">
      <c r="A63" s="2438" t="s">
        <v>1022</v>
      </c>
      <c r="B63" s="2439"/>
      <c r="C63" s="2439"/>
      <c r="D63" s="1967">
        <v>2367</v>
      </c>
      <c r="E63" s="1977">
        <f>'Expenditures 15-22'!K325</f>
        <v>25494</v>
      </c>
      <c r="F63" s="1972"/>
      <c r="G63" s="2031"/>
      <c r="H63" s="2032"/>
      <c r="I63" s="2032"/>
      <c r="J63" s="2032"/>
      <c r="K63" s="2032"/>
      <c r="L63" s="2032"/>
      <c r="M63" s="2032">
        <v>25494</v>
      </c>
      <c r="N63" s="1975">
        <f t="shared" si="3"/>
        <v>25494</v>
      </c>
    </row>
    <row r="64" spans="1:14" ht="24" customHeight="1" x14ac:dyDescent="0.2">
      <c r="A64" s="2461" t="s">
        <v>1023</v>
      </c>
      <c r="B64" s="2462"/>
      <c r="C64" s="2462"/>
      <c r="D64" s="1967">
        <v>2368</v>
      </c>
      <c r="E64" s="1977">
        <f>'Expenditures 15-22'!K326</f>
        <v>0</v>
      </c>
      <c r="F64" s="1972"/>
      <c r="G64" s="2031"/>
      <c r="H64" s="2032"/>
      <c r="I64" s="2032"/>
      <c r="J64" s="2032"/>
      <c r="K64" s="2032"/>
      <c r="L64" s="2032"/>
      <c r="M64" s="2032"/>
      <c r="N64" s="1975">
        <f t="shared" si="3"/>
        <v>0</v>
      </c>
    </row>
    <row r="65" spans="1:14" ht="24" customHeight="1" x14ac:dyDescent="0.2">
      <c r="A65" s="2461" t="s">
        <v>965</v>
      </c>
      <c r="B65" s="2462"/>
      <c r="C65" s="2462"/>
      <c r="D65" s="1967">
        <v>2369</v>
      </c>
      <c r="E65" s="1977">
        <f>'Expenditures 15-22'!K327</f>
        <v>0</v>
      </c>
      <c r="F65" s="1972"/>
      <c r="G65" s="2031"/>
      <c r="H65" s="2032"/>
      <c r="I65" s="2032"/>
      <c r="J65" s="2032"/>
      <c r="K65" s="2032"/>
      <c r="L65" s="2032"/>
      <c r="M65" s="2032"/>
      <c r="N65" s="1975">
        <f t="shared" si="3"/>
        <v>0</v>
      </c>
    </row>
    <row r="66" spans="1:14" ht="24" customHeight="1" x14ac:dyDescent="0.2">
      <c r="A66" s="2461" t="s">
        <v>469</v>
      </c>
      <c r="B66" s="2462"/>
      <c r="C66" s="2462"/>
      <c r="D66" s="1967">
        <v>2371</v>
      </c>
      <c r="E66" s="1977">
        <f>'Expenditures 15-22'!K328</f>
        <v>0</v>
      </c>
      <c r="F66" s="1972"/>
      <c r="G66" s="2031"/>
      <c r="H66" s="2032"/>
      <c r="I66" s="2032"/>
      <c r="J66" s="2032"/>
      <c r="K66" s="2032"/>
      <c r="L66" s="2032"/>
      <c r="M66" s="2032"/>
      <c r="N66" s="1975">
        <f t="shared" si="3"/>
        <v>0</v>
      </c>
    </row>
    <row r="67" spans="1:14" ht="24.75" customHeight="1" x14ac:dyDescent="0.2">
      <c r="A67" s="2463" t="s">
        <v>2042</v>
      </c>
      <c r="B67" s="2464"/>
      <c r="C67" s="2464"/>
      <c r="D67" s="1969">
        <v>2372</v>
      </c>
      <c r="E67" s="1978">
        <f>'Expenditures 15-22'!K329</f>
        <v>0</v>
      </c>
      <c r="F67" s="1972"/>
      <c r="G67" s="2033"/>
      <c r="H67" s="2034"/>
      <c r="I67" s="2034"/>
      <c r="J67" s="2034"/>
      <c r="K67" s="2034"/>
      <c r="L67" s="2034"/>
      <c r="M67" s="2034"/>
      <c r="N67" s="1975">
        <f t="shared" si="3"/>
        <v>0</v>
      </c>
    </row>
    <row r="68" spans="1:14" x14ac:dyDescent="0.2">
      <c r="A68" s="2465" t="s">
        <v>1151</v>
      </c>
      <c r="B68" s="2466"/>
      <c r="C68" s="2466"/>
      <c r="D68" s="1970"/>
      <c r="E68" s="1974">
        <f>SUM(E57:E67)</f>
        <v>73826</v>
      </c>
      <c r="F68" s="1973"/>
      <c r="G68" s="1974">
        <f t="shared" ref="G68:N68" si="4">SUM(G57:G67)</f>
        <v>0</v>
      </c>
      <c r="H68" s="1974">
        <f t="shared" si="4"/>
        <v>0</v>
      </c>
      <c r="I68" s="1974">
        <f t="shared" si="4"/>
        <v>0</v>
      </c>
      <c r="J68" s="1974">
        <f t="shared" si="4"/>
        <v>0</v>
      </c>
      <c r="K68" s="1974">
        <f t="shared" si="4"/>
        <v>0</v>
      </c>
      <c r="L68" s="1974">
        <f t="shared" si="4"/>
        <v>0</v>
      </c>
      <c r="M68" s="1974">
        <f t="shared" si="4"/>
        <v>73826</v>
      </c>
      <c r="N68" s="1988">
        <f t="shared" si="4"/>
        <v>73826</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8" sqref="B8"/>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2076</v>
      </c>
    </row>
    <row r="6" spans="1:2" x14ac:dyDescent="0.2">
      <c r="A6" s="847">
        <v>2</v>
      </c>
      <c r="B6" s="307" t="s">
        <v>2077</v>
      </c>
    </row>
    <row r="7" spans="1:2" x14ac:dyDescent="0.2">
      <c r="A7" s="847">
        <v>3</v>
      </c>
      <c r="B7" s="307" t="s">
        <v>2078</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Allendale CCSD 17</v>
      </c>
    </row>
    <row r="65" spans="2:2" x14ac:dyDescent="0.2">
      <c r="B65" s="849">
        <f>COVER!A13</f>
        <v>20093017024</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5:F22"/>
  <sheetViews>
    <sheetView showGridLines="0" zoomScale="110" zoomScaleNormal="110" workbookViewId="0">
      <selection activeCell="B2" sqref="B2"/>
    </sheetView>
  </sheetViews>
  <sheetFormatPr defaultRowHeight="12.75" x14ac:dyDescent="0.2"/>
  <cols>
    <col min="1" max="1" width="1.85546875" style="307" customWidth="1"/>
    <col min="2" max="2" width="59.7109375" style="307" customWidth="1"/>
    <col min="3" max="16384" width="9.140625" style="307"/>
  </cols>
  <sheetData>
    <row r="15" spans="2:6" x14ac:dyDescent="0.2">
      <c r="B15" s="850"/>
      <c r="C15" s="850"/>
      <c r="D15" s="850"/>
      <c r="E15" s="850"/>
      <c r="F15" s="850"/>
    </row>
    <row r="17" spans="1:2" x14ac:dyDescent="0.2">
      <c r="A17" s="851" t="s">
        <v>1476</v>
      </c>
    </row>
    <row r="19" spans="1:2" x14ac:dyDescent="0.2">
      <c r="A19" s="366" t="s">
        <v>852</v>
      </c>
    </row>
    <row r="20" spans="1:2" s="850" customFormat="1" ht="45" customHeight="1" x14ac:dyDescent="0.2">
      <c r="A20" s="852"/>
      <c r="B20" s="852" t="s">
        <v>1973</v>
      </c>
    </row>
    <row r="21" spans="1:2" ht="6" customHeight="1" x14ac:dyDescent="0.2"/>
    <row r="22" spans="1:2" ht="24.75" customHeight="1" x14ac:dyDescent="0.2">
      <c r="A22" s="2467" t="s">
        <v>1665</v>
      </c>
      <c r="B22" s="2467"/>
    </row>
  </sheetData>
  <sheetProtection selectLockedCells="1"/>
  <mergeCells count="1">
    <mergeCell ref="A22:B22"/>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0</xdr:col>
                <xdr:colOff>0</xdr:colOff>
                <xdr:row>5</xdr:row>
                <xdr:rowOff>0</xdr:rowOff>
              </from>
              <to>
                <xdr:col>1</xdr:col>
                <xdr:colOff>790575</xdr:colOff>
                <xdr:row>9</xdr:row>
                <xdr:rowOff>38100</xdr:rowOff>
              </to>
            </anchor>
          </objectPr>
        </oleObject>
      </mc:Choice>
      <mc:Fallback>
        <oleObject progId="Acrobat Document" dvAspect="DVASPECT_ICON" shapeId="56322" r:id="rId6"/>
      </mc:Fallback>
    </mc:AlternateContent>
    <mc:AlternateContent xmlns:mc="http://schemas.openxmlformats.org/markup-compatibility/2006">
      <mc:Choice Requires="x14">
        <oleObject progId="Acrobat Document" dvAspect="DVASPECT_ICON" shapeId="56323" r:id="rId8">
          <objectPr defaultSize="0" r:id="rId9">
            <anchor moveWithCells="1">
              <from>
                <xdr:col>0</xdr:col>
                <xdr:colOff>0</xdr:colOff>
                <xdr:row>10</xdr:row>
                <xdr:rowOff>0</xdr:rowOff>
              </from>
              <to>
                <xdr:col>1</xdr:col>
                <xdr:colOff>790575</xdr:colOff>
                <xdr:row>14</xdr:row>
                <xdr:rowOff>38100</xdr:rowOff>
              </to>
            </anchor>
          </objectPr>
        </oleObject>
      </mc:Choice>
      <mc:Fallback>
        <oleObject progId="Acrobat Document" dvAspect="DVASPECT_ICON" shapeId="5632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1427195</v>
      </c>
      <c r="C8" s="1813">
        <f>'Acct Summary 7-8'!D8</f>
        <v>72059</v>
      </c>
      <c r="D8" s="1813">
        <f>'Acct Summary 7-8'!F8</f>
        <v>71990</v>
      </c>
      <c r="E8" s="1813">
        <f>'Acct Summary 7-8'!I8</f>
        <v>7551</v>
      </c>
      <c r="F8" s="1813">
        <f>SUM(B8:E8)</f>
        <v>1578795</v>
      </c>
    </row>
    <row r="9" spans="1:8" s="858" customFormat="1" ht="14.25" customHeight="1" thickBot="1" x14ac:dyDescent="0.25">
      <c r="A9" s="857" t="s">
        <v>1353</v>
      </c>
      <c r="B9" s="1814">
        <f>'Acct Summary 7-8'!C17</f>
        <v>1307133</v>
      </c>
      <c r="C9" s="1814">
        <f>'Acct Summary 7-8'!D17</f>
        <v>72789</v>
      </c>
      <c r="D9" s="1814">
        <f>'Acct Summary 7-8'!F17</f>
        <v>104882</v>
      </c>
      <c r="E9" s="1813"/>
      <c r="F9" s="1813">
        <f>SUM(B9:E9)</f>
        <v>1484804</v>
      </c>
    </row>
    <row r="10" spans="1:8" s="858" customFormat="1" ht="14.25" thickTop="1" thickBot="1" x14ac:dyDescent="0.25">
      <c r="A10" s="859" t="s">
        <v>1354</v>
      </c>
      <c r="B10" s="1815">
        <f>(B8-B9)</f>
        <v>120062</v>
      </c>
      <c r="C10" s="1815">
        <f>(C8-C9)</f>
        <v>-730</v>
      </c>
      <c r="D10" s="1815">
        <f>(D8-D9)</f>
        <v>-32892</v>
      </c>
      <c r="E10" s="1814">
        <f>(E8-E9)</f>
        <v>7551</v>
      </c>
      <c r="F10" s="1816">
        <f>SUM(F8-F9)</f>
        <v>93991</v>
      </c>
    </row>
    <row r="11" spans="1:8" s="858" customFormat="1" ht="14.25" thickTop="1" thickBot="1" x14ac:dyDescent="0.25">
      <c r="A11" s="860" t="s">
        <v>1903</v>
      </c>
      <c r="B11" s="1817">
        <f>'Acct Summary 7-8'!C81</f>
        <v>254504</v>
      </c>
      <c r="C11" s="1817">
        <f>'Acct Summary 7-8'!D81</f>
        <v>29109</v>
      </c>
      <c r="D11" s="1817">
        <f>'Acct Summary 7-8'!F81</f>
        <v>107854</v>
      </c>
      <c r="E11" s="1817">
        <f>'Acct Summary 7-8'!I81</f>
        <v>109674</v>
      </c>
      <c r="F11" s="1818">
        <f>SUM(B11:E11)</f>
        <v>501141</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7" colorId="8" zoomScale="110" zoomScaleNormal="110" workbookViewId="0">
      <selection activeCell="H35" sqref="H35"/>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20093017024</v>
      </c>
      <c r="E2" s="1542">
        <v>2020</v>
      </c>
      <c r="F2" s="1542">
        <v>1</v>
      </c>
      <c r="G2" s="1899">
        <v>101000300</v>
      </c>
    </row>
    <row r="3" spans="1:7" ht="15" x14ac:dyDescent="0.25">
      <c r="A3" t="s">
        <v>950</v>
      </c>
      <c r="B3" s="135" t="str">
        <f>COVER!A15</f>
        <v>WABASH</v>
      </c>
      <c r="E3" s="1830" t="s">
        <v>1971</v>
      </c>
      <c r="F3" s="1830" t="s">
        <v>1970</v>
      </c>
      <c r="G3" s="1899">
        <v>101000400</v>
      </c>
    </row>
    <row r="4" spans="1:7" ht="15" x14ac:dyDescent="0.25">
      <c r="A4" t="s">
        <v>1000</v>
      </c>
      <c r="B4" s="135" t="str">
        <f>COVER!A17</f>
        <v xml:space="preserve"> Allendale CCSD 17</v>
      </c>
      <c r="E4" s="1828">
        <v>44119</v>
      </c>
      <c r="F4" s="1829">
        <v>44151</v>
      </c>
      <c r="G4" s="1899">
        <v>101000600</v>
      </c>
    </row>
    <row r="5" spans="1:7" ht="15" x14ac:dyDescent="0.25">
      <c r="A5" t="s">
        <v>699</v>
      </c>
      <c r="B5" s="135" t="str">
        <f>COVER!A38</f>
        <v>BOB BOWSER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BETH RISTER</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065-011645</v>
      </c>
      <c r="G15" s="1899">
        <v>402100400</v>
      </c>
    </row>
    <row r="16" spans="1:7" ht="15" x14ac:dyDescent="0.25">
      <c r="A16" t="s">
        <v>419</v>
      </c>
      <c r="B16" s="135" t="str">
        <f>COVER!T13</f>
        <v>TERRY L. HARPER, CPA</v>
      </c>
      <c r="G16" s="1899">
        <v>402100600</v>
      </c>
    </row>
    <row r="17" spans="1:7" ht="15" x14ac:dyDescent="0.25">
      <c r="A17" t="s">
        <v>878</v>
      </c>
      <c r="B17" s="135" t="str">
        <f>COVER!T15</f>
        <v>TERRY L. HARPER</v>
      </c>
      <c r="G17" s="1899">
        <v>402100800</v>
      </c>
    </row>
    <row r="18" spans="1:7" ht="15" x14ac:dyDescent="0.25">
      <c r="A18" t="s">
        <v>1140</v>
      </c>
      <c r="B18" s="135" t="str">
        <f>COVER!T17</f>
        <v>9 N FIFTH ST.</v>
      </c>
      <c r="G18" s="1899">
        <v>102200300</v>
      </c>
    </row>
    <row r="19" spans="1:7" ht="15" x14ac:dyDescent="0.25">
      <c r="A19" t="s">
        <v>880</v>
      </c>
      <c r="B19" s="135" t="str">
        <f>COVER!T25</f>
        <v>HARPERCPA@FRONTIER.COM</v>
      </c>
      <c r="G19" s="1899">
        <v>102200400</v>
      </c>
    </row>
    <row r="20" spans="1:7" ht="15" x14ac:dyDescent="0.25">
      <c r="A20" t="s">
        <v>881</v>
      </c>
      <c r="B20" s="135" t="str">
        <f>COVER!T19</f>
        <v>ALBION</v>
      </c>
      <c r="G20" s="1899">
        <v>102200600</v>
      </c>
    </row>
    <row r="21" spans="1:7" ht="15" x14ac:dyDescent="0.25">
      <c r="A21" t="s">
        <v>476</v>
      </c>
      <c r="B21" s="135" t="str">
        <f>COVER!X19</f>
        <v>IL</v>
      </c>
      <c r="G21" s="1899">
        <v>102200800</v>
      </c>
    </row>
    <row r="22" spans="1:7" ht="15" x14ac:dyDescent="0.25">
      <c r="A22" t="s">
        <v>882</v>
      </c>
      <c r="B22" s="135">
        <f>COVER!Z19</f>
        <v>62806</v>
      </c>
      <c r="G22" s="1899">
        <v>102300300</v>
      </c>
    </row>
    <row r="23" spans="1:7" ht="15" x14ac:dyDescent="0.25">
      <c r="A23" t="s">
        <v>1142</v>
      </c>
      <c r="B23" s="135" t="str">
        <f>COVER!T21</f>
        <v>618-445-3433</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254504</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254504</v>
      </c>
      <c r="D92" s="2" t="str">
        <f t="shared" si="0"/>
        <v>Error?</v>
      </c>
      <c r="G92" s="1899">
        <v>102640600</v>
      </c>
    </row>
    <row r="93" spans="1:7" ht="15" x14ac:dyDescent="0.25">
      <c r="A93" s="5">
        <v>32</v>
      </c>
      <c r="B93" s="1832">
        <f>'Assets-Liab 5-6'!C41</f>
        <v>254504</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29109</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29109</v>
      </c>
      <c r="D123" s="2" t="str">
        <f t="shared" si="0"/>
        <v>Error?</v>
      </c>
      <c r="G123" s="1899">
        <v>203000400</v>
      </c>
    </row>
    <row r="124" spans="1:7" ht="15" x14ac:dyDescent="0.25">
      <c r="A124" s="5">
        <v>63</v>
      </c>
      <c r="B124" s="1832">
        <f>'Assets-Liab 5-6'!D41</f>
        <v>29109</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18597</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18597</v>
      </c>
      <c r="D140" s="2" t="str">
        <f t="shared" si="1"/>
        <v>Error?</v>
      </c>
    </row>
    <row r="141" spans="1:7" x14ac:dyDescent="0.2">
      <c r="A141" s="5">
        <v>80</v>
      </c>
      <c r="B141" s="1832">
        <f>'Assets-Liab 5-6'!E41</f>
        <v>18597</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107854</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107854</v>
      </c>
      <c r="D170" s="2" t="str">
        <f t="shared" si="1"/>
        <v>Error?</v>
      </c>
    </row>
    <row r="171" spans="1:4" x14ac:dyDescent="0.2">
      <c r="A171" s="5">
        <v>110</v>
      </c>
      <c r="B171" s="1832">
        <f>'Assets-Liab 5-6'!F41</f>
        <v>107854</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42637</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42637</v>
      </c>
      <c r="D189" s="2" t="str">
        <f t="shared" si="1"/>
        <v>Error?</v>
      </c>
    </row>
    <row r="190" spans="1:4" x14ac:dyDescent="0.2">
      <c r="A190" s="5">
        <v>129</v>
      </c>
      <c r="B190" s="1832">
        <f>'Assets-Liab 5-6'!G41</f>
        <v>42637</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31690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31690</v>
      </c>
      <c r="D212" s="2" t="str">
        <f t="shared" si="2"/>
        <v>Error?</v>
      </c>
    </row>
    <row r="213" spans="1:4" x14ac:dyDescent="0.2">
      <c r="A213" s="12">
        <v>152</v>
      </c>
      <c r="B213" s="1832">
        <f>'Assets-Liab 5-6'!H41</f>
        <v>31690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19115</v>
      </c>
      <c r="D273" s="2" t="str">
        <f t="shared" si="3"/>
        <v>Error?</v>
      </c>
    </row>
    <row r="274" spans="1:4" x14ac:dyDescent="0.2">
      <c r="A274" s="5">
        <v>213</v>
      </c>
      <c r="B274" s="1832">
        <f>'Assets-Liab 5-6'!M17</f>
        <v>1617981</v>
      </c>
      <c r="D274" s="2" t="str">
        <f t="shared" si="3"/>
        <v>Error?</v>
      </c>
    </row>
    <row r="275" spans="1:4" x14ac:dyDescent="0.2">
      <c r="A275" s="5">
        <v>214</v>
      </c>
      <c r="B275" s="1832">
        <f>'Assets-Liab 5-6'!M18</f>
        <v>143892</v>
      </c>
      <c r="D275" s="2" t="str">
        <f t="shared" si="3"/>
        <v>Error?</v>
      </c>
    </row>
    <row r="276" spans="1:4" x14ac:dyDescent="0.2">
      <c r="A276" s="5">
        <v>215</v>
      </c>
      <c r="B276" s="1832">
        <f>'Assets-Liab 5-6'!M19</f>
        <v>982132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2763120</v>
      </c>
      <c r="C279" s="2" t="s">
        <v>569</v>
      </c>
      <c r="D279" s="2" t="str">
        <f t="shared" si="3"/>
        <v>Error?</v>
      </c>
    </row>
    <row r="280" spans="1:4" x14ac:dyDescent="0.2">
      <c r="A280" s="5">
        <v>219</v>
      </c>
      <c r="B280" s="1832">
        <f>'Assets-Liab 5-6'!M40</f>
        <v>2763120</v>
      </c>
      <c r="D280" s="2" t="str">
        <f t="shared" si="3"/>
        <v>Error?</v>
      </c>
    </row>
    <row r="281" spans="1:4" x14ac:dyDescent="0.2">
      <c r="A281" s="5">
        <v>220</v>
      </c>
      <c r="B281" s="1832">
        <f>'Assets-Liab 5-6'!M41</f>
        <v>2763120</v>
      </c>
      <c r="C281" s="2" t="s">
        <v>569</v>
      </c>
      <c r="D281" s="2" t="str">
        <f t="shared" si="3"/>
        <v>Error?</v>
      </c>
    </row>
    <row r="282" spans="1:4" x14ac:dyDescent="0.2">
      <c r="A282" s="5">
        <v>221</v>
      </c>
      <c r="B282" s="1832">
        <f>'Assets-Liab 5-6'!N21</f>
        <v>18597</v>
      </c>
      <c r="D282" s="2" t="str">
        <f t="shared" si="3"/>
        <v>Error?</v>
      </c>
    </row>
    <row r="283" spans="1:4" x14ac:dyDescent="0.2">
      <c r="A283" s="5">
        <v>222</v>
      </c>
      <c r="B283" s="1832">
        <f>'Assets-Liab 5-6'!N22</f>
        <v>709103</v>
      </c>
      <c r="D283" s="2" t="str">
        <f t="shared" si="3"/>
        <v>Error?</v>
      </c>
    </row>
    <row r="284" spans="1:4" x14ac:dyDescent="0.2">
      <c r="A284" s="5">
        <v>223</v>
      </c>
      <c r="B284" s="1832">
        <f>'Assets-Liab 5-6'!N23</f>
        <v>727700</v>
      </c>
      <c r="C284" s="2" t="s">
        <v>569</v>
      </c>
      <c r="D284" s="2" t="str">
        <f t="shared" si="3"/>
        <v>Error?</v>
      </c>
    </row>
    <row r="285" spans="1:4" x14ac:dyDescent="0.2">
      <c r="A285" s="5">
        <v>224</v>
      </c>
      <c r="B285" s="1832">
        <f>'Assets-Liab 5-6'!N36</f>
        <v>727700</v>
      </c>
      <c r="D285" s="2" t="str">
        <f t="shared" si="3"/>
        <v>Error?</v>
      </c>
    </row>
    <row r="286" spans="1:4" x14ac:dyDescent="0.2">
      <c r="A286" s="10">
        <v>225</v>
      </c>
      <c r="B286" s="1832"/>
      <c r="D286" s="2" t="str">
        <f t="shared" si="3"/>
        <v>OK</v>
      </c>
    </row>
    <row r="287" spans="1:4" x14ac:dyDescent="0.2">
      <c r="A287" s="5">
        <v>226</v>
      </c>
      <c r="B287" s="1832">
        <f>'Assets-Liab 5-6'!N37</f>
        <v>727700</v>
      </c>
      <c r="C287" s="2" t="s">
        <v>569</v>
      </c>
      <c r="D287" s="2" t="str">
        <f t="shared" si="3"/>
        <v>Error?</v>
      </c>
    </row>
    <row r="288" spans="1:4" x14ac:dyDescent="0.2">
      <c r="A288" s="5">
        <v>227</v>
      </c>
      <c r="B288" s="1832">
        <f>'Assets-Liab 5-6'!N41</f>
        <v>727700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393822</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9550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579221</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1750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24425</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26175</v>
      </c>
      <c r="C727" s="2" t="s">
        <v>569</v>
      </c>
      <c r="D727" s="2" t="str">
        <f t="shared" si="10"/>
        <v>Error?</v>
      </c>
    </row>
    <row r="728" spans="1:4" x14ac:dyDescent="0.2">
      <c r="A728" s="5">
        <v>667</v>
      </c>
      <c r="B728" s="1832">
        <f>'Expenditures 15-22'!C44</f>
        <v>1516</v>
      </c>
      <c r="D728" s="2" t="str">
        <f t="shared" si="10"/>
        <v>Error?</v>
      </c>
    </row>
    <row r="729" spans="1:4" x14ac:dyDescent="0.2">
      <c r="A729" s="5">
        <v>668</v>
      </c>
      <c r="B729" s="1832">
        <f>'Expenditures 15-22'!C45</f>
        <v>26854</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28370</v>
      </c>
      <c r="C731" s="2" t="s">
        <v>569</v>
      </c>
      <c r="D731" s="2" t="str">
        <f t="shared" si="10"/>
        <v>Error?</v>
      </c>
    </row>
    <row r="732" spans="1:4" x14ac:dyDescent="0.2">
      <c r="A732" s="5">
        <v>671</v>
      </c>
      <c r="B732" s="1832">
        <f>'Expenditures 15-22'!C49</f>
        <v>2400</v>
      </c>
      <c r="D732" s="2" t="str">
        <f t="shared" si="10"/>
        <v>Error?</v>
      </c>
    </row>
    <row r="733" spans="1:4" x14ac:dyDescent="0.2">
      <c r="A733" s="5">
        <v>672</v>
      </c>
      <c r="B733" s="1832">
        <f>'Expenditures 15-22'!C50</f>
        <v>4982</v>
      </c>
      <c r="D733" s="2" t="str">
        <f t="shared" si="10"/>
        <v>Error?</v>
      </c>
    </row>
    <row r="734" spans="1:4" x14ac:dyDescent="0.2">
      <c r="A734" s="5">
        <v>673</v>
      </c>
      <c r="B734" s="1832">
        <f>'Expenditures 15-22'!C53</f>
        <v>7382</v>
      </c>
      <c r="C734" s="2" t="s">
        <v>569</v>
      </c>
      <c r="D734" s="2" t="str">
        <f t="shared" si="10"/>
        <v>Error?</v>
      </c>
    </row>
    <row r="735" spans="1:4" x14ac:dyDescent="0.2">
      <c r="A735" s="5">
        <v>674</v>
      </c>
      <c r="B735" s="1832">
        <f>'Expenditures 15-22'!C55</f>
        <v>103443</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103443</v>
      </c>
      <c r="C737" s="2" t="s">
        <v>569</v>
      </c>
      <c r="D737" s="2" t="str">
        <f t="shared" si="10"/>
        <v>Error?</v>
      </c>
    </row>
    <row r="738" spans="1:4" x14ac:dyDescent="0.2">
      <c r="A738" s="5">
        <v>677</v>
      </c>
      <c r="B738" s="1832">
        <f>'Expenditures 15-22'!C59</f>
        <v>6185</v>
      </c>
      <c r="D738" s="2" t="str">
        <f t="shared" si="10"/>
        <v>Error?</v>
      </c>
    </row>
    <row r="739" spans="1:4" x14ac:dyDescent="0.2">
      <c r="A739" s="5">
        <v>678</v>
      </c>
      <c r="B739" s="1832">
        <f>'Expenditures 15-22'!C60</f>
        <v>9000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36772</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51957</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3150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3150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220477</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799698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7315</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24</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8360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158</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158</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121</v>
      </c>
      <c r="D791" s="2" t="str">
        <f t="shared" si="11"/>
        <v>Error?</v>
      </c>
    </row>
    <row r="792" spans="1:4" x14ac:dyDescent="0.2">
      <c r="A792" s="5">
        <v>731</v>
      </c>
      <c r="B792" s="1832">
        <f>'Expenditures 15-22'!D53</f>
        <v>121</v>
      </c>
      <c r="C792" s="2" t="s">
        <v>569</v>
      </c>
      <c r="D792" s="2" t="str">
        <f t="shared" si="11"/>
        <v>Error?</v>
      </c>
    </row>
    <row r="793" spans="1:4" x14ac:dyDescent="0.2">
      <c r="A793" s="5">
        <v>732</v>
      </c>
      <c r="B793" s="1832">
        <f>'Expenditures 15-22'!D55</f>
        <v>1899</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1899</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2178</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10538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4991</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1735</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42648</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3595</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3595</v>
      </c>
      <c r="C847" s="2" t="s">
        <v>569</v>
      </c>
      <c r="D847" s="2" t="str">
        <f t="shared" si="12"/>
        <v>Error?</v>
      </c>
    </row>
    <row r="848" spans="1:4" x14ac:dyDescent="0.2">
      <c r="A848" s="5">
        <v>787</v>
      </c>
      <c r="B848" s="1832">
        <f>'Expenditures 15-22'!E49</f>
        <v>9071</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9071</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2888</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451</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3339</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16005</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58653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8498</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1462</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29908</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115</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115</v>
      </c>
      <c r="C901" s="2" t="s">
        <v>569</v>
      </c>
      <c r="D901" s="2" t="str">
        <f t="shared" si="13"/>
        <v>Error?</v>
      </c>
    </row>
    <row r="902" spans="1:4" x14ac:dyDescent="0.2">
      <c r="A902" s="5">
        <v>841</v>
      </c>
      <c r="B902" s="1832">
        <f>'Expenditures 15-22'!F44</f>
        <v>9947</v>
      </c>
      <c r="D902" s="2" t="str">
        <f t="shared" si="13"/>
        <v>Error?</v>
      </c>
    </row>
    <row r="903" spans="1:4" x14ac:dyDescent="0.2">
      <c r="A903" s="5">
        <v>842</v>
      </c>
      <c r="B903" s="1832">
        <f>'Expenditures 15-22'!F45</f>
        <v>750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10697</v>
      </c>
      <c r="C905" s="2" t="s">
        <v>569</v>
      </c>
      <c r="D905" s="2" t="str">
        <f t="shared" si="13"/>
        <v>Error?</v>
      </c>
    </row>
    <row r="906" spans="1:4" x14ac:dyDescent="0.2">
      <c r="A906" s="5">
        <v>845</v>
      </c>
      <c r="B906" s="1832">
        <f>'Expenditures 15-22'!F49</f>
        <v>553</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553</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43053</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43053</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54418</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84326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686</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350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1036</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2426</v>
      </c>
      <c r="D1022" s="2" t="str">
        <f t="shared" si="14"/>
        <v>Error?</v>
      </c>
    </row>
    <row r="1023" spans="1:4" x14ac:dyDescent="0.2">
      <c r="A1023" s="5">
        <v>962</v>
      </c>
      <c r="B1023" s="1832">
        <f>'Expenditures 15-22'!H50</f>
        <v>702</v>
      </c>
      <c r="D1023" s="2" t="str">
        <f t="shared" ref="D1023:D1086" si="15">IF(ISBLANK(B1023),"OK",IF(A1023-B1023=0,"OK","Error?"))</f>
        <v>Error?</v>
      </c>
    </row>
    <row r="1024" spans="1:4" x14ac:dyDescent="0.2">
      <c r="A1024" s="5">
        <v>963</v>
      </c>
      <c r="B1024" s="1832">
        <f>'Expenditures 15-22'!H53</f>
        <v>3128</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3128</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336996</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341160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415312</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13121</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668595</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1865</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24425</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26290</v>
      </c>
      <c r="C1115" s="2" t="s">
        <v>569</v>
      </c>
      <c r="D1115" s="2" t="str">
        <f t="shared" si="16"/>
        <v>Error?</v>
      </c>
    </row>
    <row r="1116" spans="1:4" x14ac:dyDescent="0.2">
      <c r="A1116" s="5">
        <v>1055</v>
      </c>
      <c r="B1116" s="1832">
        <f>'Expenditures 15-22'!K44</f>
        <v>20552</v>
      </c>
      <c r="C1116" s="2" t="s">
        <v>569</v>
      </c>
      <c r="D1116" s="2" t="str">
        <f t="shared" si="16"/>
        <v>Error?</v>
      </c>
    </row>
    <row r="1117" spans="1:4" x14ac:dyDescent="0.2">
      <c r="A1117" s="5">
        <v>1056</v>
      </c>
      <c r="B1117" s="1832">
        <f>'Expenditures 15-22'!K45</f>
        <v>27604</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48156</v>
      </c>
      <c r="C1119" s="2" t="s">
        <v>569</v>
      </c>
      <c r="D1119" s="2" t="str">
        <f t="shared" si="16"/>
        <v>Error?</v>
      </c>
    </row>
    <row r="1120" spans="1:4" x14ac:dyDescent="0.2">
      <c r="A1120" s="5">
        <v>1059</v>
      </c>
      <c r="B1120" s="1832">
        <f>'Expenditures 15-22'!K49</f>
        <v>14450</v>
      </c>
      <c r="C1120" s="2" t="s">
        <v>569</v>
      </c>
      <c r="D1120" s="2" t="str">
        <f t="shared" si="16"/>
        <v>Error?</v>
      </c>
    </row>
    <row r="1121" spans="1:4" x14ac:dyDescent="0.2">
      <c r="A1121" s="5">
        <v>1060</v>
      </c>
      <c r="B1121" s="1832">
        <f>'Expenditures 15-22'!K50</f>
        <v>5805</v>
      </c>
      <c r="C1121" s="2" t="s">
        <v>569</v>
      </c>
      <c r="D1121" s="2" t="str">
        <f t="shared" si="16"/>
        <v>Error?</v>
      </c>
    </row>
    <row r="1122" spans="1:4" x14ac:dyDescent="0.2">
      <c r="A1122" s="5">
        <v>1061</v>
      </c>
      <c r="B1122" s="1832">
        <f>'Expenditures 15-22'!K53</f>
        <v>20255</v>
      </c>
      <c r="C1122" s="2" t="s">
        <v>569</v>
      </c>
      <c r="D1122" s="2" t="str">
        <f t="shared" si="16"/>
        <v>Error?</v>
      </c>
    </row>
    <row r="1123" spans="1:4" x14ac:dyDescent="0.2">
      <c r="A1123" s="5">
        <v>1062</v>
      </c>
      <c r="B1123" s="1832">
        <f>'Expenditures 15-22'!K55</f>
        <v>105342</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105342</v>
      </c>
      <c r="C1125" s="2" t="s">
        <v>569</v>
      </c>
      <c r="D1125" s="2" t="str">
        <f t="shared" si="16"/>
        <v>Error?</v>
      </c>
    </row>
    <row r="1126" spans="1:4" x14ac:dyDescent="0.2">
      <c r="A1126" s="5">
        <v>1065</v>
      </c>
      <c r="B1126" s="1832">
        <f>'Expenditures 15-22'!K59</f>
        <v>9073</v>
      </c>
      <c r="C1126" s="2" t="s">
        <v>569</v>
      </c>
      <c r="D1126" s="2" t="str">
        <f t="shared" si="16"/>
        <v>Error?</v>
      </c>
    </row>
    <row r="1127" spans="1:4" x14ac:dyDescent="0.2">
      <c r="A1127" s="5">
        <v>1066</v>
      </c>
      <c r="B1127" s="1832">
        <f>'Expenditures 15-22'!K60</f>
        <v>9000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80276</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98349</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3150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3150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301542</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336996</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1307133</v>
      </c>
      <c r="C1152" s="2" t="s">
        <v>569</v>
      </c>
      <c r="D1152" s="2" t="str">
        <f t="shared" si="17"/>
        <v>Error?</v>
      </c>
    </row>
    <row r="1153" spans="1:4" x14ac:dyDescent="0.2">
      <c r="A1153" s="5">
        <v>1092</v>
      </c>
      <c r="B1153" s="1832">
        <f>'Expenditures 15-22'!K115</f>
        <v>120062</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29078</v>
      </c>
      <c r="D1221" s="2" t="str">
        <f t="shared" si="18"/>
        <v>Error?</v>
      </c>
    </row>
    <row r="1222" spans="1:4" x14ac:dyDescent="0.2">
      <c r="A1222" s="10">
        <v>1161</v>
      </c>
      <c r="B1222" s="1832"/>
      <c r="D1222" s="2" t="str">
        <f t="shared" si="18"/>
        <v>OK</v>
      </c>
    </row>
    <row r="1223" spans="1:4" x14ac:dyDescent="0.2">
      <c r="A1223" s="5">
        <v>1162</v>
      </c>
      <c r="B1223" s="1832">
        <f>'Expenditures 15-22'!C127</f>
        <v>29078</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29078</v>
      </c>
      <c r="C1225" s="2" t="s">
        <v>569</v>
      </c>
      <c r="D1225" s="2" t="str">
        <f t="shared" si="18"/>
        <v>Error?</v>
      </c>
    </row>
    <row r="1226" spans="1:4" x14ac:dyDescent="0.2">
      <c r="A1226" s="5">
        <v>1165</v>
      </c>
      <c r="B1226" s="1832">
        <f>'Expenditures 15-22'!C151</f>
        <v>29078</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v>
      </c>
      <c r="D1229" s="2" t="str">
        <f t="shared" si="18"/>
        <v>Error?</v>
      </c>
    </row>
    <row r="1230" spans="1:4" x14ac:dyDescent="0.2">
      <c r="A1230" s="10">
        <v>1169</v>
      </c>
      <c r="B1230" s="1832"/>
      <c r="D1230" s="2" t="str">
        <f t="shared" si="18"/>
        <v>OK</v>
      </c>
    </row>
    <row r="1231" spans="1:4" x14ac:dyDescent="0.2">
      <c r="A1231" s="5">
        <v>1170</v>
      </c>
      <c r="B1231" s="1832">
        <f>'Expenditures 15-22'!D127</f>
        <v>2</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v>
      </c>
      <c r="C1233" s="2" t="s">
        <v>569</v>
      </c>
      <c r="D1233" s="2" t="str">
        <f t="shared" si="18"/>
        <v>Error?</v>
      </c>
    </row>
    <row r="1234" spans="1:4" x14ac:dyDescent="0.2">
      <c r="A1234" s="5">
        <v>1173</v>
      </c>
      <c r="B1234" s="1832">
        <f>'Expenditures 15-22'!D151</f>
        <v>2</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16286</v>
      </c>
      <c r="D1237" s="2" t="str">
        <f t="shared" si="18"/>
        <v>Error?</v>
      </c>
    </row>
    <row r="1238" spans="1:4" x14ac:dyDescent="0.2">
      <c r="A1238" s="10">
        <v>1177</v>
      </c>
      <c r="B1238" s="1832"/>
      <c r="D1238" s="2" t="str">
        <f t="shared" si="18"/>
        <v>OK</v>
      </c>
    </row>
    <row r="1239" spans="1:4" x14ac:dyDescent="0.2">
      <c r="A1239" s="5">
        <v>1178</v>
      </c>
      <c r="B1239" s="1832">
        <f>'Expenditures 15-22'!E127</f>
        <v>16286</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16286</v>
      </c>
      <c r="C1241" s="2" t="s">
        <v>569</v>
      </c>
      <c r="D1241" s="2" t="str">
        <f t="shared" si="18"/>
        <v>Error?</v>
      </c>
    </row>
    <row r="1242" spans="1:4" x14ac:dyDescent="0.2">
      <c r="A1242" s="5">
        <v>1181</v>
      </c>
      <c r="B1242" s="1832">
        <f>'Expenditures 15-22'!E151</f>
        <v>16286</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27423</v>
      </c>
      <c r="D1245" s="2" t="str">
        <f t="shared" si="18"/>
        <v>Error?</v>
      </c>
    </row>
    <row r="1246" spans="1:4" x14ac:dyDescent="0.2">
      <c r="A1246" s="10">
        <v>1185</v>
      </c>
      <c r="B1246" s="1832"/>
      <c r="D1246" s="2" t="str">
        <f t="shared" si="18"/>
        <v>OK</v>
      </c>
    </row>
    <row r="1247" spans="1:4" x14ac:dyDescent="0.2">
      <c r="A1247" s="5">
        <v>1186</v>
      </c>
      <c r="B1247" s="1832">
        <f>'Expenditures 15-22'!F127</f>
        <v>27423</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27423</v>
      </c>
      <c r="C1249" s="2" t="s">
        <v>569</v>
      </c>
      <c r="D1249" s="2" t="str">
        <f t="shared" si="18"/>
        <v>Error?</v>
      </c>
    </row>
    <row r="1250" spans="1:4" x14ac:dyDescent="0.2">
      <c r="A1250" s="5">
        <v>1189</v>
      </c>
      <c r="B1250" s="1832">
        <f>'Expenditures 15-22'!F151</f>
        <v>27423</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72789</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72789</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72789</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72789</v>
      </c>
      <c r="C1288" s="2" t="s">
        <v>569</v>
      </c>
      <c r="D1288" s="2" t="str">
        <f t="shared" si="19"/>
        <v>Error?</v>
      </c>
    </row>
    <row r="1289" spans="1:4" x14ac:dyDescent="0.2">
      <c r="A1289" s="5">
        <v>1228</v>
      </c>
      <c r="B1289" s="1832">
        <f>'Expenditures 15-22'!K152</f>
        <v>-730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19875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57400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77275</v>
      </c>
      <c r="C1317" s="2" t="s">
        <v>569</v>
      </c>
      <c r="D1317" s="2" t="str">
        <f t="shared" si="19"/>
        <v>Error?</v>
      </c>
    </row>
    <row r="1318" spans="1:4" x14ac:dyDescent="0.2">
      <c r="A1318" s="5">
        <v>1257</v>
      </c>
      <c r="B1318" s="1832">
        <f>'Expenditures 15-22'!H174</f>
        <v>77275</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19875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57400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77275</v>
      </c>
      <c r="C1331" s="2" t="s">
        <v>569</v>
      </c>
      <c r="D1331" s="2" t="str">
        <f t="shared" si="19"/>
        <v>Error?</v>
      </c>
    </row>
    <row r="1332" spans="1:4" x14ac:dyDescent="0.2">
      <c r="A1332" s="5">
        <v>1271</v>
      </c>
      <c r="B1332" s="1832">
        <f>'Expenditures 15-22'!K174</f>
        <v>77275</v>
      </c>
      <c r="C1332" s="2" t="s">
        <v>569</v>
      </c>
      <c r="D1332" s="2" t="str">
        <f t="shared" si="19"/>
        <v>Error?</v>
      </c>
    </row>
    <row r="1333" spans="1:4" x14ac:dyDescent="0.2">
      <c r="A1333" s="5">
        <v>1272</v>
      </c>
      <c r="B1333" s="1832">
        <f>'Expenditures 15-22'!K175</f>
        <v>-21934</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34776</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34776</v>
      </c>
      <c r="C1339" s="2" t="s">
        <v>569</v>
      </c>
      <c r="D1339" s="2" t="str">
        <f t="shared" si="19"/>
        <v>Error?</v>
      </c>
    </row>
    <row r="1340" spans="1:4" x14ac:dyDescent="0.2">
      <c r="A1340" s="5">
        <v>1279</v>
      </c>
      <c r="B1340" s="1832">
        <f>'Expenditures 15-22'!C210</f>
        <v>34776</v>
      </c>
      <c r="C1340" s="2" t="s">
        <v>569</v>
      </c>
      <c r="D1340" s="2" t="str">
        <f t="shared" si="19"/>
        <v>Error?</v>
      </c>
    </row>
    <row r="1341" spans="1:4" x14ac:dyDescent="0.2">
      <c r="A1341" s="5">
        <v>1280</v>
      </c>
      <c r="B1341" s="1832">
        <f>'Expenditures 15-22'!D182</f>
        <v>86</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86</v>
      </c>
      <c r="C1345" s="2" t="s">
        <v>569</v>
      </c>
      <c r="D1345" s="2" t="str">
        <f t="shared" si="20"/>
        <v>Error?</v>
      </c>
    </row>
    <row r="1346" spans="1:4" x14ac:dyDescent="0.2">
      <c r="A1346" s="5">
        <v>1285</v>
      </c>
      <c r="B1346" s="1832">
        <f>'Expenditures 15-22'!D210</f>
        <v>86</v>
      </c>
      <c r="C1346" s="2" t="s">
        <v>569</v>
      </c>
      <c r="D1346" s="2" t="str">
        <f t="shared" si="20"/>
        <v>Error?</v>
      </c>
    </row>
    <row r="1347" spans="1:4" x14ac:dyDescent="0.2">
      <c r="A1347" s="5">
        <v>1286</v>
      </c>
      <c r="B1347" s="1832">
        <f>'Expenditures 15-22'!E182</f>
        <v>10120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10120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10120</v>
      </c>
      <c r="C1353" s="2" t="s">
        <v>569</v>
      </c>
      <c r="D1353" s="2" t="str">
        <f t="shared" si="20"/>
        <v>Error?</v>
      </c>
    </row>
    <row r="1354" spans="1:4" x14ac:dyDescent="0.2">
      <c r="A1354" s="5">
        <v>1293</v>
      </c>
      <c r="B1354" s="1832">
        <f>'Expenditures 15-22'!F182</f>
        <v>9900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9900</v>
      </c>
      <c r="C1358" s="2" t="s">
        <v>569</v>
      </c>
      <c r="D1358" s="2" t="str">
        <f t="shared" si="20"/>
        <v>Error?</v>
      </c>
    </row>
    <row r="1359" spans="1:4" x14ac:dyDescent="0.2">
      <c r="A1359" s="5">
        <v>1298</v>
      </c>
      <c r="B1359" s="1832">
        <f>'Expenditures 15-22'!F210</f>
        <v>9900</v>
      </c>
      <c r="C1359" s="2" t="s">
        <v>569</v>
      </c>
      <c r="D1359" s="2" t="str">
        <f t="shared" si="20"/>
        <v>Error?</v>
      </c>
    </row>
    <row r="1360" spans="1:4" x14ac:dyDescent="0.2">
      <c r="A1360" s="5">
        <v>1299</v>
      </c>
      <c r="B1360" s="1832">
        <f>'Expenditures 15-22'!G182</f>
        <v>50000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50000</v>
      </c>
      <c r="C1364" s="2" t="s">
        <v>569</v>
      </c>
      <c r="D1364" s="2" t="str">
        <f t="shared" si="20"/>
        <v>Error?</v>
      </c>
    </row>
    <row r="1365" spans="1:4" x14ac:dyDescent="0.2">
      <c r="A1365" s="5">
        <v>1304</v>
      </c>
      <c r="B1365" s="1832">
        <f>'Expenditures 15-22'!G210</f>
        <v>50000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104882</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104882</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104882</v>
      </c>
      <c r="C1388" s="2" t="s">
        <v>569</v>
      </c>
      <c r="D1388" s="2" t="str">
        <f t="shared" si="20"/>
        <v>Error?</v>
      </c>
    </row>
    <row r="1389" spans="1:4" x14ac:dyDescent="0.2">
      <c r="A1389" s="5">
        <v>1328</v>
      </c>
      <c r="B1389" s="1832">
        <f>'Expenditures 15-22'!K211</f>
        <v>-32892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416</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18872</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134</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134</v>
      </c>
      <c r="C1417" s="2" t="s">
        <v>569</v>
      </c>
      <c r="D1417" s="2" t="str">
        <f t="shared" si="21"/>
        <v>Error?</v>
      </c>
    </row>
    <row r="1418" spans="1:4" x14ac:dyDescent="0.2">
      <c r="A1418" s="5">
        <v>1357</v>
      </c>
      <c r="B1418" s="1832">
        <f>'Expenditures 15-22'!D240</f>
        <v>30</v>
      </c>
      <c r="D1418" s="2" t="str">
        <f t="shared" si="21"/>
        <v>Error?</v>
      </c>
    </row>
    <row r="1419" spans="1:4" x14ac:dyDescent="0.2">
      <c r="A1419" s="5">
        <v>1358</v>
      </c>
      <c r="B1419" s="1832">
        <f>'Expenditures 15-22'!D241</f>
        <v>3663</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3693</v>
      </c>
      <c r="C1421" s="2" t="s">
        <v>569</v>
      </c>
      <c r="D1421" s="2" t="str">
        <f t="shared" si="21"/>
        <v>Error?</v>
      </c>
    </row>
    <row r="1422" spans="1:4" x14ac:dyDescent="0.2">
      <c r="A1422" s="5">
        <v>1361</v>
      </c>
      <c r="B1422" s="1832">
        <f>'Expenditures 15-22'!D245</f>
        <v>184</v>
      </c>
      <c r="D1422" s="2" t="str">
        <f t="shared" si="21"/>
        <v>Error?</v>
      </c>
    </row>
    <row r="1423" spans="1:4" x14ac:dyDescent="0.2">
      <c r="A1423" s="5">
        <v>1362</v>
      </c>
      <c r="B1423" s="1832">
        <f>'Expenditures 15-22'!D246</f>
        <v>69</v>
      </c>
      <c r="D1423" s="2" t="str">
        <f t="shared" si="21"/>
        <v>Error?</v>
      </c>
    </row>
    <row r="1424" spans="1:4" x14ac:dyDescent="0.2">
      <c r="A1424" s="5">
        <v>1363</v>
      </c>
      <c r="B1424" s="1832">
        <f>'Expenditures 15-22'!D257</f>
        <v>883</v>
      </c>
      <c r="C1424" s="2" t="s">
        <v>569</v>
      </c>
      <c r="D1424" s="2" t="str">
        <f t="shared" si="21"/>
        <v>Error?</v>
      </c>
    </row>
    <row r="1425" spans="1:4" x14ac:dyDescent="0.2">
      <c r="A1425" s="5">
        <v>1364</v>
      </c>
      <c r="B1425" s="1832">
        <f>'Expenditures 15-22'!D259</f>
        <v>4500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4500</v>
      </c>
      <c r="C1427" s="2" t="s">
        <v>569</v>
      </c>
      <c r="D1427" s="2" t="str">
        <f t="shared" si="21"/>
        <v>Error?</v>
      </c>
    </row>
    <row r="1428" spans="1:4" x14ac:dyDescent="0.2">
      <c r="A1428" s="5">
        <v>1367</v>
      </c>
      <c r="B1428" s="1832">
        <f>'Expenditures 15-22'!D263</f>
        <v>844</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3961</v>
      </c>
      <c r="D1431" s="2" t="str">
        <f t="shared" si="21"/>
        <v>Error?</v>
      </c>
    </row>
    <row r="1432" spans="1:4" x14ac:dyDescent="0.2">
      <c r="A1432" s="5">
        <v>1371</v>
      </c>
      <c r="B1432" s="1832">
        <f>'Expenditures 15-22'!D267</f>
        <v>4389</v>
      </c>
      <c r="D1432" s="2" t="str">
        <f t="shared" si="21"/>
        <v>Error?</v>
      </c>
    </row>
    <row r="1433" spans="1:4" x14ac:dyDescent="0.2">
      <c r="A1433" s="5">
        <v>1372</v>
      </c>
      <c r="B1433" s="1832">
        <f>'Expenditures 15-22'!D268</f>
        <v>4955</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14149</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429</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429</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23788</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42660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416</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18872</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134</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134</v>
      </c>
      <c r="C1481" s="2" t="s">
        <v>569</v>
      </c>
      <c r="D1481" s="2" t="str">
        <f t="shared" si="22"/>
        <v>Error?</v>
      </c>
    </row>
    <row r="1482" spans="1:4" x14ac:dyDescent="0.2">
      <c r="A1482" s="5">
        <v>1421</v>
      </c>
      <c r="B1482" s="1832">
        <f>'Expenditures 15-22'!K240</f>
        <v>30</v>
      </c>
      <c r="C1482" s="2" t="s">
        <v>569</v>
      </c>
      <c r="D1482" s="2" t="str">
        <f t="shared" si="22"/>
        <v>Error?</v>
      </c>
    </row>
    <row r="1483" spans="1:4" x14ac:dyDescent="0.2">
      <c r="A1483" s="5">
        <v>1422</v>
      </c>
      <c r="B1483" s="1832">
        <f>'Expenditures 15-22'!K241</f>
        <v>3663</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3693</v>
      </c>
      <c r="C1485" s="2" t="s">
        <v>569</v>
      </c>
      <c r="D1485" s="2" t="str">
        <f t="shared" si="22"/>
        <v>Error?</v>
      </c>
    </row>
    <row r="1486" spans="1:4" x14ac:dyDescent="0.2">
      <c r="A1486" s="5">
        <v>1425</v>
      </c>
      <c r="B1486" s="1832">
        <f>'Expenditures 15-22'!K245</f>
        <v>184</v>
      </c>
      <c r="C1486" s="2" t="s">
        <v>569</v>
      </c>
      <c r="D1486" s="2" t="str">
        <f t="shared" si="22"/>
        <v>Error?</v>
      </c>
    </row>
    <row r="1487" spans="1:4" x14ac:dyDescent="0.2">
      <c r="A1487" s="5">
        <v>1426</v>
      </c>
      <c r="B1487" s="1832">
        <f>'Expenditures 15-22'!K246</f>
        <v>69</v>
      </c>
      <c r="C1487" s="2" t="s">
        <v>569</v>
      </c>
      <c r="D1487" s="2" t="str">
        <f t="shared" si="22"/>
        <v>Error?</v>
      </c>
    </row>
    <row r="1488" spans="1:4" x14ac:dyDescent="0.2">
      <c r="A1488" s="5">
        <v>1427</v>
      </c>
      <c r="B1488" s="1832">
        <f>'Expenditures 15-22'!K257</f>
        <v>883</v>
      </c>
      <c r="C1488" s="2" t="s">
        <v>569</v>
      </c>
      <c r="D1488" s="2" t="str">
        <f t="shared" si="22"/>
        <v>Error?</v>
      </c>
    </row>
    <row r="1489" spans="1:4" x14ac:dyDescent="0.2">
      <c r="A1489" s="5">
        <v>1428</v>
      </c>
      <c r="B1489" s="1832">
        <f>'Expenditures 15-22'!K259</f>
        <v>4500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4500</v>
      </c>
      <c r="C1491" s="2" t="s">
        <v>569</v>
      </c>
      <c r="D1491" s="2" t="str">
        <f t="shared" si="22"/>
        <v>Error?</v>
      </c>
    </row>
    <row r="1492" spans="1:4" x14ac:dyDescent="0.2">
      <c r="A1492" s="5">
        <v>1431</v>
      </c>
      <c r="B1492" s="1832">
        <f>'Expenditures 15-22'!K263</f>
        <v>844</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3961</v>
      </c>
      <c r="C1495" s="2" t="s">
        <v>569</v>
      </c>
      <c r="D1495" s="2" t="str">
        <f t="shared" si="22"/>
        <v>Error?</v>
      </c>
    </row>
    <row r="1496" spans="1:4" x14ac:dyDescent="0.2">
      <c r="A1496" s="5">
        <v>1435</v>
      </c>
      <c r="B1496" s="1832">
        <f>'Expenditures 15-22'!K267</f>
        <v>4389</v>
      </c>
      <c r="C1496" s="2" t="s">
        <v>569</v>
      </c>
      <c r="D1496" s="2" t="str">
        <f t="shared" si="22"/>
        <v>Error?</v>
      </c>
    </row>
    <row r="1497" spans="1:4" x14ac:dyDescent="0.2">
      <c r="A1497" s="5">
        <v>1436</v>
      </c>
      <c r="B1497" s="1832">
        <f>'Expenditures 15-22'!K268</f>
        <v>4955</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14149</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429</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429</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23788</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42660</v>
      </c>
      <c r="C1517" s="2" t="s">
        <v>569</v>
      </c>
      <c r="D1517" s="2" t="str">
        <f t="shared" si="22"/>
        <v>Error?</v>
      </c>
    </row>
    <row r="1518" spans="1:4" x14ac:dyDescent="0.2">
      <c r="A1518" s="5">
        <v>1457</v>
      </c>
      <c r="B1518" s="1832">
        <f>'Expenditures 15-22'!K296</f>
        <v>5658</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43835</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43835</v>
      </c>
      <c r="C1535" s="2" t="s">
        <v>569</v>
      </c>
      <c r="D1535" s="2" t="str">
        <f t="shared" ref="D1535:D1598" si="23">IF(ISBLANK(B1535),"OK",IF(A1535-B1535=0,"OK","Error?"))</f>
        <v>Error?</v>
      </c>
    </row>
    <row r="1536" spans="1:4" x14ac:dyDescent="0.2">
      <c r="A1536" s="5">
        <v>1475</v>
      </c>
      <c r="B1536" s="1832">
        <f>'Expenditures 15-22'!E312</f>
        <v>43835</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43835</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43835</v>
      </c>
      <c r="C1559" s="2" t="s">
        <v>569</v>
      </c>
      <c r="D1559" s="2" t="str">
        <f t="shared" si="23"/>
        <v>Error?</v>
      </c>
    </row>
    <row r="1560" spans="1:4" x14ac:dyDescent="0.2">
      <c r="A1560" s="5">
        <v>1499</v>
      </c>
      <c r="B1560" s="1832">
        <f>'Expenditures 15-22'!K312</f>
        <v>43835</v>
      </c>
      <c r="C1560" s="2" t="s">
        <v>569</v>
      </c>
      <c r="D1560" s="2" t="str">
        <f t="shared" si="23"/>
        <v>Error?</v>
      </c>
    </row>
    <row r="1561" spans="1:4" x14ac:dyDescent="0.2">
      <c r="A1561" s="5">
        <v>1500</v>
      </c>
      <c r="B1561" s="1832">
        <f>'Expenditures 15-22'!K313</f>
        <v>28446</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134442</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254504</v>
      </c>
      <c r="C1630" s="2" t="s">
        <v>569</v>
      </c>
      <c r="D1630" s="2" t="str">
        <f t="shared" si="24"/>
        <v>Error?</v>
      </c>
    </row>
    <row r="1631" spans="1:4" x14ac:dyDescent="0.2">
      <c r="A1631" s="5">
        <v>1570</v>
      </c>
      <c r="B1631" s="1832">
        <f>'Acct Summary 7-8'!D79</f>
        <v>29839</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29109</v>
      </c>
      <c r="C1644" s="2" t="s">
        <v>569</v>
      </c>
      <c r="D1644" s="2" t="str">
        <f t="shared" si="24"/>
        <v>Error?</v>
      </c>
    </row>
    <row r="1645" spans="1:4" x14ac:dyDescent="0.2">
      <c r="A1645" s="5">
        <v>1584</v>
      </c>
      <c r="B1645" s="1832">
        <f>'Acct Summary 7-8'!E79</f>
        <v>15531</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18597</v>
      </c>
      <c r="C1658" s="2" t="s">
        <v>569</v>
      </c>
      <c r="D1658" s="2" t="str">
        <f t="shared" si="24"/>
        <v>Error?</v>
      </c>
    </row>
    <row r="1659" spans="1:4" x14ac:dyDescent="0.2">
      <c r="A1659" s="5">
        <v>1598</v>
      </c>
      <c r="B1659" s="1832">
        <f>'Acct Summary 7-8'!F79</f>
        <v>80746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107854</v>
      </c>
      <c r="C1672" s="2" t="s">
        <v>569</v>
      </c>
      <c r="D1672" s="2" t="str">
        <f t="shared" si="25"/>
        <v>Error?</v>
      </c>
    </row>
    <row r="1673" spans="1:4" x14ac:dyDescent="0.2">
      <c r="A1673" s="5">
        <v>1612</v>
      </c>
      <c r="B1673" s="1832">
        <f>'Acct Summary 7-8'!G79</f>
        <v>36979</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42637</v>
      </c>
      <c r="C1686" s="2" t="s">
        <v>569</v>
      </c>
      <c r="D1686" s="2" t="str">
        <f t="shared" si="25"/>
        <v>Error?</v>
      </c>
    </row>
    <row r="1687" spans="1:4" x14ac:dyDescent="0.2">
      <c r="A1687" s="5">
        <v>1626</v>
      </c>
      <c r="B1687" s="1832">
        <f>'Acct Summary 7-8'!H79</f>
        <v>28244</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31690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270795</v>
      </c>
      <c r="C1744" s="2" t="s">
        <v>569</v>
      </c>
      <c r="D1744" s="2" t="str">
        <f t="shared" si="26"/>
        <v>Error?</v>
      </c>
    </row>
    <row r="1745" spans="1:5" x14ac:dyDescent="0.2">
      <c r="A1745" s="5">
        <v>1684</v>
      </c>
      <c r="B1745" s="1832">
        <f>'Tax Sched 23'!B5</f>
        <v>64477</v>
      </c>
      <c r="C1745" s="2" t="s">
        <v>569</v>
      </c>
      <c r="D1745" s="2" t="str">
        <f t="shared" si="26"/>
        <v>Error?</v>
      </c>
    </row>
    <row r="1746" spans="1:5" x14ac:dyDescent="0.2">
      <c r="A1746" s="5">
        <v>1685</v>
      </c>
      <c r="B1746" s="1832">
        <f>'Tax Sched 23'!B6</f>
        <v>55159</v>
      </c>
      <c r="C1746" s="2" t="s">
        <v>569</v>
      </c>
      <c r="D1746" s="2" t="str">
        <f t="shared" si="26"/>
        <v>Error?</v>
      </c>
    </row>
    <row r="1747" spans="1:5" x14ac:dyDescent="0.2">
      <c r="A1747" s="5">
        <v>1686</v>
      </c>
      <c r="B1747" s="1832">
        <f>'Tax Sched 23'!B7</f>
        <v>25801</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6456</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55652</v>
      </c>
      <c r="C1752" s="2" t="s">
        <v>569</v>
      </c>
      <c r="D1752" s="2" t="str">
        <f t="shared" si="26"/>
        <v>Error?</v>
      </c>
    </row>
    <row r="1753" spans="1:5" x14ac:dyDescent="0.2">
      <c r="A1753" s="5">
        <v>1692</v>
      </c>
      <c r="B1753" s="1832">
        <f>'Tax Sched 23'!B12</f>
        <v>6457</v>
      </c>
      <c r="C1753" s="2" t="s">
        <v>569</v>
      </c>
      <c r="D1753" s="2" t="str">
        <f t="shared" si="26"/>
        <v>Error?</v>
      </c>
    </row>
    <row r="1754" spans="1:5" x14ac:dyDescent="0.2">
      <c r="A1754" s="5">
        <v>1693</v>
      </c>
      <c r="B1754" s="1832">
        <f>'Tax Sched 23'!B14</f>
        <v>5160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523293</v>
      </c>
      <c r="C1759" s="2" t="s">
        <v>569</v>
      </c>
      <c r="D1759" s="2" t="str">
        <f t="shared" si="26"/>
        <v>Error?</v>
      </c>
    </row>
    <row r="1760" spans="1:5" x14ac:dyDescent="0.2">
      <c r="A1760" s="5">
        <v>1699</v>
      </c>
      <c r="B1760" s="1832">
        <f>'Tax Sched 23'!D4</f>
        <v>270795</v>
      </c>
      <c r="C1760" s="2" t="s">
        <v>569</v>
      </c>
      <c r="D1760" s="2" t="str">
        <f t="shared" si="26"/>
        <v>Error?</v>
      </c>
    </row>
    <row r="1761" spans="1:7" x14ac:dyDescent="0.2">
      <c r="A1761" s="5">
        <v>1700</v>
      </c>
      <c r="B1761" s="1832">
        <f>'Tax Sched 23'!D5</f>
        <v>64477</v>
      </c>
      <c r="C1761" s="2" t="s">
        <v>569</v>
      </c>
      <c r="D1761" s="2" t="str">
        <f t="shared" si="26"/>
        <v>Error?</v>
      </c>
    </row>
    <row r="1762" spans="1:7" s="8" customFormat="1" x14ac:dyDescent="0.2">
      <c r="A1762" s="5">
        <v>1701</v>
      </c>
      <c r="B1762" s="1832">
        <f>'Tax Sched 23'!D6</f>
        <v>55159</v>
      </c>
      <c r="C1762" s="2" t="s">
        <v>569</v>
      </c>
      <c r="D1762" s="2" t="str">
        <f t="shared" si="26"/>
        <v>Error?</v>
      </c>
      <c r="E1762" s="9"/>
      <c r="G1762"/>
    </row>
    <row r="1763" spans="1:7" x14ac:dyDescent="0.2">
      <c r="A1763" s="5">
        <v>1702</v>
      </c>
      <c r="B1763" s="1832">
        <f>'Tax Sched 23'!D7</f>
        <v>25801</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6456</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55652</v>
      </c>
      <c r="C1768" s="2" t="s">
        <v>569</v>
      </c>
      <c r="D1768" s="2" t="str">
        <f t="shared" si="26"/>
        <v>Error?</v>
      </c>
    </row>
    <row r="1769" spans="1:7" x14ac:dyDescent="0.2">
      <c r="A1769" s="5">
        <v>1708</v>
      </c>
      <c r="B1769" s="1832">
        <f>'Tax Sched 23'!D12</f>
        <v>6457</v>
      </c>
      <c r="C1769" s="2" t="s">
        <v>569</v>
      </c>
      <c r="D1769" s="2" t="str">
        <f t="shared" si="26"/>
        <v>Error?</v>
      </c>
    </row>
    <row r="1770" spans="1:7" x14ac:dyDescent="0.2">
      <c r="A1770" s="5">
        <v>1709</v>
      </c>
      <c r="B1770" s="1832">
        <f>'Tax Sched 23'!D14</f>
        <v>5160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523293</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278919</v>
      </c>
      <c r="C1792" s="2" t="s">
        <v>569</v>
      </c>
      <c r="D1792" s="2" t="str">
        <f t="shared" si="27"/>
        <v>Error?</v>
      </c>
    </row>
    <row r="1793" spans="1:4" x14ac:dyDescent="0.2">
      <c r="A1793" s="5">
        <v>1732</v>
      </c>
      <c r="B1793" s="1832">
        <f>'Tax Sched 23'!F5</f>
        <v>66411</v>
      </c>
      <c r="C1793" s="2" t="s">
        <v>569</v>
      </c>
      <c r="D1793" s="2" t="str">
        <f t="shared" si="27"/>
        <v>Error?</v>
      </c>
    </row>
    <row r="1794" spans="1:4" x14ac:dyDescent="0.2">
      <c r="A1794" s="5">
        <v>1733</v>
      </c>
      <c r="B1794" s="1832">
        <f>'Tax Sched 23'!F6</f>
        <v>56814</v>
      </c>
      <c r="C1794" s="2" t="s">
        <v>569</v>
      </c>
      <c r="D1794" s="2" t="str">
        <f t="shared" si="27"/>
        <v>Error?</v>
      </c>
    </row>
    <row r="1795" spans="1:4" x14ac:dyDescent="0.2">
      <c r="A1795" s="5">
        <v>1734</v>
      </c>
      <c r="B1795" s="1832">
        <f>'Tax Sched 23'!F7</f>
        <v>26575</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6650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57322</v>
      </c>
      <c r="C1800" s="2" t="s">
        <v>569</v>
      </c>
      <c r="D1800" s="2" t="str">
        <f t="shared" si="27"/>
        <v>Error?</v>
      </c>
    </row>
    <row r="1801" spans="1:4" x14ac:dyDescent="0.2">
      <c r="A1801" s="5">
        <v>1740</v>
      </c>
      <c r="B1801" s="1832">
        <f>'Tax Sched 23'!F12</f>
        <v>6651</v>
      </c>
      <c r="C1801" s="2" t="s">
        <v>569</v>
      </c>
      <c r="D1801" s="2" t="str">
        <f t="shared" si="27"/>
        <v>Error?</v>
      </c>
    </row>
    <row r="1802" spans="1:4" x14ac:dyDescent="0.2">
      <c r="A1802" s="5">
        <v>1741</v>
      </c>
      <c r="B1802" s="1832">
        <f>'Tax Sched 23'!F14</f>
        <v>5315</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538993</v>
      </c>
      <c r="C1807" s="2" t="s">
        <v>569</v>
      </c>
      <c r="D1807" s="2" t="str">
        <f t="shared" si="27"/>
        <v>Error?</v>
      </c>
    </row>
    <row r="1808" spans="1:4" x14ac:dyDescent="0.2">
      <c r="A1808" s="5">
        <v>1747</v>
      </c>
      <c r="B1808" s="1832">
        <f>'Tax Sched 23'!E4</f>
        <v>278919</v>
      </c>
      <c r="D1808" s="2" t="str">
        <f t="shared" si="27"/>
        <v>Error?</v>
      </c>
    </row>
    <row r="1809" spans="1:4" x14ac:dyDescent="0.2">
      <c r="A1809" s="5">
        <v>1748</v>
      </c>
      <c r="B1809" s="1832">
        <f>'Tax Sched 23'!E5</f>
        <v>66411</v>
      </c>
      <c r="D1809" s="2" t="str">
        <f t="shared" si="27"/>
        <v>Error?</v>
      </c>
    </row>
    <row r="1810" spans="1:4" x14ac:dyDescent="0.2">
      <c r="A1810" s="5">
        <v>1749</v>
      </c>
      <c r="B1810" s="1832">
        <f>'Tax Sched 23'!E6</f>
        <v>56814</v>
      </c>
      <c r="D1810" s="2" t="str">
        <f t="shared" si="27"/>
        <v>Error?</v>
      </c>
    </row>
    <row r="1811" spans="1:4" x14ac:dyDescent="0.2">
      <c r="A1811" s="5">
        <v>1750</v>
      </c>
      <c r="B1811" s="1832">
        <f>'Tax Sched 23'!E7</f>
        <v>26575</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6650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57322</v>
      </c>
      <c r="D1816" s="2" t="str">
        <f t="shared" si="27"/>
        <v>Error?</v>
      </c>
    </row>
    <row r="1817" spans="1:4" x14ac:dyDescent="0.2">
      <c r="A1817" s="5">
        <v>1756</v>
      </c>
      <c r="B1817" s="1832">
        <f>'Tax Sched 23'!E12</f>
        <v>6651</v>
      </c>
      <c r="D1817" s="2" t="str">
        <f t="shared" si="27"/>
        <v>Error?</v>
      </c>
    </row>
    <row r="1818" spans="1:4" x14ac:dyDescent="0.2">
      <c r="A1818" s="5">
        <v>1757</v>
      </c>
      <c r="B1818" s="1832">
        <f>'Tax Sched 23'!E14</f>
        <v>5315</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538993</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785100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19115</v>
      </c>
      <c r="D2008" s="2" t="str">
        <f t="shared" si="30"/>
        <v>Error?</v>
      </c>
    </row>
    <row r="2009" spans="1:4" x14ac:dyDescent="0.2">
      <c r="A2009" s="5">
        <v>1948</v>
      </c>
      <c r="B2009" s="1832">
        <f>'Cap Outlay Deprec 26'!C8</f>
        <v>1617981</v>
      </c>
      <c r="D2009" s="2" t="str">
        <f t="shared" si="30"/>
        <v>Error?</v>
      </c>
    </row>
    <row r="2010" spans="1:4" x14ac:dyDescent="0.2">
      <c r="A2010" s="5">
        <v>1949</v>
      </c>
      <c r="B2010" s="1832">
        <f>'Cap Outlay Deprec 26'!C10</f>
        <v>143892</v>
      </c>
      <c r="D2010" s="2" t="str">
        <f t="shared" si="30"/>
        <v>Error?</v>
      </c>
    </row>
    <row r="2011" spans="1:4" x14ac:dyDescent="0.2">
      <c r="A2011" s="5">
        <v>1950</v>
      </c>
      <c r="B2011" s="1832">
        <f>'Cap Outlay Deprec 26'!C12</f>
        <v>370643</v>
      </c>
      <c r="D2011" s="2" t="str">
        <f t="shared" si="30"/>
        <v>Error?</v>
      </c>
    </row>
    <row r="2012" spans="1:4" x14ac:dyDescent="0.2">
      <c r="A2012" s="5">
        <v>1951</v>
      </c>
      <c r="B2012" s="1832">
        <f>'Cap Outlay Deprec 26'!C13</f>
        <v>552989</v>
      </c>
      <c r="D2012" s="2" t="str">
        <f t="shared" si="30"/>
        <v>Error?</v>
      </c>
    </row>
    <row r="2013" spans="1:4" x14ac:dyDescent="0.2">
      <c r="A2013" s="5">
        <v>1952</v>
      </c>
      <c r="B2013" s="1832">
        <f>'Cap Outlay Deprec 26'!C16</f>
        <v>2704620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58500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58500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19115</v>
      </c>
      <c r="C2026" s="2" t="s">
        <v>569</v>
      </c>
      <c r="D2026" s="2" t="str">
        <f t="shared" si="30"/>
        <v>Error?</v>
      </c>
    </row>
    <row r="2027" spans="1:4" x14ac:dyDescent="0.2">
      <c r="A2027" s="5">
        <v>1966</v>
      </c>
      <c r="B2027" s="1832">
        <f>'Cap Outlay Deprec 26'!F8</f>
        <v>1617981</v>
      </c>
      <c r="C2027" s="2" t="s">
        <v>569</v>
      </c>
      <c r="D2027" s="2" t="str">
        <f t="shared" si="30"/>
        <v>Error?</v>
      </c>
    </row>
    <row r="2028" spans="1:4" x14ac:dyDescent="0.2">
      <c r="A2028" s="5">
        <v>1967</v>
      </c>
      <c r="B2028" s="1832">
        <f>'Cap Outlay Deprec 26'!F10</f>
        <v>143892</v>
      </c>
      <c r="C2028" s="2" t="s">
        <v>569</v>
      </c>
      <c r="D2028" s="2" t="str">
        <f t="shared" si="30"/>
        <v>Error?</v>
      </c>
    </row>
    <row r="2029" spans="1:4" x14ac:dyDescent="0.2">
      <c r="A2029" s="5">
        <v>1968</v>
      </c>
      <c r="B2029" s="1832">
        <f>'Cap Outlay Deprec 26'!F12</f>
        <v>429143</v>
      </c>
      <c r="C2029" s="2" t="s">
        <v>569</v>
      </c>
      <c r="D2029" s="2" t="str">
        <f t="shared" si="30"/>
        <v>Error?</v>
      </c>
    </row>
    <row r="2030" spans="1:4" x14ac:dyDescent="0.2">
      <c r="A2030" s="5">
        <v>1969</v>
      </c>
      <c r="B2030" s="1832">
        <f>'Cap Outlay Deprec 26'!F13</f>
        <v>552989</v>
      </c>
      <c r="C2030" s="2" t="s">
        <v>569</v>
      </c>
      <c r="D2030" s="2" t="str">
        <f t="shared" si="30"/>
        <v>Error?</v>
      </c>
    </row>
    <row r="2031" spans="1:4" x14ac:dyDescent="0.2">
      <c r="A2031" s="5">
        <v>1970</v>
      </c>
      <c r="B2031" s="1832">
        <f>'Cap Outlay Deprec 26'!F16</f>
        <v>2763120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907702</v>
      </c>
      <c r="D2033" s="2" t="str">
        <f t="shared" si="30"/>
        <v>Error?</v>
      </c>
    </row>
    <row r="2034" spans="1:4" x14ac:dyDescent="0.2">
      <c r="A2034" s="5">
        <v>1973</v>
      </c>
      <c r="B2034" s="1832">
        <f>'Cap Outlay Deprec 26'!H10</f>
        <v>143892</v>
      </c>
      <c r="D2034" s="2" t="str">
        <f t="shared" si="30"/>
        <v>Error?</v>
      </c>
    </row>
    <row r="2035" spans="1:4" x14ac:dyDescent="0.2">
      <c r="A2035" s="5">
        <v>1974</v>
      </c>
      <c r="B2035" s="1832">
        <f>'Cap Outlay Deprec 26'!H12</f>
        <v>330705</v>
      </c>
      <c r="D2035" s="2" t="str">
        <f t="shared" si="30"/>
        <v>Error?</v>
      </c>
    </row>
    <row r="2036" spans="1:4" x14ac:dyDescent="0.2">
      <c r="A2036" s="5">
        <v>1975</v>
      </c>
      <c r="B2036" s="1832">
        <f>'Cap Outlay Deprec 26'!H13</f>
        <v>534037</v>
      </c>
      <c r="D2036" s="2" t="str">
        <f t="shared" si="30"/>
        <v>Error?</v>
      </c>
    </row>
    <row r="2037" spans="1:4" x14ac:dyDescent="0.2">
      <c r="A2037" s="5">
        <v>1976</v>
      </c>
      <c r="B2037" s="1832">
        <f>'Cap Outlay Deprec 26'!H16</f>
        <v>1916336</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32360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10288</v>
      </c>
      <c r="D2041" s="2" t="str">
        <f t="shared" si="30"/>
        <v>Error?</v>
      </c>
    </row>
    <row r="2042" spans="1:4" x14ac:dyDescent="0.2">
      <c r="A2042" s="5">
        <v>1981</v>
      </c>
      <c r="B2042" s="1832">
        <f>'Cap Outlay Deprec 26'!I13</f>
        <v>9775</v>
      </c>
      <c r="D2042" s="2" t="str">
        <f t="shared" si="30"/>
        <v>Error?</v>
      </c>
    </row>
    <row r="2043" spans="1:4" x14ac:dyDescent="0.2">
      <c r="A2043" s="5">
        <v>1982</v>
      </c>
      <c r="B2043" s="1832">
        <f>'Cap Outlay Deprec 26'!I16</f>
        <v>52423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940062</v>
      </c>
      <c r="C2051" s="2" t="s">
        <v>569</v>
      </c>
      <c r="D2051" s="2" t="str">
        <f t="shared" si="31"/>
        <v>Error?</v>
      </c>
    </row>
    <row r="2052" spans="1:4" x14ac:dyDescent="0.2">
      <c r="A2052" s="5">
        <v>1991</v>
      </c>
      <c r="B2052" s="1832">
        <f>'Cap Outlay Deprec 26'!K10</f>
        <v>143892</v>
      </c>
      <c r="C2052" s="2" t="s">
        <v>569</v>
      </c>
      <c r="D2052" s="2" t="str">
        <f t="shared" si="31"/>
        <v>Error?</v>
      </c>
    </row>
    <row r="2053" spans="1:4" x14ac:dyDescent="0.2">
      <c r="A2053" s="5">
        <v>1992</v>
      </c>
      <c r="B2053" s="1832">
        <f>'Cap Outlay Deprec 26'!K12</f>
        <v>340993</v>
      </c>
      <c r="C2053" s="2" t="s">
        <v>569</v>
      </c>
      <c r="D2053" s="2" t="str">
        <f t="shared" si="31"/>
        <v>Error?</v>
      </c>
    </row>
    <row r="2054" spans="1:4" x14ac:dyDescent="0.2">
      <c r="A2054" s="5">
        <v>1993</v>
      </c>
      <c r="B2054" s="1832">
        <f>'Cap Outlay Deprec 26'!K13</f>
        <v>543812</v>
      </c>
      <c r="C2054" s="2" t="s">
        <v>569</v>
      </c>
      <c r="D2054" s="2" t="str">
        <f t="shared" si="31"/>
        <v>Error?</v>
      </c>
    </row>
    <row r="2055" spans="1:4" x14ac:dyDescent="0.2">
      <c r="A2055" s="5">
        <v>1994</v>
      </c>
      <c r="B2055" s="1832">
        <f>'Cap Outlay Deprec 26'!K16</f>
        <v>1968759</v>
      </c>
      <c r="C2055" s="2" t="s">
        <v>569</v>
      </c>
      <c r="D2055" s="2" t="str">
        <f t="shared" si="31"/>
        <v>Error?</v>
      </c>
    </row>
    <row r="2056" spans="1:4" x14ac:dyDescent="0.2">
      <c r="A2056" s="5">
        <v>1995</v>
      </c>
      <c r="B2056" s="1832">
        <f>'Cap Outlay Deprec 26'!L5</f>
        <v>19115</v>
      </c>
      <c r="C2056" s="2" t="s">
        <v>569</v>
      </c>
      <c r="D2056" s="2" t="str">
        <f t="shared" si="31"/>
        <v>Error?</v>
      </c>
    </row>
    <row r="2057" spans="1:4" x14ac:dyDescent="0.2">
      <c r="A2057" s="5">
        <v>1996</v>
      </c>
      <c r="B2057" s="1832">
        <f>'Cap Outlay Deprec 26'!L8</f>
        <v>677919</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88150</v>
      </c>
      <c r="C2059" s="2" t="s">
        <v>569</v>
      </c>
      <c r="D2059" s="2" t="str">
        <f t="shared" si="31"/>
        <v>Error?</v>
      </c>
    </row>
    <row r="2060" spans="1:4" x14ac:dyDescent="0.2">
      <c r="A2060" s="5">
        <v>1999</v>
      </c>
      <c r="B2060" s="1832">
        <f>'Cap Outlay Deprec 26'!L13</f>
        <v>9177</v>
      </c>
      <c r="C2060" s="2" t="s">
        <v>569</v>
      </c>
      <c r="D2060" s="2" t="str">
        <f t="shared" si="31"/>
        <v>Error?</v>
      </c>
    </row>
    <row r="2061" spans="1:4" x14ac:dyDescent="0.2">
      <c r="A2061" s="5">
        <v>2000</v>
      </c>
      <c r="B2061" s="1832">
        <f>'Cap Outlay Deprec 26'!L16</f>
        <v>794361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3215</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3215</v>
      </c>
      <c r="C2088" s="2" t="s">
        <v>569</v>
      </c>
      <c r="D2088" s="2" t="str">
        <f t="shared" si="31"/>
        <v>Error?</v>
      </c>
    </row>
    <row r="2089" spans="1:4" x14ac:dyDescent="0.2">
      <c r="A2089" s="5">
        <v>2028</v>
      </c>
      <c r="B2089" s="1832">
        <f>'Expenditures 15-22'!K92</f>
        <v>333781</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50000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337371</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905925</v>
      </c>
      <c r="C2553" s="2" t="s">
        <v>569</v>
      </c>
      <c r="D2553" s="2" t="str">
        <f t="shared" si="38"/>
        <v>Error?</v>
      </c>
    </row>
    <row r="2554" spans="1:4" x14ac:dyDescent="0.2">
      <c r="A2554" s="5">
        <v>2493</v>
      </c>
      <c r="B2554" s="1832">
        <f>'Acct Summary 7-8'!C7</f>
        <v>183899</v>
      </c>
      <c r="C2554" s="2" t="s">
        <v>569</v>
      </c>
      <c r="D2554" s="2" t="str">
        <f t="shared" si="38"/>
        <v>Error?</v>
      </c>
    </row>
    <row r="2555" spans="1:4" x14ac:dyDescent="0.2">
      <c r="A2555" s="5">
        <v>2494</v>
      </c>
      <c r="B2555" s="1832">
        <f>'Acct Summary 7-8'!C8</f>
        <v>1427195</v>
      </c>
      <c r="C2555" s="2" t="s">
        <v>569</v>
      </c>
      <c r="D2555" s="2" t="str">
        <f t="shared" si="38"/>
        <v>Error?</v>
      </c>
    </row>
    <row r="2556" spans="1:4" x14ac:dyDescent="0.2">
      <c r="A2556" s="5">
        <v>2495</v>
      </c>
      <c r="B2556" s="1832">
        <f>'Acct Summary 7-8'!C12</f>
        <v>668595</v>
      </c>
      <c r="C2556" s="2" t="s">
        <v>569</v>
      </c>
      <c r="D2556" s="2" t="str">
        <f t="shared" si="38"/>
        <v>Error?</v>
      </c>
    </row>
    <row r="2557" spans="1:4" x14ac:dyDescent="0.2">
      <c r="A2557" s="5">
        <v>2496</v>
      </c>
      <c r="B2557" s="1832">
        <f>'Acct Summary 7-8'!C13</f>
        <v>301542</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336996</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1307133</v>
      </c>
      <c r="C2561" s="2" t="s">
        <v>569</v>
      </c>
      <c r="D2561" s="2" t="str">
        <f t="shared" si="39"/>
        <v>Error?</v>
      </c>
    </row>
    <row r="2562" spans="1:4" x14ac:dyDescent="0.2">
      <c r="A2562" s="5">
        <v>2501</v>
      </c>
      <c r="B2562" s="1832">
        <f>'Acct Summary 7-8'!C20</f>
        <v>120062</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72059</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72059</v>
      </c>
      <c r="C2568" s="2" t="s">
        <v>569</v>
      </c>
      <c r="D2568" s="2" t="str">
        <f t="shared" si="39"/>
        <v>Error?</v>
      </c>
    </row>
    <row r="2569" spans="1:4" x14ac:dyDescent="0.2">
      <c r="A2569" s="5">
        <v>2508</v>
      </c>
      <c r="B2569" s="1832">
        <f>'Acct Summary 7-8'!D13</f>
        <v>72789</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72789</v>
      </c>
      <c r="C2573" s="2" t="s">
        <v>569</v>
      </c>
      <c r="D2573" s="2" t="str">
        <f t="shared" si="39"/>
        <v>Error?</v>
      </c>
    </row>
    <row r="2574" spans="1:4" x14ac:dyDescent="0.2">
      <c r="A2574" s="5">
        <v>2513</v>
      </c>
      <c r="B2574" s="1832">
        <f>'Acct Summary 7-8'!D20</f>
        <v>-730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29408</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42582</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71990</v>
      </c>
      <c r="C2595" s="2" t="s">
        <v>569</v>
      </c>
      <c r="D2595" s="2" t="str">
        <f t="shared" si="39"/>
        <v>Error?</v>
      </c>
    </row>
    <row r="2596" spans="1:4" x14ac:dyDescent="0.2">
      <c r="A2596" s="5">
        <v>2535</v>
      </c>
      <c r="B2596" s="1832">
        <f>'Acct Summary 7-8'!F13</f>
        <v>104882</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104882</v>
      </c>
      <c r="C2600" s="2" t="s">
        <v>569</v>
      </c>
      <c r="D2600" s="2" t="str">
        <f t="shared" si="39"/>
        <v>Error?</v>
      </c>
    </row>
    <row r="2601" spans="1:4" x14ac:dyDescent="0.2">
      <c r="A2601" s="5">
        <v>2540</v>
      </c>
      <c r="B2601" s="1832">
        <f>'Acct Summary 7-8'!F20</f>
        <v>-32892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31095</v>
      </c>
      <c r="C2603" s="2" t="s">
        <v>569</v>
      </c>
      <c r="D2603" s="2" t="str">
        <f t="shared" si="39"/>
        <v>Error?</v>
      </c>
    </row>
    <row r="2604" spans="1:4" x14ac:dyDescent="0.2">
      <c r="A2604" s="5">
        <v>2543</v>
      </c>
      <c r="B2604" s="1832">
        <f>'Acct Summary 7-8'!G6</f>
        <v>14150</v>
      </c>
      <c r="C2604" s="2" t="s">
        <v>569</v>
      </c>
      <c r="D2604" s="2" t="str">
        <f t="shared" si="39"/>
        <v>Error?</v>
      </c>
    </row>
    <row r="2605" spans="1:4" x14ac:dyDescent="0.2">
      <c r="A2605" s="5">
        <v>2544</v>
      </c>
      <c r="B2605" s="1832">
        <f>'Acct Summary 7-8'!G7</f>
        <v>3073</v>
      </c>
      <c r="C2605" s="2" t="s">
        <v>569</v>
      </c>
      <c r="D2605" s="2" t="str">
        <f t="shared" si="39"/>
        <v>Error?</v>
      </c>
    </row>
    <row r="2606" spans="1:4" x14ac:dyDescent="0.2">
      <c r="A2606" s="5">
        <v>2545</v>
      </c>
      <c r="B2606" s="1832">
        <f>'Acct Summary 7-8'!G8</f>
        <v>48318</v>
      </c>
      <c r="C2606" s="2" t="s">
        <v>569</v>
      </c>
      <c r="D2606" s="2" t="str">
        <f t="shared" si="39"/>
        <v>Error?</v>
      </c>
    </row>
    <row r="2607" spans="1:4" x14ac:dyDescent="0.2">
      <c r="A2607" s="5">
        <v>2546</v>
      </c>
      <c r="B2607" s="1832">
        <f>'Acct Summary 7-8'!G12</f>
        <v>18872</v>
      </c>
      <c r="C2607" s="2" t="s">
        <v>569</v>
      </c>
      <c r="D2607" s="2" t="str">
        <f t="shared" si="39"/>
        <v>Error?</v>
      </c>
    </row>
    <row r="2608" spans="1:4" x14ac:dyDescent="0.2">
      <c r="A2608" s="5">
        <v>2547</v>
      </c>
      <c r="B2608" s="1832">
        <f>'Acct Summary 7-8'!G13</f>
        <v>23788</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42660</v>
      </c>
      <c r="C2612" s="2" t="s">
        <v>569</v>
      </c>
      <c r="D2612" s="2" t="str">
        <f t="shared" si="39"/>
        <v>Error?</v>
      </c>
    </row>
    <row r="2613" spans="1:4" x14ac:dyDescent="0.2">
      <c r="A2613" s="5">
        <v>2552</v>
      </c>
      <c r="B2613" s="1832">
        <f>'Acct Summary 7-8'!G20</f>
        <v>5658</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55341</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55341</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77275</v>
      </c>
      <c r="C2634" s="2" t="s">
        <v>569</v>
      </c>
      <c r="D2634" s="2" t="str">
        <f t="shared" si="40"/>
        <v>Error?</v>
      </c>
    </row>
    <row r="2635" spans="1:4" x14ac:dyDescent="0.2">
      <c r="A2635" s="5">
        <v>2574</v>
      </c>
      <c r="B2635" s="1832">
        <f>'Acct Summary 7-8'!E17</f>
        <v>77275</v>
      </c>
      <c r="C2635" s="2" t="s">
        <v>569</v>
      </c>
      <c r="D2635" s="2" t="str">
        <f t="shared" si="40"/>
        <v>Error?</v>
      </c>
    </row>
    <row r="2636" spans="1:4" x14ac:dyDescent="0.2">
      <c r="A2636" s="5">
        <v>2575</v>
      </c>
      <c r="B2636" s="1832">
        <f>'Acct Summary 7-8'!E20</f>
        <v>-21934</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72281</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72281</v>
      </c>
      <c r="C2658" s="2" t="s">
        <v>569</v>
      </c>
      <c r="D2658" s="2" t="str">
        <f t="shared" si="40"/>
        <v>Error?</v>
      </c>
    </row>
    <row r="2659" spans="1:4" x14ac:dyDescent="0.2">
      <c r="A2659" s="5">
        <v>2598</v>
      </c>
      <c r="B2659" s="1832">
        <f>'Acct Summary 7-8'!H13</f>
        <v>43835</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43835</v>
      </c>
      <c r="C2661" s="2" t="s">
        <v>569</v>
      </c>
      <c r="D2661" s="2" t="str">
        <f t="shared" si="40"/>
        <v>Error?</v>
      </c>
    </row>
    <row r="2662" spans="1:4" x14ac:dyDescent="0.2">
      <c r="A2662" s="5">
        <v>2601</v>
      </c>
      <c r="B2662" s="1832">
        <f>'Acct Summary 7-8'!H20</f>
        <v>28446</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25000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25000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109674</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27845</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109674</v>
      </c>
      <c r="D2912" s="2" t="str">
        <f t="shared" si="44"/>
        <v>Error?</v>
      </c>
    </row>
    <row r="2913" spans="1:4" x14ac:dyDescent="0.2">
      <c r="A2913" s="5">
        <v>2852</v>
      </c>
      <c r="B2913" s="1832">
        <f>'Assets-Liab 5-6'!I41</f>
        <v>109674</v>
      </c>
      <c r="C2913" s="2" t="s">
        <v>569</v>
      </c>
      <c r="D2913" s="2" t="str">
        <f t="shared" si="44"/>
        <v>Error?</v>
      </c>
    </row>
    <row r="2914" spans="1:4" x14ac:dyDescent="0.2">
      <c r="A2914" s="5">
        <v>2853</v>
      </c>
      <c r="B2914" s="1832">
        <f>'Assets-Liab 5-6'!L33</f>
        <v>27845</v>
      </c>
      <c r="D2914" s="2" t="str">
        <f t="shared" si="44"/>
        <v>Error?</v>
      </c>
    </row>
    <row r="2915" spans="1:4" x14ac:dyDescent="0.2">
      <c r="A2915" s="10">
        <v>2854</v>
      </c>
      <c r="B2915" s="1832"/>
      <c r="D2915" s="2" t="str">
        <f t="shared" si="44"/>
        <v>OK</v>
      </c>
    </row>
    <row r="2916" spans="1:4" x14ac:dyDescent="0.2">
      <c r="A2916" s="5">
        <v>2855</v>
      </c>
      <c r="B2916" s="1832">
        <f>'Assets-Liab 5-6'!L34</f>
        <v>27845</v>
      </c>
      <c r="C2916" s="2" t="s">
        <v>569</v>
      </c>
      <c r="D2916" s="2" t="str">
        <f t="shared" si="44"/>
        <v>Error?</v>
      </c>
    </row>
    <row r="2917" spans="1:4" x14ac:dyDescent="0.2">
      <c r="A2917" s="5">
        <v>2856</v>
      </c>
      <c r="B2917" s="1832">
        <f>'Assets-Liab 5-6'!L41</f>
        <v>27845</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3215</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3215</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53577</v>
      </c>
      <c r="D3055" s="2" t="str">
        <f t="shared" si="46"/>
        <v>Error?</v>
      </c>
    </row>
    <row r="3056" spans="1:4" x14ac:dyDescent="0.2">
      <c r="A3056" s="5">
        <v>2995</v>
      </c>
      <c r="B3056" s="1832">
        <f>'Expenditures 15-22'!D10</f>
        <v>243</v>
      </c>
      <c r="D3056" s="2" t="str">
        <f t="shared" si="46"/>
        <v>Error?</v>
      </c>
    </row>
    <row r="3057" spans="1:4" x14ac:dyDescent="0.2">
      <c r="A3057" s="5">
        <v>2996</v>
      </c>
      <c r="B3057" s="1832">
        <f>'Expenditures 15-22'!E10</f>
        <v>3086</v>
      </c>
      <c r="D3057" s="2" t="str">
        <f t="shared" si="46"/>
        <v>Error?</v>
      </c>
    </row>
    <row r="3058" spans="1:4" x14ac:dyDescent="0.2">
      <c r="A3058" s="5">
        <v>2997</v>
      </c>
      <c r="B3058" s="1832">
        <f>'Expenditures 15-22'!F10</f>
        <v>4274</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68602</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6487</v>
      </c>
      <c r="D3064" s="2" t="str">
        <f t="shared" si="46"/>
        <v>Error?</v>
      </c>
    </row>
    <row r="3065" spans="1:4" x14ac:dyDescent="0.2">
      <c r="A3065" s="5">
        <v>3004</v>
      </c>
      <c r="B3065" s="1832">
        <f>'Expenditures 15-22'!K219</f>
        <v>6487</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7551</v>
      </c>
      <c r="C3225" s="2" t="s">
        <v>569</v>
      </c>
      <c r="D3225" s="2" t="str">
        <f t="shared" si="49"/>
        <v>Error?</v>
      </c>
    </row>
    <row r="3226" spans="1:4" x14ac:dyDescent="0.2">
      <c r="A3226" s="5">
        <v>3165</v>
      </c>
      <c r="B3226" s="1832">
        <f>'Acct Summary 7-8'!I8</f>
        <v>7551</v>
      </c>
      <c r="C3226" s="2" t="s">
        <v>569</v>
      </c>
      <c r="D3226" s="2" t="str">
        <f t="shared" si="49"/>
        <v>Error?</v>
      </c>
    </row>
    <row r="3227" spans="1:4" x14ac:dyDescent="0.2">
      <c r="A3227" s="5">
        <v>3166</v>
      </c>
      <c r="B3227" s="1832">
        <f>'Acct Summary 7-8'!I20</f>
        <v>7551</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120062</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-730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60000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60000</v>
      </c>
      <c r="C3255" s="2" t="s">
        <v>569</v>
      </c>
      <c r="D3255" s="2" t="str">
        <f t="shared" si="49"/>
        <v>Error?</v>
      </c>
    </row>
    <row r="3256" spans="1:4" x14ac:dyDescent="0.2">
      <c r="A3256" s="5">
        <v>3195</v>
      </c>
      <c r="B3256" s="1832">
        <f>'Acct Summary 7-8'!F78</f>
        <v>27108</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5658</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25000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25000</v>
      </c>
      <c r="C3277" s="2" t="s">
        <v>569</v>
      </c>
      <c r="D3277" s="2" t="str">
        <f t="shared" si="50"/>
        <v>Error?</v>
      </c>
    </row>
    <row r="3278" spans="1:4" x14ac:dyDescent="0.2">
      <c r="A3278" s="5">
        <v>3217</v>
      </c>
      <c r="B3278" s="1832">
        <f>'Acct Summary 7-8'!E78</f>
        <v>3066</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25000</v>
      </c>
      <c r="C3298" s="2" t="s">
        <v>569</v>
      </c>
      <c r="D3298" s="2" t="str">
        <f t="shared" si="50"/>
        <v>Error?</v>
      </c>
    </row>
    <row r="3299" spans="1:4" x14ac:dyDescent="0.2">
      <c r="A3299" s="5">
        <v>3238</v>
      </c>
      <c r="B3299" s="1832">
        <f>'Acct Summary 7-8'!H77</f>
        <v>-25000</v>
      </c>
      <c r="C3299" s="2" t="s">
        <v>569</v>
      </c>
      <c r="D3299" s="2" t="str">
        <f t="shared" si="50"/>
        <v>Error?</v>
      </c>
    </row>
    <row r="3300" spans="1:4" x14ac:dyDescent="0.2">
      <c r="A3300" s="5">
        <v>3239</v>
      </c>
      <c r="B3300" s="1832">
        <f>'Acct Summary 7-8'!H78</f>
        <v>3446</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50000</v>
      </c>
      <c r="C3318" s="2" t="s">
        <v>569</v>
      </c>
      <c r="D3318" s="2" t="str">
        <f t="shared" si="50"/>
        <v>Error?</v>
      </c>
    </row>
    <row r="3319" spans="1:4" x14ac:dyDescent="0.2">
      <c r="A3319" s="5">
        <v>3258</v>
      </c>
      <c r="B3319" s="1832">
        <f>'Acct Summary 7-8'!I77</f>
        <v>-50000</v>
      </c>
      <c r="C3319" s="2" t="s">
        <v>569</v>
      </c>
      <c r="D3319" s="2" t="str">
        <f t="shared" si="50"/>
        <v>Error?</v>
      </c>
    </row>
    <row r="3320" spans="1:4" x14ac:dyDescent="0.2">
      <c r="A3320" s="5">
        <v>3259</v>
      </c>
      <c r="B3320" s="1832">
        <f>'Acct Summary 7-8'!I78</f>
        <v>-42449</v>
      </c>
      <c r="C3320" s="2" t="s">
        <v>569</v>
      </c>
      <c r="D3320" s="2" t="str">
        <f t="shared" si="50"/>
        <v>Error?</v>
      </c>
    </row>
    <row r="3321" spans="1:4" x14ac:dyDescent="0.2">
      <c r="A3321" s="5">
        <v>3260</v>
      </c>
      <c r="B3321" s="1832">
        <f>'Acct Summary 7-8'!I79</f>
        <v>152123</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109674</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67728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512</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32368</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100608</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5452</v>
      </c>
      <c r="D3387" s="2" t="str">
        <f t="shared" si="51"/>
        <v>Error?</v>
      </c>
    </row>
    <row r="3388" spans="1:4" x14ac:dyDescent="0.2">
      <c r="A3388" s="5">
        <v>3327</v>
      </c>
      <c r="B3388" s="1832">
        <f>'Expenditures 15-22'!D217</f>
        <v>3545</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5452</v>
      </c>
      <c r="C3390" s="2" t="s">
        <v>569</v>
      </c>
      <c r="D3390" s="2" t="str">
        <f t="shared" si="51"/>
        <v>Error?</v>
      </c>
    </row>
    <row r="3391" spans="1:4" x14ac:dyDescent="0.2">
      <c r="A3391" s="5">
        <v>3330</v>
      </c>
      <c r="B3391" s="1832">
        <f>'Expenditures 15-22'!K217</f>
        <v>3545</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254504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29109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18597</v>
      </c>
      <c r="D3417" s="2" t="str">
        <f t="shared" si="52"/>
        <v>Error?</v>
      </c>
    </row>
    <row r="3418" spans="1:4" x14ac:dyDescent="0.2">
      <c r="A3418" s="10">
        <v>3357</v>
      </c>
      <c r="B3418" s="1832"/>
      <c r="D3418" s="2" t="str">
        <f t="shared" si="52"/>
        <v>OK</v>
      </c>
    </row>
    <row r="3419" spans="1:4" x14ac:dyDescent="0.2">
      <c r="A3419" s="5">
        <v>3358</v>
      </c>
      <c r="B3419" s="1832">
        <f>'Assets-Liab 5-6'!F4</f>
        <v>107854</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42637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31690</v>
      </c>
      <c r="D3425" s="2" t="str">
        <f t="shared" si="52"/>
        <v>Error?</v>
      </c>
    </row>
    <row r="3426" spans="1:4" x14ac:dyDescent="0.2">
      <c r="A3426" s="10">
        <v>3365</v>
      </c>
      <c r="B3426" s="1832"/>
      <c r="D3426" s="2" t="str">
        <f t="shared" si="52"/>
        <v>OK</v>
      </c>
    </row>
    <row r="3427" spans="1:4" x14ac:dyDescent="0.2">
      <c r="A3427" s="5">
        <v>3366</v>
      </c>
      <c r="B3427" s="1832">
        <f>'Assets-Liab 5-6'!I4</f>
        <v>109674</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27845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26879</v>
      </c>
      <c r="C3446" s="2" t="s">
        <v>569</v>
      </c>
      <c r="D3446" s="2" t="str">
        <f t="shared" si="52"/>
        <v>Error?</v>
      </c>
    </row>
    <row r="3447" spans="1:4" x14ac:dyDescent="0.2">
      <c r="A3447" s="5">
        <v>3386</v>
      </c>
      <c r="B3447" s="1832">
        <f>'Tax Sched 23'!D16</f>
        <v>26879</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27685</v>
      </c>
      <c r="C3449" s="2" t="s">
        <v>569</v>
      </c>
      <c r="D3449" s="2" t="str">
        <f t="shared" si="52"/>
        <v>Error?</v>
      </c>
    </row>
    <row r="3450" spans="1:4" x14ac:dyDescent="0.2">
      <c r="A3450" s="5">
        <v>3389</v>
      </c>
      <c r="B3450" s="1832">
        <f>'Tax Sched 23'!E16</f>
        <v>27685</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10000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72176</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72176</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72176</v>
      </c>
      <c r="D3567" s="2" t="str">
        <f t="shared" si="54"/>
        <v>Error?</v>
      </c>
    </row>
    <row r="3568" spans="1:4" x14ac:dyDescent="0.2">
      <c r="A3568" s="5">
        <v>3507</v>
      </c>
      <c r="B3568" s="1832">
        <f>'Assets-Liab 5-6'!K41</f>
        <v>72176</v>
      </c>
      <c r="C3568" s="2" t="s">
        <v>569</v>
      </c>
      <c r="D3568" s="2" t="str">
        <f t="shared" si="54"/>
        <v>Error?</v>
      </c>
    </row>
    <row r="3569" spans="1:4" x14ac:dyDescent="0.2">
      <c r="A3569" s="5">
        <v>3508</v>
      </c>
      <c r="B3569" s="1832">
        <f>'Acct Summary 7-8'!K4</f>
        <v>7598</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7598</v>
      </c>
      <c r="C3571" s="2" t="s">
        <v>569</v>
      </c>
      <c r="D3571" s="2" t="str">
        <f t="shared" si="54"/>
        <v>Error?</v>
      </c>
    </row>
    <row r="3572" spans="1:4" x14ac:dyDescent="0.2">
      <c r="A3572" s="5">
        <v>3511</v>
      </c>
      <c r="B3572" s="1832">
        <f>'Acct Summary 7-8'!K13</f>
        <v>160983</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160983</v>
      </c>
      <c r="C3575" s="2" t="s">
        <v>569</v>
      </c>
      <c r="D3575" s="2" t="str">
        <f t="shared" si="54"/>
        <v>Error?</v>
      </c>
    </row>
    <row r="3576" spans="1:4" x14ac:dyDescent="0.2">
      <c r="A3576" s="5">
        <v>3515</v>
      </c>
      <c r="B3576" s="1832">
        <f>'Acct Summary 7-8'!K20</f>
        <v>-153385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-153385</v>
      </c>
      <c r="C3588" s="2" t="s">
        <v>569</v>
      </c>
      <c r="D3588" s="2" t="str">
        <f t="shared" si="55"/>
        <v>Error?</v>
      </c>
    </row>
    <row r="3589" spans="1:4" x14ac:dyDescent="0.2">
      <c r="A3589" s="5">
        <v>3528</v>
      </c>
      <c r="B3589" s="1832">
        <f>'Acct Summary 7-8'!K79</f>
        <v>225561</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72176</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152483</v>
      </c>
      <c r="D3632" s="2" t="str">
        <f t="shared" si="55"/>
        <v>Error?</v>
      </c>
    </row>
    <row r="3633" spans="1:4" x14ac:dyDescent="0.2">
      <c r="A3633" s="5">
        <v>3572</v>
      </c>
      <c r="B3633" s="1832">
        <f>'Expenditures 15-22'!E350</f>
        <v>152483</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152483</v>
      </c>
      <c r="C3635" s="2" t="s">
        <v>569</v>
      </c>
      <c r="D3635" s="2" t="str">
        <f t="shared" si="55"/>
        <v>Error?</v>
      </c>
    </row>
    <row r="3636" spans="1:4" x14ac:dyDescent="0.2">
      <c r="A3636" s="5">
        <v>3575</v>
      </c>
      <c r="B3636" s="1832">
        <f>'Expenditures 15-22'!E367</f>
        <v>152483</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8500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8500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8500</v>
      </c>
      <c r="C3649" s="2" t="s">
        <v>569</v>
      </c>
      <c r="D3649" s="2" t="str">
        <f t="shared" si="56"/>
        <v>Error?</v>
      </c>
    </row>
    <row r="3650" spans="1:4" x14ac:dyDescent="0.2">
      <c r="A3650" s="5">
        <v>3589</v>
      </c>
      <c r="B3650" s="1832">
        <f>'Expenditures 15-22'!G367</f>
        <v>8500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8500</v>
      </c>
      <c r="C3668" s="2" t="s">
        <v>569</v>
      </c>
      <c r="D3668" s="2" t="str">
        <f t="shared" si="56"/>
        <v>Error?</v>
      </c>
    </row>
    <row r="3669" spans="1:4" x14ac:dyDescent="0.2">
      <c r="A3669" s="5">
        <v>3608</v>
      </c>
      <c r="B3669" s="1832">
        <f>'Expenditures 15-22'!K349</f>
        <v>152483</v>
      </c>
      <c r="C3669" s="2" t="s">
        <v>569</v>
      </c>
      <c r="D3669" s="2" t="str">
        <f t="shared" si="56"/>
        <v>Error?</v>
      </c>
    </row>
    <row r="3670" spans="1:4" x14ac:dyDescent="0.2">
      <c r="A3670" s="5">
        <v>3609</v>
      </c>
      <c r="B3670" s="1832">
        <f>'Expenditures 15-22'!K350</f>
        <v>160983</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160983</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160983</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-153385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6457</v>
      </c>
      <c r="C3725" s="2" t="s">
        <v>569</v>
      </c>
      <c r="D3725" s="2" t="str">
        <f t="shared" si="57"/>
        <v>Error?</v>
      </c>
    </row>
    <row r="3726" spans="1:4" x14ac:dyDescent="0.2">
      <c r="A3726" s="5">
        <v>3665</v>
      </c>
      <c r="B3726" s="1832">
        <f>'Tax Sched 23'!D13</f>
        <v>6457</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6651</v>
      </c>
      <c r="C3728" s="2" t="s">
        <v>569</v>
      </c>
      <c r="D3728" s="2" t="str">
        <f t="shared" si="57"/>
        <v>Error?</v>
      </c>
    </row>
    <row r="3729" spans="1:4" x14ac:dyDescent="0.2">
      <c r="A3729" s="5">
        <v>3668</v>
      </c>
      <c r="B3729" s="1832">
        <f>'Tax Sched 23'!E13</f>
        <v>6651</v>
      </c>
      <c r="D3729" s="2" t="str">
        <f t="shared" si="57"/>
        <v>Error?</v>
      </c>
    </row>
    <row r="3730" spans="1:4" x14ac:dyDescent="0.2">
      <c r="A3730" s="5">
        <v>3669</v>
      </c>
      <c r="B3730" s="1832">
        <f>'ICR Computation 30'!E10</f>
        <v>43504</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216811</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1644006</v>
      </c>
      <c r="C4122" s="2" t="s">
        <v>569</v>
      </c>
      <c r="D4122" s="2" t="str">
        <f t="shared" si="63"/>
        <v>Error?</v>
      </c>
    </row>
    <row r="4123" spans="1:4" x14ac:dyDescent="0.2">
      <c r="A4123" s="5">
        <v>4062</v>
      </c>
      <c r="B4123" s="1832">
        <f>'Acct Summary 7-8'!D10</f>
        <v>72059</v>
      </c>
      <c r="C4123" s="2" t="s">
        <v>569</v>
      </c>
      <c r="D4123" s="2" t="str">
        <f t="shared" si="63"/>
        <v>Error?</v>
      </c>
    </row>
    <row r="4124" spans="1:4" x14ac:dyDescent="0.2">
      <c r="A4124" s="5">
        <v>4063</v>
      </c>
      <c r="B4124" s="1832">
        <f>'Acct Summary 7-8'!E10</f>
        <v>55341</v>
      </c>
      <c r="C4124" s="2" t="s">
        <v>569</v>
      </c>
      <c r="D4124" s="2" t="str">
        <f t="shared" si="63"/>
        <v>Error?</v>
      </c>
    </row>
    <row r="4125" spans="1:4" x14ac:dyDescent="0.2">
      <c r="A4125" s="5">
        <v>4064</v>
      </c>
      <c r="B4125" s="1832">
        <f>'Acct Summary 7-8'!F10</f>
        <v>71990</v>
      </c>
      <c r="C4125" s="2" t="s">
        <v>569</v>
      </c>
      <c r="D4125" s="2" t="str">
        <f t="shared" si="63"/>
        <v>Error?</v>
      </c>
    </row>
    <row r="4126" spans="1:4" x14ac:dyDescent="0.2">
      <c r="A4126" s="5">
        <v>4065</v>
      </c>
      <c r="B4126" s="1832">
        <f>'Acct Summary 7-8'!G10</f>
        <v>48318</v>
      </c>
      <c r="C4126" s="2" t="s">
        <v>569</v>
      </c>
      <c r="D4126" s="2" t="str">
        <f t="shared" si="63"/>
        <v>Error?</v>
      </c>
    </row>
    <row r="4127" spans="1:4" x14ac:dyDescent="0.2">
      <c r="A4127" s="5">
        <v>4066</v>
      </c>
      <c r="B4127" s="1832">
        <f>'Acct Summary 7-8'!H10</f>
        <v>72281</v>
      </c>
      <c r="C4127" s="2" t="s">
        <v>569</v>
      </c>
      <c r="D4127" s="2" t="str">
        <f t="shared" si="63"/>
        <v>Error?</v>
      </c>
    </row>
    <row r="4128" spans="1:4" x14ac:dyDescent="0.2">
      <c r="A4128" s="5">
        <v>4067</v>
      </c>
      <c r="B4128" s="1832">
        <f>'Acct Summary 7-8'!I10</f>
        <v>7551</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7598</v>
      </c>
      <c r="C4130" s="2" t="s">
        <v>569</v>
      </c>
      <c r="D4130" s="2" t="str">
        <f t="shared" si="63"/>
        <v>Error?</v>
      </c>
    </row>
    <row r="4131" spans="1:4" x14ac:dyDescent="0.2">
      <c r="A4131" s="5">
        <v>4070</v>
      </c>
      <c r="B4131" s="1832">
        <f>'Acct Summary 7-8'!C18</f>
        <v>216811</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1523944</v>
      </c>
      <c r="C4136" s="2" t="s">
        <v>569</v>
      </c>
      <c r="D4136" s="2" t="str">
        <f t="shared" si="63"/>
        <v>Error?</v>
      </c>
    </row>
    <row r="4137" spans="1:4" x14ac:dyDescent="0.2">
      <c r="A4137" s="5">
        <v>4076</v>
      </c>
      <c r="B4137" s="1832">
        <f>'Acct Summary 7-8'!D19</f>
        <v>72789</v>
      </c>
      <c r="C4137" s="2" t="s">
        <v>569</v>
      </c>
      <c r="D4137" s="2" t="str">
        <f t="shared" si="63"/>
        <v>Error?</v>
      </c>
    </row>
    <row r="4138" spans="1:4" x14ac:dyDescent="0.2">
      <c r="A4138" s="5">
        <v>4077</v>
      </c>
      <c r="B4138" s="1832">
        <f>'Acct Summary 7-8'!E19</f>
        <v>77275</v>
      </c>
      <c r="C4138" s="2" t="s">
        <v>569</v>
      </c>
      <c r="D4138" s="2" t="str">
        <f t="shared" si="63"/>
        <v>Error?</v>
      </c>
    </row>
    <row r="4139" spans="1:4" x14ac:dyDescent="0.2">
      <c r="A4139" s="5">
        <v>4078</v>
      </c>
      <c r="B4139" s="1832">
        <f>'Acct Summary 7-8'!F19</f>
        <v>104882</v>
      </c>
      <c r="C4139" s="2" t="s">
        <v>569</v>
      </c>
      <c r="D4139" s="2" t="str">
        <f t="shared" si="63"/>
        <v>Error?</v>
      </c>
    </row>
    <row r="4140" spans="1:4" x14ac:dyDescent="0.2">
      <c r="A4140" s="5">
        <v>4079</v>
      </c>
      <c r="B4140" s="1832">
        <f>'Acct Summary 7-8'!G19</f>
        <v>42660</v>
      </c>
      <c r="C4140" s="2" t="s">
        <v>569</v>
      </c>
      <c r="D4140" s="2" t="str">
        <f t="shared" si="63"/>
        <v>Error?</v>
      </c>
    </row>
    <row r="4141" spans="1:4" x14ac:dyDescent="0.2">
      <c r="A4141" s="5">
        <v>4080</v>
      </c>
      <c r="B4141" s="1832">
        <f>'Acct Summary 7-8'!H19</f>
        <v>43835</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160983</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727700</v>
      </c>
      <c r="C4171" s="2" t="s">
        <v>569</v>
      </c>
      <c r="D4171" s="2" t="str">
        <f t="shared" si="64"/>
        <v>Error?</v>
      </c>
    </row>
    <row r="4172" spans="1:4" x14ac:dyDescent="0.2">
      <c r="A4172" s="5">
        <v>4111</v>
      </c>
      <c r="B4172" s="1832">
        <f>'Short-Term Long-Term Debt 24'!J49</f>
        <v>709103</v>
      </c>
      <c r="C4172" s="2" t="s">
        <v>569</v>
      </c>
      <c r="D4172" s="2" t="str">
        <f t="shared" si="64"/>
        <v>Error?</v>
      </c>
    </row>
    <row r="4173" spans="1:4" x14ac:dyDescent="0.2">
      <c r="A4173" s="5">
        <v>4112</v>
      </c>
      <c r="B4173" s="1832">
        <f>'Short-Term Long-Term Debt 24'!H49</f>
        <v>57400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2100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2800</v>
      </c>
      <c r="C4268" s="2" t="s">
        <v>569</v>
      </c>
      <c r="D4268" s="2" t="str">
        <f t="shared" si="65"/>
        <v>Error?</v>
      </c>
    </row>
    <row r="4269" spans="1:5" x14ac:dyDescent="0.2">
      <c r="A4269" s="12">
        <v>4208</v>
      </c>
      <c r="B4269" s="1832">
        <f>'FP Info 3'!J16</f>
        <v>501141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2805</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8844</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7081</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2846</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6848</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13319947</v>
      </c>
      <c r="D4995" s="2" t="str">
        <f t="shared" si="77"/>
        <v>Error?</v>
      </c>
    </row>
    <row r="4996" spans="1:4" x14ac:dyDescent="0.2">
      <c r="A4996" s="12">
        <v>4935</v>
      </c>
      <c r="B4996" s="1832">
        <f>'FP Info 3'!H31</f>
        <v>1838152.6860000002</v>
      </c>
      <c r="D4996" s="2" t="str">
        <f t="shared" si="77"/>
        <v>Error?</v>
      </c>
    </row>
    <row r="4997" spans="1:4" x14ac:dyDescent="0.2">
      <c r="A4997" s="12">
        <v>4936</v>
      </c>
      <c r="B4997" s="1832">
        <f>'FP Info 3'!H37</f>
        <v>727700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6457</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270795</v>
      </c>
      <c r="D5061" s="2" t="str">
        <f t="shared" si="78"/>
        <v>Error?</v>
      </c>
    </row>
    <row r="5062" spans="1:4" x14ac:dyDescent="0.2">
      <c r="A5062" s="10">
        <v>5001</v>
      </c>
      <c r="B5062" s="1832"/>
      <c r="D5062" s="2" t="str">
        <f t="shared" si="78"/>
        <v>OK</v>
      </c>
    </row>
    <row r="5063" spans="1:4" x14ac:dyDescent="0.2">
      <c r="A5063" s="5">
        <v>5002</v>
      </c>
      <c r="B5063" s="1832">
        <f>'Revenues 9-14'!C7</f>
        <v>5160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282412</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20431</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20431</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1449</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1449</v>
      </c>
      <c r="C5090" s="2" t="s">
        <v>569</v>
      </c>
      <c r="D5090" s="2" t="str">
        <f t="shared" si="78"/>
        <v>Error?</v>
      </c>
    </row>
    <row r="5091" spans="1:4" x14ac:dyDescent="0.2">
      <c r="A5091" s="5">
        <v>5030</v>
      </c>
      <c r="B5091" s="1832">
        <f>'Revenues 9-14'!C70</f>
        <v>6</v>
      </c>
      <c r="D5091" s="2" t="str">
        <f t="shared" si="78"/>
        <v>Error?</v>
      </c>
    </row>
    <row r="5092" spans="1:4" x14ac:dyDescent="0.2">
      <c r="A5092" s="5">
        <v>5031</v>
      </c>
      <c r="B5092" s="1832">
        <f>'Revenues 9-14'!C71</f>
        <v>120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995</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16024</v>
      </c>
      <c r="C5096" s="2" t="s">
        <v>569</v>
      </c>
      <c r="D5096" s="2" t="str">
        <f t="shared" si="78"/>
        <v>Error?</v>
      </c>
    </row>
    <row r="5097" spans="1:4" x14ac:dyDescent="0.2">
      <c r="A5097" s="5">
        <v>5036</v>
      </c>
      <c r="B5097" s="1832">
        <f>'Revenues 9-14'!C77</f>
        <v>4770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4770</v>
      </c>
      <c r="C5102" s="2" t="s">
        <v>569</v>
      </c>
      <c r="D5102" s="2" t="str">
        <f t="shared" si="78"/>
        <v>Error?</v>
      </c>
    </row>
    <row r="5103" spans="1:4" x14ac:dyDescent="0.2">
      <c r="A5103" s="5">
        <v>5042</v>
      </c>
      <c r="B5103" s="1832">
        <f>'Revenues 9-14'!C84</f>
        <v>8666</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8666</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574</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199</v>
      </c>
      <c r="D5119" s="2" t="str">
        <f t="shared" ref="D5119:D5182" si="79">IF(ISBLANK(B5119),"OK",IF(A5119-B5119=0,"OK","Error?"))</f>
        <v>Error?</v>
      </c>
    </row>
    <row r="5120" spans="1:4" x14ac:dyDescent="0.2">
      <c r="A5120" s="5">
        <v>5059</v>
      </c>
      <c r="B5120" s="1832">
        <f>'Revenues 9-14'!C108</f>
        <v>3619</v>
      </c>
      <c r="C5120" s="2" t="s">
        <v>569</v>
      </c>
      <c r="D5120" s="2" t="str">
        <f t="shared" si="79"/>
        <v>Error?</v>
      </c>
    </row>
    <row r="5121" spans="1:4" x14ac:dyDescent="0.2">
      <c r="A5121" s="5">
        <v>5060</v>
      </c>
      <c r="B5121" s="1832">
        <f>'Revenues 9-14'!C109</f>
        <v>337371</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843884</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843884</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591</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60700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62041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905925</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33850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14499</v>
      </c>
      <c r="D5241" s="2" t="str">
        <f t="shared" si="80"/>
        <v>Error?</v>
      </c>
    </row>
    <row r="5242" spans="1:4" x14ac:dyDescent="0.2">
      <c r="A5242" s="5">
        <v>5181</v>
      </c>
      <c r="B5242" s="1832">
        <f>'Revenues 9-14'!C194</f>
        <v>30760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79109</v>
      </c>
      <c r="C5246" s="2" t="s">
        <v>569</v>
      </c>
      <c r="D5246" s="2" t="str">
        <f t="shared" si="80"/>
        <v>Error?</v>
      </c>
    </row>
    <row r="5247" spans="1:4" x14ac:dyDescent="0.2">
      <c r="A5247" s="5">
        <v>5186</v>
      </c>
      <c r="B5247" s="1832">
        <f>'Revenues 9-14'!C200</f>
        <v>53501</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8844</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53501</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1805</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23906</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25711</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183899</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183899</v>
      </c>
      <c r="C5326" s="2" t="s">
        <v>569</v>
      </c>
      <c r="D5326" s="2" t="str">
        <f t="shared" si="82"/>
        <v>Error?</v>
      </c>
    </row>
    <row r="5327" spans="1:5" x14ac:dyDescent="0.2">
      <c r="A5327" s="5">
        <v>5266</v>
      </c>
      <c r="B5327" s="1832">
        <f>'Revenues 9-14'!C268</f>
        <v>1427195</v>
      </c>
      <c r="C5327" s="2" t="s">
        <v>569</v>
      </c>
      <c r="D5327" s="2" t="str">
        <f t="shared" si="82"/>
        <v>Error?</v>
      </c>
    </row>
    <row r="5328" spans="1:5" x14ac:dyDescent="0.2">
      <c r="A5328" s="5">
        <v>5267</v>
      </c>
      <c r="B5328" s="1832">
        <f>'Revenues 9-14'!D5</f>
        <v>64477</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64477</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242</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242</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7340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7340</v>
      </c>
      <c r="C5355" s="2" t="s">
        <v>569</v>
      </c>
      <c r="D5355" s="2" t="str">
        <f t="shared" si="82"/>
        <v>Error?</v>
      </c>
    </row>
    <row r="5356" spans="1:4" x14ac:dyDescent="0.2">
      <c r="A5356" s="5">
        <v>5295</v>
      </c>
      <c r="B5356" s="1832">
        <f>'Revenues 9-14'!D109</f>
        <v>72059</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72059</v>
      </c>
      <c r="C5508" s="2" t="s">
        <v>569</v>
      </c>
      <c r="D5508" s="2" t="str">
        <f t="shared" si="85"/>
        <v>Error?</v>
      </c>
    </row>
    <row r="5509" spans="1:4" x14ac:dyDescent="0.2">
      <c r="A5509" s="5">
        <v>5448</v>
      </c>
      <c r="B5509" s="1832">
        <f>'Revenues 9-14'!E5</f>
        <v>55159</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55159</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182</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182</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55341</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55341</v>
      </c>
      <c r="C5552" s="2" t="s">
        <v>569</v>
      </c>
      <c r="D5552" s="2" t="str">
        <f t="shared" si="85"/>
        <v>Error?</v>
      </c>
    </row>
    <row r="5553" spans="1:4" x14ac:dyDescent="0.2">
      <c r="A5553" s="5">
        <v>5492</v>
      </c>
      <c r="B5553" s="1832">
        <f>'Revenues 9-14'!F5</f>
        <v>25801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25801</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2043</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2043</v>
      </c>
      <c r="C5579" s="2" t="s">
        <v>569</v>
      </c>
      <c r="D5579" s="2" t="str">
        <f t="shared" si="86"/>
        <v>Error?</v>
      </c>
    </row>
    <row r="5580" spans="1:4" x14ac:dyDescent="0.2">
      <c r="A5580" s="5">
        <v>5519</v>
      </c>
      <c r="B5580" s="1832">
        <f>'Revenues 9-14'!F65</f>
        <v>814</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814</v>
      </c>
      <c r="C5582" s="2" t="s">
        <v>569</v>
      </c>
      <c r="D5582" s="2" t="str">
        <f t="shared" si="86"/>
        <v>Error?</v>
      </c>
    </row>
    <row r="5583" spans="1:4" x14ac:dyDescent="0.2">
      <c r="A5583" s="5">
        <v>5522</v>
      </c>
      <c r="B5583" s="1832">
        <f>'Revenues 9-14'!F96</f>
        <v>750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750</v>
      </c>
      <c r="C5587" s="2" t="s">
        <v>569</v>
      </c>
      <c r="D5587" s="2" t="str">
        <f t="shared" si="86"/>
        <v>Error?</v>
      </c>
    </row>
    <row r="5588" spans="1:4" x14ac:dyDescent="0.2">
      <c r="A5588" s="5">
        <v>5527</v>
      </c>
      <c r="B5588" s="1832">
        <f>'Revenues 9-14'!F109</f>
        <v>29408</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42582</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42582</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42582</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42582</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71990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26879</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26879</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3763</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3763</v>
      </c>
      <c r="C5730" s="2" t="s">
        <v>569</v>
      </c>
      <c r="D5730" s="2" t="str">
        <f t="shared" si="88"/>
        <v>Error?</v>
      </c>
    </row>
    <row r="5731" spans="1:4" x14ac:dyDescent="0.2">
      <c r="A5731" s="5">
        <v>5670</v>
      </c>
      <c r="B5731" s="1832">
        <f>'Revenues 9-14'!G65</f>
        <v>453</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453</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13550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13550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600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600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14150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3073</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3073</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3073</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3073</v>
      </c>
      <c r="C5869" s="2" t="s">
        <v>569</v>
      </c>
      <c r="D5869" s="2" t="str">
        <f t="shared" si="90"/>
        <v>Error?</v>
      </c>
    </row>
    <row r="5870" spans="1:4" x14ac:dyDescent="0.2">
      <c r="A5870" s="5">
        <v>5809</v>
      </c>
      <c r="B5870" s="1832">
        <f>'Revenues 9-14'!G268</f>
        <v>48318</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240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240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72041</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72281</v>
      </c>
      <c r="C5915" s="2" t="s">
        <v>569</v>
      </c>
      <c r="D5915" s="2" t="str">
        <f t="shared" si="91"/>
        <v>Error?</v>
      </c>
    </row>
    <row r="5916" spans="1:4" x14ac:dyDescent="0.2">
      <c r="A5916" s="5">
        <v>5855</v>
      </c>
      <c r="B5916" s="1832">
        <f>'Revenues 9-14'!I5</f>
        <v>6456</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6456</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1095</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1095</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7551</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6457</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6457</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1141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1141</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7598</v>
      </c>
      <c r="C6023" s="2" t="s">
        <v>569</v>
      </c>
      <c r="D6023" s="2" t="str">
        <f t="shared" si="93"/>
        <v>Error?</v>
      </c>
    </row>
    <row r="6024" spans="1:5" x14ac:dyDescent="0.2">
      <c r="A6024" s="5">
        <v>5963</v>
      </c>
      <c r="B6024" s="1832">
        <f>'Revenues 9-14'!G109</f>
        <v>31095</v>
      </c>
      <c r="C6024" s="2" t="s">
        <v>569</v>
      </c>
      <c r="D6024" s="2" t="str">
        <f t="shared" si="93"/>
        <v>Error?</v>
      </c>
    </row>
    <row r="6025" spans="1:5" x14ac:dyDescent="0.2">
      <c r="A6025" s="5">
        <v>5964</v>
      </c>
      <c r="B6025" s="1832">
        <f>'Revenues 9-14'!H109</f>
        <v>72281</v>
      </c>
      <c r="C6025" s="2" t="s">
        <v>569</v>
      </c>
      <c r="D6025" s="2" t="str">
        <f t="shared" si="93"/>
        <v>Error?</v>
      </c>
    </row>
    <row r="6026" spans="1:5" x14ac:dyDescent="0.2">
      <c r="A6026" s="5">
        <v>5965</v>
      </c>
      <c r="B6026" s="1832">
        <f>'Revenues 9-14'!I109</f>
        <v>7551</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7598</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14903</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164.2</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51243</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51243</v>
      </c>
      <c r="D6215" s="2" t="str">
        <f t="shared" si="96"/>
        <v>Error?</v>
      </c>
      <c r="E6215" s="2" t="s">
        <v>189</v>
      </c>
    </row>
    <row r="6216" spans="1:5" x14ac:dyDescent="0.2">
      <c r="A6216">
        <v>6155</v>
      </c>
      <c r="B6216" s="1832">
        <f>'Assets-Liab 5-6'!J41</f>
        <v>51243</v>
      </c>
      <c r="D6216" s="2" t="str">
        <f t="shared" si="96"/>
        <v>Error?</v>
      </c>
      <c r="E6216" s="2" t="s">
        <v>189</v>
      </c>
    </row>
    <row r="6217" spans="1:5" x14ac:dyDescent="0.2">
      <c r="A6217">
        <v>6156</v>
      </c>
      <c r="B6217" s="1832">
        <f>'Assets-Liab 5-6'!J4</f>
        <v>51243</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56473</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56473</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56473</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73826</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73826</v>
      </c>
      <c r="D6229" s="2" t="str">
        <f t="shared" si="96"/>
        <v>Error?</v>
      </c>
      <c r="E6229" s="2" t="s">
        <v>189</v>
      </c>
    </row>
    <row r="6230" spans="1:5" x14ac:dyDescent="0.2">
      <c r="A6230">
        <v>6169</v>
      </c>
      <c r="B6230" s="1832">
        <f>'Acct Summary 7-8'!J20</f>
        <v>-17353</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-17353</v>
      </c>
      <c r="D6263" s="2" t="str">
        <f t="shared" si="96"/>
        <v>Error?</v>
      </c>
      <c r="E6263" s="2" t="s">
        <v>189</v>
      </c>
    </row>
    <row r="6264" spans="1:5" x14ac:dyDescent="0.2">
      <c r="A6264">
        <v>6203</v>
      </c>
      <c r="B6264" s="1832">
        <f>'Acct Summary 7-8'!J79</f>
        <v>68596</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51243</v>
      </c>
      <c r="D6266" s="2" t="str">
        <f t="shared" si="96"/>
        <v>Error?</v>
      </c>
      <c r="E6266" s="2" t="s">
        <v>189</v>
      </c>
    </row>
    <row r="6267" spans="1:5" x14ac:dyDescent="0.2">
      <c r="A6267">
        <v>6206</v>
      </c>
      <c r="B6267" s="1832">
        <f>'Acct Summary 7-8'!C82</f>
        <v>120062</v>
      </c>
      <c r="D6267" s="2" t="str">
        <f t="shared" si="96"/>
        <v>Error?</v>
      </c>
      <c r="E6267" s="2" t="s">
        <v>189</v>
      </c>
    </row>
    <row r="6268" spans="1:5" x14ac:dyDescent="0.2">
      <c r="A6268">
        <v>6207</v>
      </c>
      <c r="B6268" s="1832">
        <f>'Acct Summary 7-8'!D82</f>
        <v>-730</v>
      </c>
      <c r="D6268" s="2" t="str">
        <f t="shared" si="96"/>
        <v>Error?</v>
      </c>
      <c r="E6268" s="2" t="s">
        <v>189</v>
      </c>
    </row>
    <row r="6269" spans="1:5" x14ac:dyDescent="0.2">
      <c r="A6269">
        <v>6208</v>
      </c>
      <c r="B6269" s="1832">
        <f>'Acct Summary 7-8'!E82</f>
        <v>3066</v>
      </c>
      <c r="D6269" s="2" t="str">
        <f t="shared" si="96"/>
        <v>Error?</v>
      </c>
      <c r="E6269" s="2" t="s">
        <v>189</v>
      </c>
    </row>
    <row r="6270" spans="1:5" x14ac:dyDescent="0.2">
      <c r="A6270">
        <v>6209</v>
      </c>
      <c r="B6270" s="1832">
        <f>'Acct Summary 7-8'!F82</f>
        <v>27108</v>
      </c>
      <c r="D6270" s="2" t="str">
        <f t="shared" si="96"/>
        <v>Error?</v>
      </c>
      <c r="E6270" s="2" t="s">
        <v>189</v>
      </c>
    </row>
    <row r="6271" spans="1:5" x14ac:dyDescent="0.2">
      <c r="A6271">
        <v>6210</v>
      </c>
      <c r="B6271" s="1832">
        <f>'Acct Summary 7-8'!G82</f>
        <v>5658</v>
      </c>
      <c r="D6271" s="2" t="str">
        <f t="shared" ref="D6271:D6334" si="97">IF(ISBLANK(B6271),"OK",IF(A6271-B6271=0,"OK","Error?"))</f>
        <v>Error?</v>
      </c>
      <c r="E6271" s="2" t="s">
        <v>189</v>
      </c>
    </row>
    <row r="6272" spans="1:5" x14ac:dyDescent="0.2">
      <c r="A6272">
        <v>6211</v>
      </c>
      <c r="B6272" s="1832">
        <f>'Acct Summary 7-8'!H82</f>
        <v>3446</v>
      </c>
      <c r="D6272" s="2" t="str">
        <f t="shared" si="97"/>
        <v>Error?</v>
      </c>
      <c r="E6272" s="2" t="s">
        <v>189</v>
      </c>
    </row>
    <row r="6273" spans="1:5" x14ac:dyDescent="0.2">
      <c r="A6273">
        <v>6212</v>
      </c>
      <c r="B6273" s="1832">
        <f>'Acct Summary 7-8'!I82</f>
        <v>-42449</v>
      </c>
      <c r="D6273" s="2" t="str">
        <f t="shared" si="97"/>
        <v>Error?</v>
      </c>
      <c r="E6273" s="2" t="s">
        <v>189</v>
      </c>
    </row>
    <row r="6274" spans="1:5" x14ac:dyDescent="0.2">
      <c r="A6274">
        <v>6213</v>
      </c>
      <c r="B6274" s="1832">
        <f>'Acct Summary 7-8'!J82</f>
        <v>-17353</v>
      </c>
      <c r="D6274" s="2" t="str">
        <f t="shared" si="97"/>
        <v>Error?</v>
      </c>
      <c r="E6274" s="2" t="s">
        <v>189</v>
      </c>
    </row>
    <row r="6275" spans="1:5" x14ac:dyDescent="0.2">
      <c r="A6275">
        <v>6214</v>
      </c>
      <c r="B6275" s="1832">
        <f>'Acct Summary 7-8'!K82</f>
        <v>-153385</v>
      </c>
      <c r="D6275" s="2" t="str">
        <f t="shared" si="97"/>
        <v>Error?</v>
      </c>
      <c r="E6275" s="2" t="s">
        <v>189</v>
      </c>
    </row>
    <row r="6276" spans="1:5" x14ac:dyDescent="0.2">
      <c r="A6276">
        <v>6215</v>
      </c>
      <c r="B6276" s="1832">
        <f>'Acct Summary 7-8'!C83</f>
        <v>0.4717489705466319</v>
      </c>
      <c r="D6276" s="2" t="str">
        <f t="shared" si="97"/>
        <v>Error?</v>
      </c>
      <c r="E6276" s="2" t="s">
        <v>189</v>
      </c>
    </row>
    <row r="6277" spans="1:5" x14ac:dyDescent="0.2">
      <c r="A6277">
        <v>6216</v>
      </c>
      <c r="B6277" s="1832">
        <f>'Acct Summary 7-8'!D83</f>
        <v>-2.5078154522656222E-2</v>
      </c>
      <c r="D6277" s="2" t="str">
        <f t="shared" si="97"/>
        <v>Error?</v>
      </c>
      <c r="E6277" s="2" t="s">
        <v>189</v>
      </c>
    </row>
    <row r="6278" spans="1:5" x14ac:dyDescent="0.2">
      <c r="A6278">
        <v>6217</v>
      </c>
      <c r="B6278" s="1832">
        <f>'Acct Summary 7-8'!E83</f>
        <v>0.16486530085497661</v>
      </c>
      <c r="D6278" s="2" t="str">
        <f t="shared" si="97"/>
        <v>Error?</v>
      </c>
      <c r="E6278" s="2" t="s">
        <v>189</v>
      </c>
    </row>
    <row r="6279" spans="1:5" x14ac:dyDescent="0.2">
      <c r="A6279">
        <v>6218</v>
      </c>
      <c r="B6279" s="1832">
        <f>'Acct Summary 7-8'!F83</f>
        <v>0.25133977413911401</v>
      </c>
      <c r="D6279" s="2" t="str">
        <f t="shared" si="97"/>
        <v>Error?</v>
      </c>
      <c r="E6279" s="2" t="s">
        <v>189</v>
      </c>
    </row>
    <row r="6280" spans="1:5" x14ac:dyDescent="0.2">
      <c r="A6280">
        <v>6219</v>
      </c>
      <c r="B6280" s="1832">
        <f>'Acct Summary 7-8'!G83</f>
        <v>0.13270164411192156</v>
      </c>
      <c r="D6280" s="2" t="str">
        <f t="shared" si="97"/>
        <v>Error?</v>
      </c>
      <c r="E6280" s="2" t="s">
        <v>189</v>
      </c>
    </row>
    <row r="6281" spans="1:5" x14ac:dyDescent="0.2">
      <c r="A6281">
        <v>6220</v>
      </c>
      <c r="B6281" s="1832">
        <f>'Acct Summary 7-8'!H83</f>
        <v>0.10874092773745661</v>
      </c>
      <c r="D6281" s="2" t="str">
        <f t="shared" si="97"/>
        <v>Error?</v>
      </c>
      <c r="E6281" s="2" t="s">
        <v>189</v>
      </c>
    </row>
    <row r="6282" spans="1:5" x14ac:dyDescent="0.2">
      <c r="A6282">
        <v>6221</v>
      </c>
      <c r="B6282" s="1832">
        <f>'Acct Summary 7-8'!I83</f>
        <v>-0.38704706676149314</v>
      </c>
      <c r="D6282" s="2" t="str">
        <f t="shared" si="97"/>
        <v>Error?</v>
      </c>
      <c r="E6282" s="2" t="s">
        <v>189</v>
      </c>
    </row>
    <row r="6283" spans="1:5" x14ac:dyDescent="0.2">
      <c r="A6283">
        <v>6222</v>
      </c>
      <c r="B6283" s="1832">
        <f>'Acct Summary 7-8'!J83</f>
        <v>-0.33864137540737271</v>
      </c>
      <c r="D6283" s="2" t="str">
        <f t="shared" si="97"/>
        <v>Error?</v>
      </c>
      <c r="E6283" s="2" t="s">
        <v>189</v>
      </c>
    </row>
    <row r="6284" spans="1:5" x14ac:dyDescent="0.2">
      <c r="A6284">
        <v>6223</v>
      </c>
      <c r="B6284" s="1832">
        <f>'Acct Summary 7-8'!K83</f>
        <v>-2.1251524052316562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55652</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55652</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626</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626</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195</v>
      </c>
      <c r="D6350" s="2" t="str">
        <f t="shared" si="98"/>
        <v>Error?</v>
      </c>
      <c r="E6350" s="2" t="s">
        <v>189</v>
      </c>
    </row>
    <row r="6351" spans="1:5" x14ac:dyDescent="0.2">
      <c r="A6351">
        <v>6290</v>
      </c>
      <c r="B6351" s="1832">
        <f>'Revenues 9-14'!J108</f>
        <v>195</v>
      </c>
      <c r="D6351" s="2" t="str">
        <f t="shared" si="98"/>
        <v>Error?</v>
      </c>
      <c r="E6351" s="2" t="s">
        <v>189</v>
      </c>
    </row>
    <row r="6352" spans="1:5" x14ac:dyDescent="0.2">
      <c r="A6352">
        <v>6291</v>
      </c>
      <c r="B6352" s="1832">
        <f>'Revenues 9-14'!J109</f>
        <v>56473</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54544</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70952</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7422</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7422</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5336</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5336</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5336</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333781</v>
      </c>
      <c r="D6981" s="2" t="str">
        <f t="shared" si="108"/>
        <v>Error?</v>
      </c>
    </row>
    <row r="6982" spans="1:4" x14ac:dyDescent="0.2">
      <c r="A6982">
        <v>6921</v>
      </c>
      <c r="B6982" s="1832">
        <f>'Expenditures 15-22'!K85</f>
        <v>333781</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333781</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12758</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73826</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56473</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2972</v>
      </c>
      <c r="D7073" s="2" t="str">
        <f t="shared" si="109"/>
        <v>Error?</v>
      </c>
    </row>
    <row r="7074" spans="1:4" x14ac:dyDescent="0.2">
      <c r="A7074">
        <v>7013</v>
      </c>
      <c r="B7074" s="1832">
        <f>'Expenditures 15-22'!K216</f>
        <v>2972</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630</v>
      </c>
      <c r="D7093" s="2" t="str">
        <f t="shared" si="109"/>
        <v>Error?</v>
      </c>
    </row>
    <row r="7094" spans="1:4" x14ac:dyDescent="0.2">
      <c r="A7094">
        <v>7033</v>
      </c>
      <c r="B7094" s="1832">
        <f>'Expenditures 15-22'!K254</f>
        <v>630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14056</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14056</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83</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83</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34193</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34193</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14372</v>
      </c>
      <c r="D7172" s="2" t="str">
        <f t="shared" si="111"/>
        <v>Error?</v>
      </c>
    </row>
    <row r="7173" spans="1:4" x14ac:dyDescent="0.2">
      <c r="A7173">
        <v>7112</v>
      </c>
      <c r="B7173" s="1832">
        <f>'Expenditures 15-22'!D325</f>
        <v>223</v>
      </c>
      <c r="D7173" s="2" t="str">
        <f t="shared" si="111"/>
        <v>Error?</v>
      </c>
    </row>
    <row r="7174" spans="1:4" x14ac:dyDescent="0.2">
      <c r="A7174">
        <v>7113</v>
      </c>
      <c r="B7174" s="1832">
        <f>'Expenditures 15-22'!E325</f>
        <v>10899</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25494</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14372</v>
      </c>
      <c r="D7199" s="2" t="str">
        <f t="shared" si="111"/>
        <v>Error?</v>
      </c>
    </row>
    <row r="7200" spans="1:4" x14ac:dyDescent="0.2">
      <c r="A7200">
        <v>7139</v>
      </c>
      <c r="B7200" s="1832">
        <f>'Expenditures 15-22'!D330</f>
        <v>223</v>
      </c>
      <c r="D7200" s="2" t="str">
        <f t="shared" si="111"/>
        <v>Error?</v>
      </c>
    </row>
    <row r="7201" spans="1:4" x14ac:dyDescent="0.2">
      <c r="A7201">
        <v>7140</v>
      </c>
      <c r="B7201" s="1832">
        <f>'Expenditures 15-22'!E330</f>
        <v>59231</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73826</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14372</v>
      </c>
      <c r="D7216" s="2" t="str">
        <f t="shared" si="111"/>
        <v>Error?</v>
      </c>
    </row>
    <row r="7217" spans="1:4" x14ac:dyDescent="0.2">
      <c r="A7217">
        <v>7156</v>
      </c>
      <c r="B7217" s="1832">
        <f>'Expenditures 15-22'!D342</f>
        <v>223</v>
      </c>
      <c r="D7217" s="2" t="str">
        <f t="shared" si="111"/>
        <v>Error?</v>
      </c>
    </row>
    <row r="7218" spans="1:4" x14ac:dyDescent="0.2">
      <c r="A7218">
        <v>7157</v>
      </c>
      <c r="B7218" s="1832">
        <f>'Expenditures 15-22'!E342</f>
        <v>59231</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73826</v>
      </c>
      <c r="D7224" s="2" t="str">
        <f t="shared" si="111"/>
        <v>Error?</v>
      </c>
    </row>
    <row r="7225" spans="1:4" x14ac:dyDescent="0.2">
      <c r="A7225">
        <v>7164</v>
      </c>
      <c r="B7225" s="1832">
        <f>'Expenditures 15-22'!K343</f>
        <v>-17353</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266</v>
      </c>
      <c r="D7246" s="2" t="str">
        <f t="shared" si="112"/>
        <v>Error?</v>
      </c>
    </row>
    <row r="7247" spans="1:4" x14ac:dyDescent="0.2">
      <c r="A7247">
        <f t="shared" si="113"/>
        <v>7186</v>
      </c>
      <c r="B7247" s="1832">
        <f>'Expenditures 15-22'!E7</f>
        <v>468</v>
      </c>
      <c r="D7247" s="2" t="str">
        <f t="shared" si="112"/>
        <v>Error?</v>
      </c>
    </row>
    <row r="7248" spans="1:4" x14ac:dyDescent="0.2">
      <c r="A7248">
        <f t="shared" si="113"/>
        <v>7187</v>
      </c>
      <c r="B7248" s="1832">
        <f>'Expenditures 15-22'!F7</f>
        <v>15674</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12758</v>
      </c>
      <c r="D7624" s="2" t="str">
        <f t="shared" si="124"/>
        <v>Error?</v>
      </c>
      <c r="E7624" s="2" t="s">
        <v>19</v>
      </c>
    </row>
    <row r="7625" spans="1:5" x14ac:dyDescent="0.2">
      <c r="A7625">
        <f t="shared" si="123"/>
        <v>7564</v>
      </c>
      <c r="B7625" s="1832">
        <f>'Cap Outlay Deprec 26'!I17</f>
        <v>1275.8</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53698.8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72041</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50000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877600</v>
      </c>
      <c r="D7817" s="2" t="str">
        <f t="shared" si="128"/>
        <v>Error?</v>
      </c>
      <c r="E7817" s="4" t="s">
        <v>1966</v>
      </c>
    </row>
    <row r="7818" spans="1:5" x14ac:dyDescent="0.2">
      <c r="A7818">
        <v>7757</v>
      </c>
      <c r="B7818" s="1832">
        <f>'PCTC-OEPP 27-28'!F172</f>
        <v>47270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1678565</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70952</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531078</v>
      </c>
      <c r="D7834" s="2" t="str">
        <f t="shared" si="129"/>
        <v>Error?</v>
      </c>
      <c r="E7834" s="4" t="s">
        <v>1998</v>
      </c>
    </row>
    <row r="7835" spans="1:5" x14ac:dyDescent="0.2">
      <c r="A7835">
        <v>7774</v>
      </c>
      <c r="B7835" s="1832">
        <f>'PCTC-OEPP 27-28'!F78</f>
        <v>1147487</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6988.3495736906216</v>
      </c>
      <c r="D7837" s="2" t="str">
        <f t="shared" si="129"/>
        <v>Error?</v>
      </c>
      <c r="E7837" s="4" t="s">
        <v>1998</v>
      </c>
    </row>
    <row r="7838" spans="1:5" x14ac:dyDescent="0.2">
      <c r="A7838">
        <v>7777</v>
      </c>
      <c r="B7838" s="1832">
        <f>'PCTC-OEPP 27-28'!F96</f>
        <v>4770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2846</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42582</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79109</v>
      </c>
      <c r="D7858" s="2" t="str">
        <f t="shared" si="129"/>
        <v>Error?</v>
      </c>
      <c r="E7858" s="4" t="s">
        <v>1998</v>
      </c>
    </row>
    <row r="7859" spans="1:5" x14ac:dyDescent="0.2">
      <c r="A7859">
        <v>7798</v>
      </c>
      <c r="B7859" s="1832">
        <f>'PCTC-OEPP 27-28'!F127</f>
        <v>56574</v>
      </c>
      <c r="D7859" s="2" t="str">
        <f t="shared" si="129"/>
        <v>Error?</v>
      </c>
      <c r="E7859" s="4" t="s">
        <v>1998</v>
      </c>
    </row>
    <row r="7860" spans="1:5" x14ac:dyDescent="0.2">
      <c r="A7860">
        <v>7799</v>
      </c>
      <c r="B7860" s="1832">
        <f>'PCTC-OEPP 27-28'!F128</f>
        <v>8844</v>
      </c>
      <c r="D7860" s="2" t="str">
        <f t="shared" si="129"/>
        <v>Error?</v>
      </c>
      <c r="E7860" s="4" t="s">
        <v>1998</v>
      </c>
    </row>
    <row r="7861" spans="1:5" x14ac:dyDescent="0.2">
      <c r="A7861">
        <v>7800</v>
      </c>
      <c r="B7861" s="1832">
        <f>'PCTC-OEPP 27-28'!F129</f>
        <v>23906</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7081</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2805</v>
      </c>
      <c r="D7875" s="2" t="str">
        <f t="shared" si="129"/>
        <v>Error?</v>
      </c>
      <c r="E7875" s="4" t="s">
        <v>1998</v>
      </c>
    </row>
    <row r="7876" spans="1:5" x14ac:dyDescent="0.2">
      <c r="A7876">
        <v>7815</v>
      </c>
      <c r="B7876" s="1832">
        <f>'PCTC-OEPP 27-28'!F171</f>
        <v>6848</v>
      </c>
      <c r="D7876" s="2" t="str">
        <f t="shared" si="129"/>
        <v>Error?</v>
      </c>
      <c r="E7876" s="4" t="s">
        <v>1998</v>
      </c>
    </row>
    <row r="7877" spans="1:5" x14ac:dyDescent="0.2">
      <c r="A7877">
        <v>7816</v>
      </c>
      <c r="B7877" s="1832">
        <f>'PCTC-OEPP 27-28'!F175</f>
        <v>310709</v>
      </c>
      <c r="D7877" s="2" t="str">
        <f t="shared" si="129"/>
        <v>Error?</v>
      </c>
      <c r="E7877" s="4" t="s">
        <v>1998</v>
      </c>
    </row>
    <row r="7878" spans="1:5" x14ac:dyDescent="0.2">
      <c r="A7878">
        <v>7817</v>
      </c>
      <c r="B7878" s="1832">
        <f>'PCTC-OEPP 27-28'!F176</f>
        <v>836778</v>
      </c>
      <c r="D7878" s="2" t="str">
        <f t="shared" si="129"/>
        <v>Error?</v>
      </c>
      <c r="E7878" s="4" t="s">
        <v>1998</v>
      </c>
    </row>
    <row r="7879" spans="1:5" x14ac:dyDescent="0.2">
      <c r="A7879">
        <v>7818</v>
      </c>
      <c r="B7879" s="1832">
        <f>'PCTC-OEPP 27-28'!F178</f>
        <v>890476.8</v>
      </c>
      <c r="D7879" s="2" t="str">
        <f t="shared" si="129"/>
        <v>Error?</v>
      </c>
      <c r="E7879" s="4" t="s">
        <v>1998</v>
      </c>
    </row>
    <row r="7880" spans="1:5" x14ac:dyDescent="0.2">
      <c r="A7880">
        <v>7819</v>
      </c>
      <c r="B7880" s="1832">
        <f>'PCTC-OEPP 27-28'!F180</f>
        <v>5423.1230207064564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 xml:space="preserve"> Allendale CCSD 17</v>
      </c>
      <c r="B7" s="2536"/>
      <c r="C7" s="2536"/>
      <c r="D7" s="2537"/>
      <c r="E7" s="2538">
        <f>COVER!A13</f>
        <v>20093017024</v>
      </c>
      <c r="F7" s="2539"/>
      <c r="G7" s="2545" t="str">
        <f>COVER!T23</f>
        <v>065-011645</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TERRY L. HARPER, CPA</v>
      </c>
      <c r="H9" s="2551"/>
      <c r="I9" s="2551"/>
      <c r="J9" s="2551"/>
      <c r="K9" s="2551"/>
      <c r="L9" s="2552"/>
    </row>
    <row r="10" spans="1:29" ht="13.5" customHeight="1" x14ac:dyDescent="0.2">
      <c r="A10" s="2524" t="str">
        <f>COVER!A38</f>
        <v>BOB BOWSER</v>
      </c>
      <c r="B10" s="2525"/>
      <c r="C10" s="2525"/>
      <c r="D10" s="2525"/>
      <c r="E10" s="2525"/>
      <c r="F10" s="2526"/>
      <c r="G10" s="2518" t="str">
        <f>COVER!T17</f>
        <v>9 N FIFTH ST.</v>
      </c>
      <c r="H10" s="2519"/>
      <c r="I10" s="2519"/>
      <c r="J10" s="2519"/>
      <c r="K10" s="2519"/>
      <c r="L10" s="2520"/>
    </row>
    <row r="11" spans="1:29" ht="13.5" customHeight="1" x14ac:dyDescent="0.2">
      <c r="A11" s="963" t="s">
        <v>1502</v>
      </c>
      <c r="B11" s="964"/>
      <c r="C11" s="965"/>
      <c r="D11" s="970"/>
      <c r="E11" s="965"/>
      <c r="F11" s="969"/>
      <c r="G11" s="2518" t="str">
        <f>COVER!T19</f>
        <v>ALBION</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HARPERCPA@FRONTIER.COM</v>
      </c>
      <c r="J13" s="2531"/>
      <c r="K13" s="2531"/>
      <c r="L13" s="2532"/>
    </row>
    <row r="14" spans="1:29" ht="13.5" customHeight="1" x14ac:dyDescent="0.2">
      <c r="A14" s="2518" t="str">
        <f>COVER!A19</f>
        <v>P.O. BOX 130</v>
      </c>
      <c r="B14" s="2519"/>
      <c r="C14" s="2519"/>
      <c r="D14" s="2519"/>
      <c r="E14" s="2519"/>
      <c r="F14" s="2520"/>
      <c r="G14" s="974" t="s">
        <v>1175</v>
      </c>
      <c r="H14" s="972"/>
      <c r="I14" s="972"/>
      <c r="J14" s="972"/>
      <c r="K14" s="972"/>
      <c r="L14" s="973"/>
    </row>
    <row r="15" spans="1:29" ht="13.5" customHeight="1" x14ac:dyDescent="0.2">
      <c r="A15" s="2518" t="str">
        <f>COVER!A21</f>
        <v>ALLENDALE</v>
      </c>
      <c r="B15" s="2519"/>
      <c r="C15" s="2519"/>
      <c r="D15" s="2519"/>
      <c r="E15" s="2519"/>
      <c r="F15" s="2520"/>
      <c r="G15" s="2515" t="str">
        <f>COVER!T15</f>
        <v>TERRY L. HARPER</v>
      </c>
      <c r="H15" s="2516"/>
      <c r="I15" s="2516"/>
      <c r="J15" s="2516"/>
      <c r="K15" s="2516"/>
      <c r="L15" s="2517"/>
    </row>
    <row r="16" spans="1:29" ht="12.2" customHeight="1" x14ac:dyDescent="0.2">
      <c r="A16" s="2541">
        <f>COVER!A25</f>
        <v>62410</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618-445-3433</v>
      </c>
      <c r="H18" s="2536"/>
      <c r="I18" s="2536"/>
      <c r="J18" s="2536"/>
      <c r="K18" s="2535" t="str">
        <f>COVER!X21</f>
        <v>618-445-3969</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Allendale CCSD 17</v>
      </c>
      <c r="B1" s="2558"/>
      <c r="C1" s="2558"/>
      <c r="D1" s="2558"/>
    </row>
    <row r="2" spans="1:11" s="991" customFormat="1" ht="12.75" x14ac:dyDescent="0.2">
      <c r="A2" s="2559">
        <f>'Single Audit Cover'!E7</f>
        <v>20093017024</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Allendale CCSD 17</v>
      </c>
      <c r="B1" s="2562"/>
      <c r="C1" s="2562"/>
      <c r="D1" s="2562"/>
      <c r="E1" s="2562"/>
    </row>
    <row r="2" spans="1:5" x14ac:dyDescent="0.2">
      <c r="A2" s="2563">
        <f>'Single Audit Cover'!E7</f>
        <v>20093017024</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186972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-2805</v>
      </c>
    </row>
    <row r="19" spans="1:4" ht="13.5" thickBot="1" x14ac:dyDescent="0.25">
      <c r="A19" s="1041" t="s">
        <v>1224</v>
      </c>
      <c r="D19" s="1042">
        <f>SUM(D10:D17)</f>
        <v>184167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184167</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184167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Allendale CCSD 17</v>
      </c>
      <c r="C1" s="2566"/>
      <c r="D1" s="2566"/>
      <c r="E1" s="2566"/>
      <c r="F1" s="2566"/>
      <c r="G1" s="2566"/>
      <c r="H1" s="2566"/>
      <c r="I1" s="2566"/>
      <c r="J1" s="2566"/>
      <c r="K1" s="2566"/>
      <c r="L1" s="2566"/>
      <c r="M1" s="2566"/>
    </row>
    <row r="2" spans="2:14" ht="15" x14ac:dyDescent="0.2">
      <c r="B2" s="2567">
        <f>'Single Audit Cover'!E7</f>
        <v>20093017024</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Allendale CCSD 17</v>
      </c>
      <c r="B1" s="2579"/>
      <c r="C1" s="2579"/>
      <c r="D1" s="2579"/>
      <c r="E1" s="2579"/>
      <c r="F1" s="2579"/>
    </row>
    <row r="2" spans="1:7" ht="13.5" customHeight="1" x14ac:dyDescent="0.2">
      <c r="A2" s="2567">
        <f>'Single Audit Cover'!E7</f>
        <v>20093017024</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1709</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2059</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Allendale CCSD 17</v>
      </c>
      <c r="C1" s="2594"/>
      <c r="D1" s="2594"/>
      <c r="E1" s="2594"/>
      <c r="F1" s="2594"/>
      <c r="G1" s="2594"/>
      <c r="H1" s="2594"/>
      <c r="I1" s="2594"/>
      <c r="J1" s="1178"/>
    </row>
    <row r="2" spans="2:10" s="295" customFormat="1" ht="12.75" customHeight="1" x14ac:dyDescent="0.2">
      <c r="B2" s="2595">
        <f>'Single Audit Cover'!E7</f>
        <v>20093017024</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Allendale CCSD 17</v>
      </c>
      <c r="C1" s="2593"/>
      <c r="D1" s="2593"/>
      <c r="E1" s="2593"/>
      <c r="F1" s="2593"/>
      <c r="G1" s="2593"/>
      <c r="H1" s="2593"/>
      <c r="I1" s="2593"/>
      <c r="J1" s="2593"/>
      <c r="K1" s="2593"/>
      <c r="L1" s="1144"/>
      <c r="M1" s="1144"/>
    </row>
    <row r="2" spans="1:13" ht="12" customHeight="1" x14ac:dyDescent="0.2">
      <c r="B2" s="2595">
        <f>'Single Audit Cover'!E7</f>
        <v>20093017024</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Allendale CCSD 17</v>
      </c>
      <c r="C1" s="2616"/>
      <c r="D1" s="2616"/>
      <c r="E1" s="2616"/>
      <c r="F1" s="2616"/>
      <c r="G1" s="2616"/>
      <c r="H1" s="2616"/>
      <c r="I1" s="2616"/>
      <c r="J1" s="2616"/>
      <c r="K1" s="2616"/>
      <c r="L1" s="1221"/>
    </row>
    <row r="2" spans="1:12" ht="12.75" customHeight="1" x14ac:dyDescent="0.2">
      <c r="B2" s="2617">
        <f>'Single Audit Cover'!E7</f>
        <v>20093017024</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Allendale CCSD 17</v>
      </c>
      <c r="C1" s="2593"/>
      <c r="D1" s="2593"/>
      <c r="E1" s="1240"/>
    </row>
    <row r="2" spans="2:5" s="1058" customFormat="1" ht="12.75" customHeight="1" x14ac:dyDescent="0.2">
      <c r="B2" s="2595">
        <f>'Single Audit Cover'!E7</f>
        <v>20093017024</v>
      </c>
      <c r="C2" s="2595"/>
      <c r="D2" s="2595"/>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L11" sqref="L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13319947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2.1000000000000001E-2</v>
      </c>
      <c r="E10" s="333" t="s">
        <v>998</v>
      </c>
      <c r="F10" s="332">
        <v>5.0000000000000001E-3</v>
      </c>
      <c r="G10" s="333" t="s">
        <v>998</v>
      </c>
      <c r="H10" s="332">
        <v>2E-3</v>
      </c>
      <c r="I10" s="333" t="s">
        <v>999</v>
      </c>
      <c r="J10" s="1424">
        <f>ROUND(D10+F10+H10,5)</f>
        <v>2.8000000000000001E-2</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1578795</v>
      </c>
      <c r="E16" s="1547"/>
      <c r="F16" s="1546">
        <f>SUM('Acct Summary 7-8'!C17,'Acct Summary 7-8'!D17,'Acct Summary 7-8'!F17)</f>
        <v>1484804</v>
      </c>
      <c r="G16" s="1547"/>
      <c r="H16" s="1546">
        <f>SUM(D16-F16)</f>
        <v>93991</v>
      </c>
      <c r="I16" s="1548"/>
      <c r="J16" s="1546">
        <f>SUM('Acct Summary 7-8'!C81,'Acct Summary 7-8'!D81,'Acct Summary 7-8'!F81,'Acct Summary 7-8'!I81)</f>
        <v>501141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1838152.6860000002</v>
      </c>
      <c r="I31" s="345"/>
      <c r="J31" s="217"/>
      <c r="K31" s="217"/>
      <c r="L31" s="217"/>
      <c r="M31" s="217"/>
    </row>
    <row r="32" spans="1:13" ht="13.35" customHeight="1" x14ac:dyDescent="0.2">
      <c r="B32" s="346" t="s">
        <v>2055</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727700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Allendale CCSD 17</v>
      </c>
      <c r="E7" s="368"/>
      <c r="G7" s="247"/>
      <c r="H7" s="364"/>
      <c r="I7" s="364"/>
      <c r="J7" s="364"/>
      <c r="K7" s="364"/>
      <c r="L7" s="307"/>
      <c r="M7" s="307"/>
      <c r="N7" s="307"/>
      <c r="O7" s="307"/>
      <c r="P7" s="307"/>
    </row>
    <row r="8" spans="1:18" ht="12.75" x14ac:dyDescent="0.2">
      <c r="A8" s="307"/>
      <c r="B8" s="307"/>
      <c r="C8" s="366" t="s">
        <v>1115</v>
      </c>
      <c r="D8" s="369">
        <f>COVER!A13</f>
        <v>20093017024</v>
      </c>
      <c r="E8" s="370"/>
      <c r="G8" s="307"/>
      <c r="H8" s="307"/>
      <c r="I8" s="307"/>
      <c r="J8" s="307"/>
      <c r="K8" s="307"/>
      <c r="L8" s="307"/>
      <c r="M8" s="307"/>
      <c r="N8" s="307"/>
      <c r="O8" s="307"/>
      <c r="P8" s="307"/>
    </row>
    <row r="9" spans="1:18" ht="12.75" x14ac:dyDescent="0.2">
      <c r="A9" s="307"/>
      <c r="B9" s="307"/>
      <c r="C9" s="366" t="s">
        <v>708</v>
      </c>
      <c r="D9" s="371" t="str">
        <f>COVER!A15</f>
        <v>WABASH</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501141</v>
      </c>
      <c r="I12" s="380"/>
      <c r="J12" s="380"/>
      <c r="K12" s="1559">
        <f>TRUNC((H12/H13*100000),5)/100000</f>
        <v>0.31741993099999999</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1578795</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1484804</v>
      </c>
      <c r="I17" s="380"/>
      <c r="J17" s="389"/>
      <c r="K17" s="1559">
        <f>TRUNC((H17/H18*100000),5)/100000</f>
        <v>0.94046662160000005</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1578795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501141</v>
      </c>
      <c r="I24" s="394"/>
      <c r="J24" s="394"/>
      <c r="K24" s="1555">
        <f>TRUNC(((H24/H25*100000)/100000),2)</f>
        <v>121.5</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4124.4555600000003</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317014.73859999998</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727700</v>
      </c>
      <c r="I32" s="392"/>
      <c r="J32" s="392"/>
      <c r="K32" s="1555">
        <f>TRUNC(100-((((H32/H33*100))*100)/100),2)</f>
        <v>60.41</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1838152.6860000002</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254504</v>
      </c>
      <c r="D4" s="1573">
        <v>29109</v>
      </c>
      <c r="E4" s="1573">
        <v>18597</v>
      </c>
      <c r="F4" s="1573">
        <v>107854</v>
      </c>
      <c r="G4" s="1573">
        <v>42637</v>
      </c>
      <c r="H4" s="1573">
        <v>31690</v>
      </c>
      <c r="I4" s="1573">
        <v>109674</v>
      </c>
      <c r="J4" s="1574">
        <v>51243</v>
      </c>
      <c r="K4" s="1573">
        <v>72176</v>
      </c>
      <c r="L4" s="1573">
        <v>27845</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254504</v>
      </c>
      <c r="D13" s="1587">
        <f t="shared" ref="D13:L13" si="0">SUM(D4:D12)</f>
        <v>29109</v>
      </c>
      <c r="E13" s="1587">
        <f t="shared" si="0"/>
        <v>18597</v>
      </c>
      <c r="F13" s="1587">
        <f t="shared" si="0"/>
        <v>107854</v>
      </c>
      <c r="G13" s="1587">
        <f t="shared" si="0"/>
        <v>42637</v>
      </c>
      <c r="H13" s="1587">
        <f t="shared" si="0"/>
        <v>31690</v>
      </c>
      <c r="I13" s="1587">
        <f t="shared" si="0"/>
        <v>109674</v>
      </c>
      <c r="J13" s="1587">
        <f t="shared" si="0"/>
        <v>51243</v>
      </c>
      <c r="K13" s="1587">
        <f t="shared" si="0"/>
        <v>72176</v>
      </c>
      <c r="L13" s="1587">
        <f t="shared" si="0"/>
        <v>27845</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19115</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1617981</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143892</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982132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18597</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709103</v>
      </c>
    </row>
    <row r="23" spans="1:14" ht="13.5" customHeight="1" thickBot="1" x14ac:dyDescent="0.25">
      <c r="A23" s="1426" t="s">
        <v>638</v>
      </c>
      <c r="B23" s="1429"/>
      <c r="C23" s="1575"/>
      <c r="D23" s="1575"/>
      <c r="E23" s="1575"/>
      <c r="F23" s="1575"/>
      <c r="G23" s="1575"/>
      <c r="H23" s="1575"/>
      <c r="I23" s="1575"/>
      <c r="J23" s="1575"/>
      <c r="K23" s="1575"/>
      <c r="L23" s="1575"/>
      <c r="M23" s="1594">
        <f>SUM(M15:M22)</f>
        <v>2763120</v>
      </c>
      <c r="N23" s="1594">
        <f>SUM(N21:N22)</f>
        <v>727700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27845</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27845</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727700</v>
      </c>
    </row>
    <row r="37" spans="1:14" ht="13.5" thickBot="1" x14ac:dyDescent="0.25">
      <c r="A37" s="1426" t="s">
        <v>648</v>
      </c>
      <c r="B37" s="1429"/>
      <c r="C37" s="1582"/>
      <c r="D37" s="1582"/>
      <c r="E37" s="1582"/>
      <c r="F37" s="1582"/>
      <c r="G37" s="1582"/>
      <c r="H37" s="1582"/>
      <c r="I37" s="1582"/>
      <c r="J37" s="1582"/>
      <c r="K37" s="1582"/>
      <c r="L37" s="1585"/>
      <c r="M37" s="1575"/>
      <c r="N37" s="1594">
        <f>SUM(N36:N36)</f>
        <v>727700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254504</v>
      </c>
      <c r="D39" s="1573">
        <v>29109</v>
      </c>
      <c r="E39" s="1573">
        <v>18597</v>
      </c>
      <c r="F39" s="1573">
        <v>107854</v>
      </c>
      <c r="G39" s="1573">
        <v>42637</v>
      </c>
      <c r="H39" s="1573">
        <v>31690</v>
      </c>
      <c r="I39" s="1573">
        <v>109674</v>
      </c>
      <c r="J39" s="1574">
        <v>51243</v>
      </c>
      <c r="K39" s="1573">
        <v>72176</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2763120</v>
      </c>
      <c r="N40" s="1604"/>
    </row>
    <row r="41" spans="1:14" ht="13.5" customHeight="1" thickBot="1" x14ac:dyDescent="0.25">
      <c r="A41" s="1426" t="s">
        <v>650</v>
      </c>
      <c r="B41" s="1405"/>
      <c r="C41" s="1594">
        <f>(SUM(C34,C37,C38,C39))</f>
        <v>254504</v>
      </c>
      <c r="D41" s="1594">
        <f t="shared" ref="D41:L41" si="2">SUM(D34,D37,D38:D39)</f>
        <v>29109</v>
      </c>
      <c r="E41" s="1594">
        <f t="shared" si="2"/>
        <v>18597</v>
      </c>
      <c r="F41" s="1594">
        <f t="shared" si="2"/>
        <v>107854</v>
      </c>
      <c r="G41" s="1594">
        <f t="shared" si="2"/>
        <v>42637</v>
      </c>
      <c r="H41" s="1594">
        <f t="shared" si="2"/>
        <v>31690</v>
      </c>
      <c r="I41" s="1594">
        <f t="shared" si="2"/>
        <v>109674</v>
      </c>
      <c r="J41" s="1594">
        <f t="shared" si="2"/>
        <v>51243</v>
      </c>
      <c r="K41" s="1594">
        <f t="shared" si="2"/>
        <v>72176</v>
      </c>
      <c r="L41" s="1594">
        <f t="shared" si="2"/>
        <v>27845</v>
      </c>
      <c r="M41" s="1594">
        <f>SUM(M40)</f>
        <v>2763120</v>
      </c>
      <c r="N41" s="1594">
        <f>SUM(N37)</f>
        <v>727700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337371</v>
      </c>
      <c r="D4" s="1606">
        <f>'Revenues 9-14'!D109</f>
        <v>72059</v>
      </c>
      <c r="E4" s="1606">
        <f>'Revenues 9-14'!E109</f>
        <v>55341</v>
      </c>
      <c r="F4" s="1606">
        <f>'Revenues 9-14'!F109</f>
        <v>29408</v>
      </c>
      <c r="G4" s="1606">
        <f>'Revenues 9-14'!G109</f>
        <v>31095</v>
      </c>
      <c r="H4" s="1606">
        <f>'Revenues 9-14'!H109</f>
        <v>72281</v>
      </c>
      <c r="I4" s="1606">
        <f>'Revenues 9-14'!I109</f>
        <v>7551</v>
      </c>
      <c r="J4" s="1606">
        <f>'Revenues 9-14'!J109</f>
        <v>56473</v>
      </c>
      <c r="K4" s="1606">
        <f>'Revenues 9-14'!K109</f>
        <v>7598</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905925</v>
      </c>
      <c r="D6" s="1607">
        <f>'Revenues 9-14'!D170</f>
        <v>0</v>
      </c>
      <c r="E6" s="1607">
        <f>'Revenues 9-14'!E170</f>
        <v>0</v>
      </c>
      <c r="F6" s="1607">
        <f>'Revenues 9-14'!F170</f>
        <v>42582</v>
      </c>
      <c r="G6" s="1607">
        <f>'Revenues 9-14'!G170</f>
        <v>14150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183899</v>
      </c>
      <c r="D7" s="1607">
        <f>'Revenues 9-14'!D267</f>
        <v>0</v>
      </c>
      <c r="E7" s="1607">
        <f>'Revenues 9-14'!E267</f>
        <v>0</v>
      </c>
      <c r="F7" s="1607">
        <f>'Revenues 9-14'!F267</f>
        <v>0</v>
      </c>
      <c r="G7" s="1607">
        <f>'Revenues 9-14'!G267</f>
        <v>3073</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1427195</v>
      </c>
      <c r="D8" s="1594">
        <f t="shared" ref="D8:K8" si="0">SUM(D4:D7)</f>
        <v>72059</v>
      </c>
      <c r="E8" s="1594">
        <f t="shared" si="0"/>
        <v>55341</v>
      </c>
      <c r="F8" s="1594">
        <f t="shared" si="0"/>
        <v>71990</v>
      </c>
      <c r="G8" s="1594">
        <f t="shared" si="0"/>
        <v>48318</v>
      </c>
      <c r="H8" s="1594">
        <f t="shared" si="0"/>
        <v>72281</v>
      </c>
      <c r="I8" s="1594">
        <f t="shared" si="0"/>
        <v>7551</v>
      </c>
      <c r="J8" s="1594">
        <f t="shared" si="0"/>
        <v>56473</v>
      </c>
      <c r="K8" s="1594">
        <f t="shared" si="0"/>
        <v>7598</v>
      </c>
      <c r="L8" s="325"/>
    </row>
    <row r="9" spans="1:13" ht="15.75" thickTop="1" x14ac:dyDescent="0.2">
      <c r="A9" s="449" t="s">
        <v>1634</v>
      </c>
      <c r="B9" s="450">
        <v>3998</v>
      </c>
      <c r="C9" s="1586">
        <v>216811</v>
      </c>
      <c r="D9" s="1613"/>
      <c r="E9" s="1586"/>
      <c r="F9" s="1586"/>
      <c r="G9" s="1614"/>
      <c r="H9" s="1586"/>
      <c r="I9" s="1609" t="s">
        <v>1159</v>
      </c>
      <c r="J9" s="1583"/>
      <c r="K9" s="1586"/>
      <c r="L9" s="325"/>
    </row>
    <row r="10" spans="1:13" s="452" customFormat="1" ht="13.5" thickBot="1" x14ac:dyDescent="0.25">
      <c r="A10" s="1426" t="s">
        <v>1163</v>
      </c>
      <c r="B10" s="1407"/>
      <c r="C10" s="1594">
        <f>SUM(C8:C9)</f>
        <v>1644006</v>
      </c>
      <c r="D10" s="1594">
        <f t="shared" ref="D10:K10" si="1">SUM(D8:D9)</f>
        <v>72059</v>
      </c>
      <c r="E10" s="1594">
        <f t="shared" si="1"/>
        <v>55341</v>
      </c>
      <c r="F10" s="1594">
        <f t="shared" si="1"/>
        <v>71990</v>
      </c>
      <c r="G10" s="1594">
        <f t="shared" si="1"/>
        <v>48318</v>
      </c>
      <c r="H10" s="1594">
        <f t="shared" si="1"/>
        <v>72281</v>
      </c>
      <c r="I10" s="1594">
        <f t="shared" si="1"/>
        <v>7551</v>
      </c>
      <c r="J10" s="1594">
        <f t="shared" si="1"/>
        <v>56473</v>
      </c>
      <c r="K10" s="1594">
        <f t="shared" si="1"/>
        <v>7598</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668595</v>
      </c>
      <c r="D12" s="1616" t="s">
        <v>1159</v>
      </c>
      <c r="E12" s="1575" t="s">
        <v>1159</v>
      </c>
      <c r="F12" s="1575" t="s">
        <v>1159</v>
      </c>
      <c r="G12" s="1606">
        <f>'Expenditures 15-22'!K229</f>
        <v>18872</v>
      </c>
      <c r="H12" s="1617"/>
      <c r="I12" s="1575" t="s">
        <v>1159</v>
      </c>
      <c r="J12" s="1575" t="s">
        <v>1159</v>
      </c>
      <c r="K12" s="1617" t="s">
        <v>1159</v>
      </c>
      <c r="L12" s="325"/>
    </row>
    <row r="13" spans="1:13" ht="15.75" customHeight="1" x14ac:dyDescent="0.2">
      <c r="A13" s="1314" t="s">
        <v>454</v>
      </c>
      <c r="B13" s="1316">
        <v>2000</v>
      </c>
      <c r="C13" s="1607">
        <f>'Expenditures 15-22'!K74</f>
        <v>301542</v>
      </c>
      <c r="D13" s="1607">
        <f>'Expenditures 15-22'!K129</f>
        <v>72789</v>
      </c>
      <c r="E13" s="1576" t="s">
        <v>1159</v>
      </c>
      <c r="F13" s="1607">
        <f>'Expenditures 15-22'!K184</f>
        <v>104882</v>
      </c>
      <c r="G13" s="1607">
        <f>'Expenditures 15-22'!K279</f>
        <v>23788</v>
      </c>
      <c r="H13" s="1607">
        <f>'Expenditures 15-22'!K303</f>
        <v>43835</v>
      </c>
      <c r="I13" s="1575" t="s">
        <v>1159</v>
      </c>
      <c r="J13" s="1607">
        <f>'Expenditures 15-22'!K330</f>
        <v>73826</v>
      </c>
      <c r="K13" s="1618">
        <f>'Expenditures 15-22'!K352</f>
        <v>160983</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336996</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77275</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1307133</v>
      </c>
      <c r="D17" s="1594">
        <f t="shared" si="2"/>
        <v>72789</v>
      </c>
      <c r="E17" s="1594">
        <f t="shared" si="2"/>
        <v>77275</v>
      </c>
      <c r="F17" s="1594">
        <f t="shared" si="2"/>
        <v>104882</v>
      </c>
      <c r="G17" s="1594">
        <f t="shared" si="2"/>
        <v>42660</v>
      </c>
      <c r="H17" s="1594">
        <f t="shared" si="2"/>
        <v>43835</v>
      </c>
      <c r="I17" s="1575"/>
      <c r="J17" s="1594">
        <f>SUM(J12:J16)</f>
        <v>73826</v>
      </c>
      <c r="K17" s="1594">
        <f>SUM(K12:K16)</f>
        <v>160983</v>
      </c>
      <c r="L17" s="325"/>
    </row>
    <row r="18" spans="1:12" ht="15" customHeight="1" thickTop="1" x14ac:dyDescent="0.2">
      <c r="A18" s="1430" t="s">
        <v>1635</v>
      </c>
      <c r="B18" s="1431">
        <v>4180</v>
      </c>
      <c r="C18" s="1606">
        <f t="shared" ref="C18:H18" si="3">C9</f>
        <v>216811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1523944</v>
      </c>
      <c r="D19" s="1594">
        <f t="shared" si="4"/>
        <v>72789</v>
      </c>
      <c r="E19" s="1594">
        <f t="shared" si="4"/>
        <v>77275</v>
      </c>
      <c r="F19" s="1594">
        <f t="shared" si="4"/>
        <v>104882</v>
      </c>
      <c r="G19" s="1594">
        <f t="shared" si="4"/>
        <v>42660</v>
      </c>
      <c r="H19" s="1594">
        <f t="shared" si="4"/>
        <v>43835</v>
      </c>
      <c r="I19" s="1575"/>
      <c r="J19" s="1594">
        <f>SUM(J17:J18)</f>
        <v>73826</v>
      </c>
      <c r="K19" s="1594">
        <f>SUM(K17:K18)</f>
        <v>160983</v>
      </c>
      <c r="L19" s="325"/>
    </row>
    <row r="20" spans="1:12" ht="16.5" thickTop="1" thickBot="1" x14ac:dyDescent="0.25">
      <c r="A20" s="2231" t="s">
        <v>1636</v>
      </c>
      <c r="B20" s="2232"/>
      <c r="C20" s="1622">
        <f>C8-C17</f>
        <v>120062</v>
      </c>
      <c r="D20" s="1622">
        <f t="shared" ref="D20:K20" si="5">D8-D17</f>
        <v>-730</v>
      </c>
      <c r="E20" s="1622">
        <f t="shared" si="5"/>
        <v>-21934</v>
      </c>
      <c r="F20" s="1622">
        <f t="shared" si="5"/>
        <v>-32892</v>
      </c>
      <c r="G20" s="1622">
        <f t="shared" si="5"/>
        <v>5658</v>
      </c>
      <c r="H20" s="1622">
        <f t="shared" si="5"/>
        <v>28446</v>
      </c>
      <c r="I20" s="1622">
        <f t="shared" si="5"/>
        <v>7551</v>
      </c>
      <c r="J20" s="1622">
        <f t="shared" si="5"/>
        <v>-17353</v>
      </c>
      <c r="K20" s="1622">
        <f t="shared" si="5"/>
        <v>-153385</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v>50000</v>
      </c>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v>25000</v>
      </c>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v>10000</v>
      </c>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25000</v>
      </c>
      <c r="F44" s="1624">
        <f t="shared" si="6"/>
        <v>60000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50000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v>25000</v>
      </c>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25000</v>
      </c>
      <c r="I76" s="1624">
        <f t="shared" si="7"/>
        <v>50000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25000</v>
      </c>
      <c r="F77" s="1624">
        <f t="shared" si="8"/>
        <v>60000</v>
      </c>
      <c r="G77" s="1624">
        <f t="shared" si="8"/>
        <v>0</v>
      </c>
      <c r="H77" s="1624">
        <f t="shared" si="8"/>
        <v>-25000</v>
      </c>
      <c r="I77" s="1624">
        <f t="shared" si="8"/>
        <v>-50000</v>
      </c>
      <c r="J77" s="1624">
        <f t="shared" si="8"/>
        <v>0</v>
      </c>
      <c r="K77" s="1624">
        <f t="shared" si="8"/>
        <v>0</v>
      </c>
      <c r="L77" s="325"/>
    </row>
    <row r="78" spans="1:12" ht="21.75" customHeight="1" thickTop="1" thickBot="1" x14ac:dyDescent="0.25">
      <c r="A78" s="2227" t="s">
        <v>593</v>
      </c>
      <c r="B78" s="2228"/>
      <c r="C78" s="1629">
        <f t="shared" ref="C78:K78" si="9">C20+C77</f>
        <v>120062</v>
      </c>
      <c r="D78" s="1629">
        <f t="shared" si="9"/>
        <v>-730</v>
      </c>
      <c r="E78" s="1629">
        <f t="shared" si="9"/>
        <v>3066</v>
      </c>
      <c r="F78" s="1629">
        <f t="shared" si="9"/>
        <v>27108</v>
      </c>
      <c r="G78" s="1629">
        <f t="shared" si="9"/>
        <v>5658</v>
      </c>
      <c r="H78" s="1629">
        <f t="shared" si="9"/>
        <v>3446</v>
      </c>
      <c r="I78" s="1629">
        <f t="shared" si="9"/>
        <v>-42449</v>
      </c>
      <c r="J78" s="1629">
        <f t="shared" si="9"/>
        <v>-17353</v>
      </c>
      <c r="K78" s="1629">
        <f t="shared" si="9"/>
        <v>-153385</v>
      </c>
      <c r="L78" s="457"/>
    </row>
    <row r="79" spans="1:12" ht="13.5" thickTop="1" x14ac:dyDescent="0.2">
      <c r="A79" s="1844" t="str">
        <f>"Fund Balances - July 1, "&amp;'AFR20'!E2-1</f>
        <v>Fund Balances - July 1, 2019</v>
      </c>
      <c r="B79" s="458"/>
      <c r="C79" s="1583">
        <v>134442</v>
      </c>
      <c r="D79" s="1630">
        <v>29839</v>
      </c>
      <c r="E79" s="1630">
        <v>15531</v>
      </c>
      <c r="F79" s="1630">
        <v>80746</v>
      </c>
      <c r="G79" s="1630">
        <v>36979</v>
      </c>
      <c r="H79" s="1630">
        <v>28244</v>
      </c>
      <c r="I79" s="1630">
        <v>152123</v>
      </c>
      <c r="J79" s="1630">
        <v>68596</v>
      </c>
      <c r="K79" s="1630">
        <v>225561</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254504</v>
      </c>
      <c r="D81" s="1594">
        <f>SUM(D78:D80)</f>
        <v>29109</v>
      </c>
      <c r="E81" s="1594">
        <f t="shared" ref="E81:K81" si="10">SUM(E78:E80)</f>
        <v>18597</v>
      </c>
      <c r="F81" s="1594">
        <f t="shared" si="10"/>
        <v>107854</v>
      </c>
      <c r="G81" s="1594">
        <f t="shared" si="10"/>
        <v>42637</v>
      </c>
      <c r="H81" s="1594">
        <f t="shared" si="10"/>
        <v>31690</v>
      </c>
      <c r="I81" s="1594">
        <f t="shared" si="10"/>
        <v>109674</v>
      </c>
      <c r="J81" s="1594">
        <f t="shared" si="10"/>
        <v>51243</v>
      </c>
      <c r="K81" s="1594">
        <f t="shared" si="10"/>
        <v>72176</v>
      </c>
      <c r="L81" s="325"/>
    </row>
    <row r="82" spans="1:12" ht="0.75" customHeight="1" thickTop="1" thickBot="1" x14ac:dyDescent="0.25">
      <c r="A82" s="459" t="s">
        <v>340</v>
      </c>
      <c r="B82" s="460"/>
      <c r="C82" s="461">
        <f>(C81-C79)</f>
        <v>120062</v>
      </c>
      <c r="D82" s="461">
        <f t="shared" ref="D82:K82" si="11">(D81-D79)</f>
        <v>-730</v>
      </c>
      <c r="E82" s="461">
        <f t="shared" si="11"/>
        <v>3066</v>
      </c>
      <c r="F82" s="461">
        <f t="shared" si="11"/>
        <v>27108</v>
      </c>
      <c r="G82" s="461">
        <f t="shared" si="11"/>
        <v>5658</v>
      </c>
      <c r="H82" s="461">
        <f t="shared" si="11"/>
        <v>3446</v>
      </c>
      <c r="I82" s="461">
        <f t="shared" si="11"/>
        <v>-42449</v>
      </c>
      <c r="J82" s="461">
        <f t="shared" si="11"/>
        <v>-17353</v>
      </c>
      <c r="K82" s="461">
        <f t="shared" si="11"/>
        <v>-153385</v>
      </c>
    </row>
    <row r="83" spans="1:12" ht="14.25" hidden="1" thickTop="1" thickBot="1" x14ac:dyDescent="0.25">
      <c r="A83" s="462" t="s">
        <v>341</v>
      </c>
      <c r="B83" s="428"/>
      <c r="C83" s="463">
        <f>C82/C81</f>
        <v>0.4717489705466319</v>
      </c>
      <c r="D83" s="463">
        <f t="shared" ref="D83:K83" si="12">D82/D81</f>
        <v>-2.5078154522656222E-2</v>
      </c>
      <c r="E83" s="463">
        <f t="shared" si="12"/>
        <v>0.16486530085497661</v>
      </c>
      <c r="F83" s="463">
        <f t="shared" si="12"/>
        <v>0.25133977413911401</v>
      </c>
      <c r="G83" s="463">
        <f t="shared" si="12"/>
        <v>0.13270164411192156</v>
      </c>
      <c r="H83" s="463">
        <f t="shared" si="12"/>
        <v>0.10874092773745661</v>
      </c>
      <c r="I83" s="463">
        <f t="shared" si="12"/>
        <v>-0.38704706676149314</v>
      </c>
      <c r="J83" s="463">
        <f t="shared" si="12"/>
        <v>-0.33864137540737271</v>
      </c>
      <c r="K83" s="463">
        <f t="shared" si="12"/>
        <v>-2.1251524052316562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4" activePane="bottomLeft" state="frozen"/>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270795</v>
      </c>
      <c r="D5" s="1586">
        <v>64477</v>
      </c>
      <c r="E5" s="1573">
        <v>55159</v>
      </c>
      <c r="F5" s="1631">
        <v>25801</v>
      </c>
      <c r="G5" s="1573"/>
      <c r="H5" s="1573"/>
      <c r="I5" s="1573">
        <v>6456</v>
      </c>
      <c r="J5" s="1574">
        <v>55652</v>
      </c>
      <c r="K5" s="1573">
        <v>6457</v>
      </c>
    </row>
    <row r="6" spans="1:12" ht="15" x14ac:dyDescent="0.2">
      <c r="A6" s="427" t="s">
        <v>1643</v>
      </c>
      <c r="B6" s="429">
        <v>1130</v>
      </c>
      <c r="C6" s="1573">
        <v>6457</v>
      </c>
      <c r="D6" s="1573"/>
      <c r="E6" s="1580"/>
      <c r="F6" s="1580"/>
      <c r="G6" s="1575"/>
      <c r="H6" s="1575"/>
      <c r="I6" s="1575"/>
      <c r="J6" s="1575"/>
      <c r="K6" s="1575"/>
    </row>
    <row r="7" spans="1:12" x14ac:dyDescent="0.2">
      <c r="A7" s="427" t="s">
        <v>110</v>
      </c>
      <c r="B7" s="471">
        <v>1140</v>
      </c>
      <c r="C7" s="1573">
        <v>5160</v>
      </c>
      <c r="D7" s="1573"/>
      <c r="E7" s="1575"/>
      <c r="F7" s="1574"/>
      <c r="G7" s="1574"/>
      <c r="H7" s="1574"/>
      <c r="I7" s="1575"/>
      <c r="J7" s="1575"/>
      <c r="K7" s="1575"/>
    </row>
    <row r="8" spans="1:12" x14ac:dyDescent="0.2">
      <c r="A8" s="427" t="s">
        <v>410</v>
      </c>
      <c r="B8" s="429">
        <v>1150</v>
      </c>
      <c r="C8" s="1580"/>
      <c r="D8" s="1580"/>
      <c r="E8" s="1582"/>
      <c r="F8" s="1582"/>
      <c r="G8" s="1586">
        <v>26879</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282412</v>
      </c>
      <c r="D12" s="1633">
        <f t="shared" si="0"/>
        <v>64477</v>
      </c>
      <c r="E12" s="1633">
        <f t="shared" si="0"/>
        <v>55159</v>
      </c>
      <c r="F12" s="1633">
        <f t="shared" si="0"/>
        <v>25801</v>
      </c>
      <c r="G12" s="1633">
        <f t="shared" si="0"/>
        <v>26879</v>
      </c>
      <c r="H12" s="1633">
        <f t="shared" si="0"/>
        <v>0</v>
      </c>
      <c r="I12" s="1633">
        <f t="shared" si="0"/>
        <v>6456</v>
      </c>
      <c r="J12" s="1633">
        <f t="shared" si="0"/>
        <v>55652</v>
      </c>
      <c r="K12" s="1594">
        <f t="shared" si="0"/>
        <v>6457</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20431</v>
      </c>
      <c r="D16" s="1573"/>
      <c r="E16" s="1573"/>
      <c r="F16" s="1573"/>
      <c r="G16" s="1573">
        <v>3763</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20431</v>
      </c>
      <c r="D18" s="1635">
        <f t="shared" ref="D18:K18" si="1">SUM(D14:D17)</f>
        <v>0</v>
      </c>
      <c r="E18" s="1635">
        <f t="shared" si="1"/>
        <v>0</v>
      </c>
      <c r="F18" s="1635">
        <f t="shared" si="1"/>
        <v>0</v>
      </c>
      <c r="G18" s="1635">
        <f t="shared" si="1"/>
        <v>3763</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2043</v>
      </c>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2043</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1449</v>
      </c>
      <c r="D65" s="1573">
        <v>242</v>
      </c>
      <c r="E65" s="1573">
        <v>182</v>
      </c>
      <c r="F65" s="1574">
        <v>814</v>
      </c>
      <c r="G65" s="1573">
        <v>453</v>
      </c>
      <c r="H65" s="1573">
        <v>240</v>
      </c>
      <c r="I65" s="1573">
        <v>1095</v>
      </c>
      <c r="J65" s="1574">
        <v>626</v>
      </c>
      <c r="K65" s="1573">
        <v>1141</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1449</v>
      </c>
      <c r="D67" s="1594">
        <f t="shared" ref="D67:K67" si="2">SUM(D65:D66)</f>
        <v>242</v>
      </c>
      <c r="E67" s="1594">
        <f t="shared" si="2"/>
        <v>182</v>
      </c>
      <c r="F67" s="1594">
        <f t="shared" si="2"/>
        <v>814</v>
      </c>
      <c r="G67" s="1594">
        <f t="shared" si="2"/>
        <v>453</v>
      </c>
      <c r="H67" s="1594">
        <f t="shared" si="2"/>
        <v>240</v>
      </c>
      <c r="I67" s="1594">
        <f t="shared" si="2"/>
        <v>1095</v>
      </c>
      <c r="J67" s="1594">
        <f t="shared" si="2"/>
        <v>626</v>
      </c>
      <c r="K67" s="1594">
        <f t="shared" si="2"/>
        <v>1141</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14903</v>
      </c>
      <c r="D69" s="1575"/>
      <c r="E69" s="1575"/>
      <c r="F69" s="1575"/>
      <c r="G69" s="1575"/>
      <c r="H69" s="1575"/>
      <c r="I69" s="1575"/>
      <c r="J69" s="1575"/>
      <c r="K69" s="1575"/>
    </row>
    <row r="70" spans="1:11" ht="12.75" customHeight="1" x14ac:dyDescent="0.2">
      <c r="A70" s="427" t="s">
        <v>990</v>
      </c>
      <c r="B70" s="429">
        <v>1612</v>
      </c>
      <c r="C70" s="1632">
        <v>6</v>
      </c>
      <c r="D70" s="1575"/>
      <c r="E70" s="1575"/>
      <c r="F70" s="1575"/>
      <c r="G70" s="1575"/>
      <c r="H70" s="1575"/>
      <c r="I70" s="1575"/>
      <c r="J70" s="1575"/>
      <c r="K70" s="1575"/>
    </row>
    <row r="71" spans="1:11" ht="12.75" customHeight="1" x14ac:dyDescent="0.2">
      <c r="A71" s="427" t="s">
        <v>271</v>
      </c>
      <c r="B71" s="429">
        <v>1613</v>
      </c>
      <c r="C71" s="1632">
        <v>120</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995</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16024</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4770</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4770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8666</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8666</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v>7340</v>
      </c>
      <c r="E96" s="1584"/>
      <c r="F96" s="1583">
        <v>750</v>
      </c>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574</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72041</v>
      </c>
      <c r="I103" s="1575"/>
      <c r="J103" s="1610"/>
      <c r="K103" s="1610"/>
    </row>
    <row r="104" spans="1:12" ht="12.75" customHeight="1" x14ac:dyDescent="0.2">
      <c r="A104" s="427" t="s">
        <v>825</v>
      </c>
      <c r="B104" s="429">
        <v>1991</v>
      </c>
      <c r="C104" s="1598">
        <v>2846</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199</v>
      </c>
      <c r="D107" s="1573"/>
      <c r="E107" s="1573"/>
      <c r="F107" s="1573"/>
      <c r="G107" s="1573"/>
      <c r="H107" s="1573"/>
      <c r="I107" s="1573"/>
      <c r="J107" s="1574">
        <v>195</v>
      </c>
      <c r="K107" s="1573"/>
    </row>
    <row r="108" spans="1:12" ht="12.75" customHeight="1" thickBot="1" x14ac:dyDescent="0.25">
      <c r="A108" s="1406" t="s">
        <v>484</v>
      </c>
      <c r="B108" s="1408"/>
      <c r="C108" s="1633">
        <f>SUM(C95:C107)</f>
        <v>3619</v>
      </c>
      <c r="D108" s="1633">
        <f t="shared" ref="D108:K108" si="3">SUM(D95:D107)</f>
        <v>7340</v>
      </c>
      <c r="E108" s="1633">
        <f t="shared" si="3"/>
        <v>0</v>
      </c>
      <c r="F108" s="1633">
        <f t="shared" si="3"/>
        <v>750</v>
      </c>
      <c r="G108" s="1633">
        <f t="shared" si="3"/>
        <v>0</v>
      </c>
      <c r="H108" s="1633">
        <f t="shared" si="3"/>
        <v>72041</v>
      </c>
      <c r="I108" s="1633">
        <f t="shared" si="3"/>
        <v>0</v>
      </c>
      <c r="J108" s="1633">
        <f t="shared" si="3"/>
        <v>195</v>
      </c>
      <c r="K108" s="1594">
        <f t="shared" si="3"/>
        <v>0</v>
      </c>
    </row>
    <row r="109" spans="1:12" ht="14.25" thickTop="1" thickBot="1" x14ac:dyDescent="0.25">
      <c r="A109" s="1409" t="s">
        <v>246</v>
      </c>
      <c r="B109" s="1410" t="s">
        <v>566</v>
      </c>
      <c r="C109" s="1641">
        <f t="shared" ref="C109:K109" si="4">SUM(C12,C18,C40,C63,C67,C75,C82,C93,C108,)</f>
        <v>337371</v>
      </c>
      <c r="D109" s="1641">
        <f t="shared" si="4"/>
        <v>72059</v>
      </c>
      <c r="E109" s="1641">
        <f t="shared" si="4"/>
        <v>55341</v>
      </c>
      <c r="F109" s="1641">
        <f t="shared" si="4"/>
        <v>29408</v>
      </c>
      <c r="G109" s="1641">
        <f t="shared" si="4"/>
        <v>31095</v>
      </c>
      <c r="H109" s="1641">
        <f t="shared" si="4"/>
        <v>72281</v>
      </c>
      <c r="I109" s="1641">
        <f t="shared" si="4"/>
        <v>7551</v>
      </c>
      <c r="J109" s="1641">
        <f t="shared" si="4"/>
        <v>56473</v>
      </c>
      <c r="K109" s="1629">
        <f t="shared" si="4"/>
        <v>7598</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843884</v>
      </c>
      <c r="D117" s="1586"/>
      <c r="E117" s="1573"/>
      <c r="F117" s="1586"/>
      <c r="G117" s="1586">
        <v>13550</v>
      </c>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843884</v>
      </c>
      <c r="D122" s="1633">
        <f t="shared" si="5"/>
        <v>0</v>
      </c>
      <c r="E122" s="1633">
        <f t="shared" si="5"/>
        <v>0</v>
      </c>
      <c r="F122" s="1633">
        <f t="shared" si="5"/>
        <v>0</v>
      </c>
      <c r="G122" s="1633">
        <f t="shared" si="5"/>
        <v>13550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591</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42582</v>
      </c>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42582</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60700</v>
      </c>
      <c r="D159" s="1653"/>
      <c r="E159" s="1640"/>
      <c r="F159" s="1651"/>
      <c r="G159" s="1651">
        <v>600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62041</v>
      </c>
      <c r="D169" s="1658">
        <f t="shared" si="6"/>
        <v>0</v>
      </c>
      <c r="E169" s="1658">
        <f t="shared" si="6"/>
        <v>0</v>
      </c>
      <c r="F169" s="1658">
        <f t="shared" si="6"/>
        <v>42582</v>
      </c>
      <c r="G169" s="1658">
        <f t="shared" si="6"/>
        <v>600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905925</v>
      </c>
      <c r="D170" s="1641">
        <f t="shared" si="7"/>
        <v>0</v>
      </c>
      <c r="E170" s="1641">
        <f t="shared" si="7"/>
        <v>0</v>
      </c>
      <c r="F170" s="1641">
        <f t="shared" si="7"/>
        <v>42582</v>
      </c>
      <c r="G170" s="1641">
        <f t="shared" si="7"/>
        <v>14150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33850</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14499</v>
      </c>
      <c r="D193" s="1575"/>
      <c r="E193" s="1640"/>
      <c r="F193" s="1575"/>
      <c r="G193" s="1664"/>
      <c r="H193" s="1575"/>
      <c r="I193" s="1575"/>
      <c r="J193" s="1575"/>
      <c r="K193" s="1575"/>
    </row>
    <row r="194" spans="1:11" ht="12.75" customHeight="1" x14ac:dyDescent="0.2">
      <c r="A194" s="427" t="s">
        <v>1434</v>
      </c>
      <c r="B194" s="429">
        <v>4225</v>
      </c>
      <c r="C194" s="1632">
        <v>30760</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79109</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53501</v>
      </c>
      <c r="D200" s="1573"/>
      <c r="E200" s="1575"/>
      <c r="F200" s="1573"/>
      <c r="G200" s="1573">
        <v>3073</v>
      </c>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53501</v>
      </c>
      <c r="D204" s="1633">
        <f>SUM(D200:D203)</f>
        <v>0</v>
      </c>
      <c r="E204" s="1575"/>
      <c r="F204" s="1633">
        <f>SUM(F200:F203)</f>
        <v>0</v>
      </c>
      <c r="G204" s="1633">
        <f>SUM(G200:G203)</f>
        <v>3073</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8844</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8844</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1805</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23906</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25711</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7081</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v>2805</v>
      </c>
      <c r="D264" s="1651"/>
      <c r="E264" s="1575"/>
      <c r="F264" s="1651"/>
      <c r="G264" s="1651"/>
      <c r="H264" s="1575"/>
      <c r="I264" s="1575"/>
      <c r="J264" s="1575"/>
      <c r="K264" s="1575"/>
    </row>
    <row r="265" spans="1:11" s="489" customFormat="1" ht="12.75" customHeight="1" thickTop="1" thickBot="1" x14ac:dyDescent="0.25">
      <c r="A265" s="479" t="s">
        <v>75</v>
      </c>
      <c r="B265" s="475">
        <v>4998</v>
      </c>
      <c r="C265" s="1650">
        <v>6848</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183899</v>
      </c>
      <c r="D266" s="1641">
        <f t="shared" si="10"/>
        <v>0</v>
      </c>
      <c r="E266" s="1641">
        <f t="shared" si="10"/>
        <v>0</v>
      </c>
      <c r="F266" s="1641">
        <f t="shared" si="10"/>
        <v>0</v>
      </c>
      <c r="G266" s="1641">
        <f t="shared" si="10"/>
        <v>3073</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183899</v>
      </c>
      <c r="D267" s="1641">
        <f>SUM(D175,D181,D266)</f>
        <v>0</v>
      </c>
      <c r="E267" s="1641">
        <f>SUM(E175,E266)</f>
        <v>0</v>
      </c>
      <c r="F267" s="1641">
        <f t="shared" ref="F267:K267" si="11">SUM(F175,F181,F266)</f>
        <v>0</v>
      </c>
      <c r="G267" s="1641">
        <f t="shared" si="11"/>
        <v>3073</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1427195</v>
      </c>
      <c r="D268" s="1641">
        <f t="shared" si="12"/>
        <v>72059</v>
      </c>
      <c r="E268" s="1641">
        <f t="shared" si="12"/>
        <v>55341</v>
      </c>
      <c r="F268" s="1641">
        <f t="shared" si="12"/>
        <v>71990</v>
      </c>
      <c r="G268" s="1641">
        <f t="shared" si="12"/>
        <v>48318</v>
      </c>
      <c r="H268" s="1641">
        <f t="shared" si="12"/>
        <v>72281</v>
      </c>
      <c r="I268" s="1641">
        <f t="shared" si="12"/>
        <v>7551</v>
      </c>
      <c r="J268" s="1641">
        <f t="shared" si="12"/>
        <v>56473</v>
      </c>
      <c r="K268" s="1629">
        <f t="shared" si="12"/>
        <v>7598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4" activePane="bottomLeft" state="frozen"/>
      <selection pane="bottomLeft" activeCell="H50" sqref="H5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393822</v>
      </c>
      <c r="D5" s="1573">
        <v>7315</v>
      </c>
      <c r="E5" s="1573">
        <v>4991</v>
      </c>
      <c r="F5" s="1573">
        <v>8498</v>
      </c>
      <c r="G5" s="1573"/>
      <c r="H5" s="1573">
        <v>686</v>
      </c>
      <c r="I5" s="1574"/>
      <c r="J5" s="1574"/>
      <c r="K5" s="1672">
        <f>SUM(C5:J5)</f>
        <v>415312</v>
      </c>
      <c r="L5" s="1573">
        <v>414173</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54544</v>
      </c>
      <c r="D7" s="1574">
        <v>266</v>
      </c>
      <c r="E7" s="1574">
        <v>468</v>
      </c>
      <c r="F7" s="1574">
        <v>15674</v>
      </c>
      <c r="G7" s="1574"/>
      <c r="H7" s="1574"/>
      <c r="I7" s="1574"/>
      <c r="J7" s="1574"/>
      <c r="K7" s="1672">
        <f t="shared" ref="K7:K32" si="0">SUM(C7:J7)</f>
        <v>70952</v>
      </c>
      <c r="L7" s="1573">
        <v>71247</v>
      </c>
    </row>
    <row r="8" spans="1:14" x14ac:dyDescent="0.2">
      <c r="A8" s="1274" t="s">
        <v>163</v>
      </c>
      <c r="B8" s="503">
        <v>1200</v>
      </c>
      <c r="C8" s="1573">
        <v>67728</v>
      </c>
      <c r="D8" s="1573">
        <v>512</v>
      </c>
      <c r="E8" s="1573">
        <v>32368</v>
      </c>
      <c r="F8" s="1573"/>
      <c r="G8" s="1573"/>
      <c r="H8" s="1573"/>
      <c r="I8" s="1574"/>
      <c r="J8" s="1574"/>
      <c r="K8" s="1672">
        <f t="shared" si="0"/>
        <v>100608</v>
      </c>
      <c r="L8" s="1573">
        <v>100607</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53577</v>
      </c>
      <c r="D10" s="1573">
        <v>243</v>
      </c>
      <c r="E10" s="1573">
        <v>3086</v>
      </c>
      <c r="F10" s="1573">
        <v>4274</v>
      </c>
      <c r="G10" s="1573"/>
      <c r="H10" s="1573"/>
      <c r="I10" s="1574">
        <v>7422</v>
      </c>
      <c r="J10" s="1574"/>
      <c r="K10" s="1672">
        <f t="shared" si="0"/>
        <v>68602</v>
      </c>
      <c r="L10" s="1573">
        <v>65258</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9550</v>
      </c>
      <c r="D14" s="1573">
        <v>24</v>
      </c>
      <c r="E14" s="1573">
        <v>1735</v>
      </c>
      <c r="F14" s="1573">
        <v>1462</v>
      </c>
      <c r="G14" s="1573"/>
      <c r="H14" s="1573">
        <v>350</v>
      </c>
      <c r="I14" s="1574"/>
      <c r="J14" s="1574"/>
      <c r="K14" s="1672">
        <f t="shared" si="0"/>
        <v>13121</v>
      </c>
      <c r="L14" s="1573">
        <v>13235</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579221</v>
      </c>
      <c r="D33" s="1674">
        <f t="shared" ref="D33:L33" si="1">SUM(D5:D32)</f>
        <v>8360</v>
      </c>
      <c r="E33" s="1674">
        <f t="shared" si="1"/>
        <v>42648</v>
      </c>
      <c r="F33" s="1674">
        <f t="shared" si="1"/>
        <v>29908</v>
      </c>
      <c r="G33" s="1674">
        <f t="shared" si="1"/>
        <v>0</v>
      </c>
      <c r="H33" s="1674">
        <f t="shared" si="1"/>
        <v>1036</v>
      </c>
      <c r="I33" s="1674">
        <f t="shared" si="1"/>
        <v>7422</v>
      </c>
      <c r="J33" s="1674">
        <f t="shared" si="1"/>
        <v>0</v>
      </c>
      <c r="K33" s="1674">
        <f t="shared" si="1"/>
        <v>668595</v>
      </c>
      <c r="L33" s="1674">
        <f t="shared" si="1"/>
        <v>664520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1750</v>
      </c>
      <c r="D38" s="1573"/>
      <c r="E38" s="1573"/>
      <c r="F38" s="1573">
        <v>115</v>
      </c>
      <c r="G38" s="1573"/>
      <c r="H38" s="1573"/>
      <c r="I38" s="1574"/>
      <c r="J38" s="1574"/>
      <c r="K38" s="1672">
        <f t="shared" si="2"/>
        <v>1865</v>
      </c>
      <c r="L38" s="1573">
        <v>1865</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24425</v>
      </c>
      <c r="D40" s="1573"/>
      <c r="E40" s="1573"/>
      <c r="F40" s="1573"/>
      <c r="G40" s="1573"/>
      <c r="H40" s="1573"/>
      <c r="I40" s="1574"/>
      <c r="J40" s="1574"/>
      <c r="K40" s="1672">
        <f t="shared" si="2"/>
        <v>24425</v>
      </c>
      <c r="L40" s="1573">
        <v>24425</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26175</v>
      </c>
      <c r="D42" s="1674">
        <f t="shared" ref="D42:L42" si="3">SUM(D36:D41)</f>
        <v>0</v>
      </c>
      <c r="E42" s="1674">
        <f t="shared" si="3"/>
        <v>0</v>
      </c>
      <c r="F42" s="1674">
        <f t="shared" si="3"/>
        <v>115</v>
      </c>
      <c r="G42" s="1674">
        <f t="shared" si="3"/>
        <v>0</v>
      </c>
      <c r="H42" s="1674">
        <f t="shared" si="3"/>
        <v>0</v>
      </c>
      <c r="I42" s="1674">
        <f t="shared" si="3"/>
        <v>0</v>
      </c>
      <c r="J42" s="1674">
        <f t="shared" si="3"/>
        <v>0</v>
      </c>
      <c r="K42" s="1674">
        <f t="shared" si="3"/>
        <v>26290</v>
      </c>
      <c r="L42" s="1674">
        <f t="shared" si="3"/>
        <v>26290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1516</v>
      </c>
      <c r="D44" s="1586">
        <v>158</v>
      </c>
      <c r="E44" s="1586">
        <v>3595</v>
      </c>
      <c r="F44" s="1586">
        <v>9947</v>
      </c>
      <c r="G44" s="1586"/>
      <c r="H44" s="1586"/>
      <c r="I44" s="1574">
        <v>5336</v>
      </c>
      <c r="J44" s="1574"/>
      <c r="K44" s="1678">
        <f>SUM(C44:J44)</f>
        <v>20552</v>
      </c>
      <c r="L44" s="1586">
        <v>19166</v>
      </c>
    </row>
    <row r="45" spans="1:14" x14ac:dyDescent="0.2">
      <c r="A45" s="1274" t="s">
        <v>810</v>
      </c>
      <c r="B45" s="503">
        <v>2220</v>
      </c>
      <c r="C45" s="1573">
        <v>26854</v>
      </c>
      <c r="D45" s="1573"/>
      <c r="E45" s="1573"/>
      <c r="F45" s="1573">
        <v>750</v>
      </c>
      <c r="G45" s="1573"/>
      <c r="H45" s="1573"/>
      <c r="I45" s="1574"/>
      <c r="J45" s="1574"/>
      <c r="K45" s="1678">
        <f>SUM(C45:J45)</f>
        <v>27604</v>
      </c>
      <c r="L45" s="1573">
        <v>27604</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28370</v>
      </c>
      <c r="D47" s="1674">
        <f t="shared" ref="D47:K47" si="4">SUM(D44:D46)</f>
        <v>158</v>
      </c>
      <c r="E47" s="1674">
        <f t="shared" si="4"/>
        <v>3595</v>
      </c>
      <c r="F47" s="1674">
        <f t="shared" si="4"/>
        <v>10697</v>
      </c>
      <c r="G47" s="1674">
        <f t="shared" si="4"/>
        <v>0</v>
      </c>
      <c r="H47" s="1674">
        <f t="shared" si="4"/>
        <v>0</v>
      </c>
      <c r="I47" s="1674">
        <f t="shared" si="4"/>
        <v>5336</v>
      </c>
      <c r="J47" s="1674">
        <f t="shared" si="4"/>
        <v>0</v>
      </c>
      <c r="K47" s="1674">
        <f t="shared" si="4"/>
        <v>48156</v>
      </c>
      <c r="L47" s="1674">
        <f>SUM(L44:L46)</f>
        <v>46770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2400</v>
      </c>
      <c r="D49" s="1586"/>
      <c r="E49" s="1586">
        <v>9071</v>
      </c>
      <c r="F49" s="1586">
        <v>553</v>
      </c>
      <c r="G49" s="1586"/>
      <c r="H49" s="1586">
        <v>2426</v>
      </c>
      <c r="I49" s="1574"/>
      <c r="J49" s="1574"/>
      <c r="K49" s="1678">
        <f>SUM(C49:J49)</f>
        <v>14450</v>
      </c>
      <c r="L49" s="1586">
        <v>14179</v>
      </c>
    </row>
    <row r="50" spans="1:14" x14ac:dyDescent="0.2">
      <c r="A50" s="1274" t="s">
        <v>813</v>
      </c>
      <c r="B50" s="503">
        <v>2320</v>
      </c>
      <c r="C50" s="1573">
        <v>4982</v>
      </c>
      <c r="D50" s="1573">
        <v>121</v>
      </c>
      <c r="E50" s="1573"/>
      <c r="F50" s="1573"/>
      <c r="G50" s="1573"/>
      <c r="H50" s="1573">
        <v>702</v>
      </c>
      <c r="I50" s="1574"/>
      <c r="J50" s="1574"/>
      <c r="K50" s="1678">
        <f>SUM(C50:J50)</f>
        <v>5805</v>
      </c>
      <c r="L50" s="1573">
        <v>5805</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7382</v>
      </c>
      <c r="D53" s="1674">
        <f t="shared" ref="D53:L53" si="5">SUM(D49:D52)</f>
        <v>121</v>
      </c>
      <c r="E53" s="1674">
        <f t="shared" si="5"/>
        <v>9071</v>
      </c>
      <c r="F53" s="1674">
        <f t="shared" si="5"/>
        <v>553</v>
      </c>
      <c r="G53" s="1674">
        <f t="shared" si="5"/>
        <v>0</v>
      </c>
      <c r="H53" s="1674">
        <f t="shared" si="5"/>
        <v>3128</v>
      </c>
      <c r="I53" s="1674">
        <f t="shared" si="5"/>
        <v>0</v>
      </c>
      <c r="J53" s="1674">
        <f t="shared" si="5"/>
        <v>0</v>
      </c>
      <c r="K53" s="1674">
        <f t="shared" si="5"/>
        <v>20255</v>
      </c>
      <c r="L53" s="1674">
        <f t="shared" si="5"/>
        <v>19984</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103443</v>
      </c>
      <c r="D55" s="1586">
        <v>1899</v>
      </c>
      <c r="E55" s="1586"/>
      <c r="F55" s="1586"/>
      <c r="G55" s="1586"/>
      <c r="H55" s="1586"/>
      <c r="I55" s="1574"/>
      <c r="J55" s="1574"/>
      <c r="K55" s="1678">
        <f>SUM(C55:J55)</f>
        <v>105342</v>
      </c>
      <c r="L55" s="1586">
        <v>105342</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103443</v>
      </c>
      <c r="D57" s="1679">
        <f t="shared" ref="D57:K57" si="6">SUM(D55:D56)</f>
        <v>1899</v>
      </c>
      <c r="E57" s="1679">
        <f t="shared" si="6"/>
        <v>0</v>
      </c>
      <c r="F57" s="1679">
        <f t="shared" si="6"/>
        <v>0</v>
      </c>
      <c r="G57" s="1679">
        <f t="shared" si="6"/>
        <v>0</v>
      </c>
      <c r="H57" s="1679">
        <f t="shared" si="6"/>
        <v>0</v>
      </c>
      <c r="I57" s="1679">
        <f t="shared" si="6"/>
        <v>0</v>
      </c>
      <c r="J57" s="1679">
        <f t="shared" si="6"/>
        <v>0</v>
      </c>
      <c r="K57" s="1679">
        <f t="shared" si="6"/>
        <v>105342</v>
      </c>
      <c r="L57" s="1674">
        <f>SUM(L55:L56)</f>
        <v>105342</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6185</v>
      </c>
      <c r="D59" s="1586"/>
      <c r="E59" s="1586">
        <v>2888</v>
      </c>
      <c r="F59" s="1586"/>
      <c r="G59" s="1586"/>
      <c r="H59" s="1586"/>
      <c r="I59" s="1574"/>
      <c r="J59" s="1574"/>
      <c r="K59" s="1678">
        <f t="shared" ref="K59:K64" si="7">SUM(C59:J59)</f>
        <v>9073</v>
      </c>
      <c r="L59" s="1586">
        <v>9073</v>
      </c>
      <c r="M59" s="501"/>
      <c r="N59" s="501"/>
    </row>
    <row r="60" spans="1:14" s="321" customFormat="1" x14ac:dyDescent="0.2">
      <c r="A60" s="1274" t="s">
        <v>460</v>
      </c>
      <c r="B60" s="503">
        <v>2520</v>
      </c>
      <c r="C60" s="1573">
        <v>9000</v>
      </c>
      <c r="D60" s="1573"/>
      <c r="E60" s="1573"/>
      <c r="F60" s="1573"/>
      <c r="G60" s="1573"/>
      <c r="H60" s="1573"/>
      <c r="I60" s="1574"/>
      <c r="J60" s="1574"/>
      <c r="K60" s="1678">
        <f t="shared" si="7"/>
        <v>9000</v>
      </c>
      <c r="L60" s="1573">
        <v>9000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36772</v>
      </c>
      <c r="D63" s="1573"/>
      <c r="E63" s="1573">
        <v>451</v>
      </c>
      <c r="F63" s="1573">
        <v>43053</v>
      </c>
      <c r="G63" s="1573"/>
      <c r="H63" s="1573"/>
      <c r="I63" s="1574"/>
      <c r="J63" s="1574"/>
      <c r="K63" s="1678">
        <f t="shared" si="7"/>
        <v>80276</v>
      </c>
      <c r="L63" s="1573">
        <v>80284</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51957</v>
      </c>
      <c r="D65" s="1674">
        <f t="shared" ref="D65:L65" si="8">SUM(D59:D64)</f>
        <v>0</v>
      </c>
      <c r="E65" s="1674">
        <f t="shared" si="8"/>
        <v>3339</v>
      </c>
      <c r="F65" s="1674">
        <f t="shared" si="8"/>
        <v>43053</v>
      </c>
      <c r="G65" s="1674">
        <f t="shared" si="8"/>
        <v>0</v>
      </c>
      <c r="H65" s="1674">
        <f t="shared" si="8"/>
        <v>0</v>
      </c>
      <c r="I65" s="1674">
        <f t="shared" si="8"/>
        <v>0</v>
      </c>
      <c r="J65" s="1674">
        <f t="shared" si="8"/>
        <v>0</v>
      </c>
      <c r="K65" s="1674">
        <f t="shared" si="8"/>
        <v>98349</v>
      </c>
      <c r="L65" s="1674">
        <f t="shared" si="8"/>
        <v>98357</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v>3150</v>
      </c>
      <c r="D69" s="1573"/>
      <c r="E69" s="1573"/>
      <c r="F69" s="1573"/>
      <c r="G69" s="1573"/>
      <c r="H69" s="1573"/>
      <c r="I69" s="1574"/>
      <c r="J69" s="1574"/>
      <c r="K69" s="1678">
        <f>SUM(C69:J69)</f>
        <v>3150</v>
      </c>
      <c r="L69" s="1573">
        <v>3150</v>
      </c>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3150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3150</v>
      </c>
      <c r="L72" s="1674">
        <f>SUM(L67:L71)</f>
        <v>3150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220477</v>
      </c>
      <c r="D74" s="1681">
        <f t="shared" ref="D74:K74" si="10">SUM(D42,D47,D53,D57,D65,D72,D73)</f>
        <v>2178</v>
      </c>
      <c r="E74" s="1681">
        <f t="shared" si="10"/>
        <v>16005</v>
      </c>
      <c r="F74" s="1681">
        <f t="shared" si="10"/>
        <v>54418</v>
      </c>
      <c r="G74" s="1681">
        <f t="shared" si="10"/>
        <v>0</v>
      </c>
      <c r="H74" s="1681">
        <f t="shared" si="10"/>
        <v>3128</v>
      </c>
      <c r="I74" s="1681">
        <f t="shared" si="10"/>
        <v>5336</v>
      </c>
      <c r="J74" s="1681">
        <f t="shared" si="10"/>
        <v>0</v>
      </c>
      <c r="K74" s="1681">
        <f t="shared" si="10"/>
        <v>301542</v>
      </c>
      <c r="L74" s="1681">
        <f>SUM(L42,L47,L53,L57,L65,L72,L73)</f>
        <v>299893</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v>3215</v>
      </c>
      <c r="I83" s="1582"/>
      <c r="J83" s="1582"/>
      <c r="K83" s="1672">
        <f t="shared" si="11"/>
        <v>3215</v>
      </c>
      <c r="L83" s="1573">
        <v>3215</v>
      </c>
    </row>
    <row r="84" spans="1:12" ht="13.5" thickBot="1" x14ac:dyDescent="0.25">
      <c r="A84" s="1380" t="s">
        <v>1468</v>
      </c>
      <c r="B84" s="1385">
        <v>4100</v>
      </c>
      <c r="C84" s="1673"/>
      <c r="D84" s="1673"/>
      <c r="E84" s="1674">
        <f>SUM(E78:E83)</f>
        <v>0</v>
      </c>
      <c r="F84" s="1673"/>
      <c r="G84" s="1673"/>
      <c r="H84" s="1674">
        <f>SUM(H78:H83)</f>
        <v>3215</v>
      </c>
      <c r="I84" s="1582"/>
      <c r="J84" s="1582"/>
      <c r="K84" s="1674">
        <f>SUM(K78:K83)</f>
        <v>3215</v>
      </c>
      <c r="L84" s="1674">
        <f>SUM(L78:L83)</f>
        <v>3215</v>
      </c>
    </row>
    <row r="85" spans="1:12" ht="12.75" customHeight="1" thickTop="1" thickBot="1" x14ac:dyDescent="0.25">
      <c r="A85" s="1281" t="s">
        <v>253</v>
      </c>
      <c r="B85" s="517">
        <v>4210</v>
      </c>
      <c r="C85" s="1673"/>
      <c r="D85" s="1673"/>
      <c r="E85" s="1683"/>
      <c r="F85" s="1673"/>
      <c r="G85" s="1673"/>
      <c r="H85" s="1630">
        <v>333781</v>
      </c>
      <c r="I85" s="1582"/>
      <c r="J85" s="1582"/>
      <c r="K85" s="1681">
        <f>H85</f>
        <v>333781</v>
      </c>
      <c r="L85" s="1626">
        <v>333782</v>
      </c>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333781</v>
      </c>
      <c r="I92" s="1582"/>
      <c r="J92" s="1582"/>
      <c r="K92" s="1681">
        <f t="shared" si="12"/>
        <v>333781</v>
      </c>
      <c r="L92" s="1674">
        <f>SUM(L85:L91)</f>
        <v>333782</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336996</v>
      </c>
      <c r="I102" s="1582"/>
      <c r="J102" s="1582"/>
      <c r="K102" s="1681">
        <f>SUM(K84,K92,K100,K101)</f>
        <v>336996</v>
      </c>
      <c r="L102" s="1681">
        <f>SUM(L84,L92,L100,L101)</f>
        <v>336997</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799698</v>
      </c>
      <c r="D114" s="1674">
        <f t="shared" ref="D114:K114" si="13">SUM(D33,D74,D75,D102,D112,D113)</f>
        <v>10538</v>
      </c>
      <c r="E114" s="1674">
        <f t="shared" si="13"/>
        <v>58653</v>
      </c>
      <c r="F114" s="1674">
        <f t="shared" si="13"/>
        <v>84326</v>
      </c>
      <c r="G114" s="1674">
        <f t="shared" si="13"/>
        <v>0</v>
      </c>
      <c r="H114" s="1674">
        <f>SUM(H33,H74,H75,H102,H112,H113)</f>
        <v>341160</v>
      </c>
      <c r="I114" s="1674">
        <f t="shared" si="13"/>
        <v>12758</v>
      </c>
      <c r="J114" s="1674">
        <f t="shared" si="13"/>
        <v>0</v>
      </c>
      <c r="K114" s="1674">
        <f t="shared" si="13"/>
        <v>1307133</v>
      </c>
      <c r="L114" s="1674">
        <f>SUM(L33,L74,L75,L102,L112,L113)</f>
        <v>1301410</v>
      </c>
    </row>
    <row r="115" spans="1:14" ht="13.5" thickTop="1" x14ac:dyDescent="0.2">
      <c r="A115" s="2286" t="s">
        <v>989</v>
      </c>
      <c r="B115" s="2287"/>
      <c r="C115" s="1675"/>
      <c r="D115" s="1675"/>
      <c r="E115" s="1675"/>
      <c r="F115" s="1675"/>
      <c r="G115" s="1675"/>
      <c r="H115" s="1675"/>
      <c r="I115" s="1675"/>
      <c r="J115" s="1675"/>
      <c r="K115" s="1689">
        <f>'Revenues 9-14'!C268-'Expenditures 15-22'!K114</f>
        <v>120062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29078</v>
      </c>
      <c r="D124" s="1573">
        <v>2</v>
      </c>
      <c r="E124" s="1573">
        <v>16286</v>
      </c>
      <c r="F124" s="1573">
        <v>27423</v>
      </c>
      <c r="G124" s="1573"/>
      <c r="H124" s="1573"/>
      <c r="I124" s="1574"/>
      <c r="J124" s="1574"/>
      <c r="K124" s="1674">
        <f>SUM(C124:J124)</f>
        <v>72789</v>
      </c>
      <c r="L124" s="1573">
        <v>82033</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29078</v>
      </c>
      <c r="D127" s="1674">
        <f t="shared" ref="D127:L127" si="14">SUM(D122:D126)</f>
        <v>2</v>
      </c>
      <c r="E127" s="1674">
        <f t="shared" si="14"/>
        <v>16286</v>
      </c>
      <c r="F127" s="1674">
        <f t="shared" si="14"/>
        <v>27423</v>
      </c>
      <c r="G127" s="1674">
        <f t="shared" si="14"/>
        <v>0</v>
      </c>
      <c r="H127" s="1674">
        <f t="shared" si="14"/>
        <v>0</v>
      </c>
      <c r="I127" s="1674">
        <f t="shared" si="14"/>
        <v>0</v>
      </c>
      <c r="J127" s="1674">
        <f t="shared" si="14"/>
        <v>0</v>
      </c>
      <c r="K127" s="1674">
        <f t="shared" si="14"/>
        <v>72789</v>
      </c>
      <c r="L127" s="1674">
        <f t="shared" si="14"/>
        <v>82033</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29078</v>
      </c>
      <c r="D129" s="1681">
        <f t="shared" ref="D129:L129" si="15">SUM(D120,D127,D128)</f>
        <v>2</v>
      </c>
      <c r="E129" s="1681">
        <f t="shared" si="15"/>
        <v>16286</v>
      </c>
      <c r="F129" s="1681">
        <f t="shared" si="15"/>
        <v>27423</v>
      </c>
      <c r="G129" s="1681">
        <f t="shared" si="15"/>
        <v>0</v>
      </c>
      <c r="H129" s="1681">
        <f t="shared" si="15"/>
        <v>0</v>
      </c>
      <c r="I129" s="1681">
        <f t="shared" si="15"/>
        <v>0</v>
      </c>
      <c r="J129" s="1681">
        <f t="shared" si="15"/>
        <v>0</v>
      </c>
      <c r="K129" s="1681">
        <f t="shared" si="15"/>
        <v>72789</v>
      </c>
      <c r="L129" s="1681">
        <f t="shared" si="15"/>
        <v>82033</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29078</v>
      </c>
      <c r="D151" s="1674">
        <f t="shared" ref="D151:K151" si="16">SUM(D129,D130,D139,D149,D150)</f>
        <v>2</v>
      </c>
      <c r="E151" s="1674">
        <f t="shared" si="16"/>
        <v>16286</v>
      </c>
      <c r="F151" s="1674">
        <f t="shared" si="16"/>
        <v>27423</v>
      </c>
      <c r="G151" s="1674">
        <f t="shared" si="16"/>
        <v>0</v>
      </c>
      <c r="H151" s="1674">
        <f t="shared" si="16"/>
        <v>0</v>
      </c>
      <c r="I151" s="1674">
        <f t="shared" si="16"/>
        <v>0</v>
      </c>
      <c r="J151" s="1674">
        <f t="shared" si="16"/>
        <v>0</v>
      </c>
      <c r="K151" s="1674">
        <f t="shared" si="16"/>
        <v>72789</v>
      </c>
      <c r="L151" s="1674">
        <f>SUM(L129,L130,L139,L149,L150)</f>
        <v>82033</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-730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19875</v>
      </c>
      <c r="I169" s="1673"/>
      <c r="J169" s="1673"/>
      <c r="K169" s="1672">
        <f>SUM(C169:H169)</f>
        <v>19875</v>
      </c>
      <c r="L169" s="1695">
        <v>19875</v>
      </c>
    </row>
    <row r="170" spans="1:14" ht="33.75" customHeight="1" x14ac:dyDescent="0.2">
      <c r="A170" s="543" t="s">
        <v>1651</v>
      </c>
      <c r="B170" s="545" t="s">
        <v>31</v>
      </c>
      <c r="C170" s="1673"/>
      <c r="D170" s="1673"/>
      <c r="E170" s="1673"/>
      <c r="F170" s="1673"/>
      <c r="G170" s="1673"/>
      <c r="H170" s="1646">
        <v>57400</v>
      </c>
      <c r="I170" s="1673"/>
      <c r="J170" s="1673"/>
      <c r="K170" s="1672">
        <f>SUM(C170:J170)</f>
        <v>57400</v>
      </c>
      <c r="L170" s="1646">
        <v>57400</v>
      </c>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77275</v>
      </c>
      <c r="I172" s="1684"/>
      <c r="J172" s="1673"/>
      <c r="K172" s="1681">
        <f>SUM(K168,K169,K170,K171)</f>
        <v>77275</v>
      </c>
      <c r="L172" s="1681">
        <f>SUM(L168,L169,L170,L171)</f>
        <v>77275</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77275</v>
      </c>
      <c r="I174" s="1684"/>
      <c r="J174" s="1673"/>
      <c r="K174" s="1681">
        <f>SUM(K160,K172,K173)</f>
        <v>77275</v>
      </c>
      <c r="L174" s="1681">
        <f>SUM(L160,L172,L173)</f>
        <v>77275</v>
      </c>
    </row>
    <row r="175" spans="1:14" ht="13.5" thickTop="1" x14ac:dyDescent="0.2">
      <c r="A175" s="2286" t="s">
        <v>989</v>
      </c>
      <c r="B175" s="2287"/>
      <c r="C175" s="1673"/>
      <c r="D175" s="1673"/>
      <c r="E175" s="1673"/>
      <c r="F175" s="1673"/>
      <c r="G175" s="1673"/>
      <c r="H175" s="1675"/>
      <c r="I175" s="1673"/>
      <c r="J175" s="1673"/>
      <c r="K175" s="1689">
        <f>'Revenues 9-14'!E268-'Expenditures 15-22'!K174</f>
        <v>-21934</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34776</v>
      </c>
      <c r="D182" s="1573">
        <v>86</v>
      </c>
      <c r="E182" s="1573">
        <v>10120</v>
      </c>
      <c r="F182" s="1573">
        <v>9900</v>
      </c>
      <c r="G182" s="1573">
        <v>50000</v>
      </c>
      <c r="H182" s="1573"/>
      <c r="I182" s="1574"/>
      <c r="J182" s="1574"/>
      <c r="K182" s="1672">
        <f>SUM(C182:J182)</f>
        <v>104882</v>
      </c>
      <c r="L182" s="1573">
        <v>104221</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34776</v>
      </c>
      <c r="D184" s="1681">
        <f t="shared" ref="D184:J184" si="17">SUM(D180,D182,D183)</f>
        <v>86</v>
      </c>
      <c r="E184" s="1681">
        <f t="shared" si="17"/>
        <v>10120</v>
      </c>
      <c r="F184" s="1681">
        <f t="shared" si="17"/>
        <v>9900</v>
      </c>
      <c r="G184" s="1681">
        <f t="shared" si="17"/>
        <v>50000</v>
      </c>
      <c r="H184" s="1681">
        <f t="shared" si="17"/>
        <v>0</v>
      </c>
      <c r="I184" s="1681">
        <f t="shared" si="17"/>
        <v>0</v>
      </c>
      <c r="J184" s="1681">
        <f t="shared" si="17"/>
        <v>0</v>
      </c>
      <c r="K184" s="1681">
        <f>SUM(K180,K182,K183)</f>
        <v>104882</v>
      </c>
      <c r="L184" s="1681">
        <f>SUM(L180, L182:L183)</f>
        <v>104221</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34776</v>
      </c>
      <c r="D210" s="1674">
        <f>SUM(D184,D185)</f>
        <v>86</v>
      </c>
      <c r="E210" s="1674">
        <f>SUM(E184,E185,E196)</f>
        <v>10120</v>
      </c>
      <c r="F210" s="1674">
        <f>SUM(F184,F185)</f>
        <v>9900</v>
      </c>
      <c r="G210" s="1674">
        <f>SUM(G184,G185)</f>
        <v>50000</v>
      </c>
      <c r="H210" s="1674">
        <f>SUM(H184,H185,H196,H208,H209)</f>
        <v>0</v>
      </c>
      <c r="I210" s="1674">
        <f>SUM(I184,I185)</f>
        <v>0</v>
      </c>
      <c r="J210" s="1674">
        <f>SUM(J184,J185)</f>
        <v>0</v>
      </c>
      <c r="K210" s="1672">
        <f>SUM(K184,K185,K196,K208,K209)</f>
        <v>104882</v>
      </c>
      <c r="L210" s="1674">
        <f>SUM(L184,L185,L196,L208,L209)</f>
        <v>104221</v>
      </c>
    </row>
    <row r="211" spans="1:14" ht="13.5" thickTop="1" x14ac:dyDescent="0.2">
      <c r="A211" s="2286" t="s">
        <v>989</v>
      </c>
      <c r="B211" s="2287"/>
      <c r="C211" s="1675"/>
      <c r="D211" s="1675"/>
      <c r="E211" s="1675"/>
      <c r="F211" s="1675"/>
      <c r="G211" s="1675"/>
      <c r="H211" s="1675"/>
      <c r="I211" s="1673"/>
      <c r="J211" s="1673"/>
      <c r="K211" s="1689">
        <f>'Revenues 9-14'!F268-'Expenditures 15-22'!K210</f>
        <v>-32892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5452</v>
      </c>
      <c r="E215" s="1673"/>
      <c r="F215" s="1673"/>
      <c r="G215" s="1673"/>
      <c r="H215" s="1673"/>
      <c r="I215" s="1673"/>
      <c r="J215" s="1673"/>
      <c r="K215" s="1672">
        <f>D215</f>
        <v>5452</v>
      </c>
      <c r="L215" s="1573">
        <v>7326</v>
      </c>
    </row>
    <row r="216" spans="1:14" x14ac:dyDescent="0.2">
      <c r="A216" s="1274" t="s">
        <v>162</v>
      </c>
      <c r="B216" s="503" t="s">
        <v>961</v>
      </c>
      <c r="C216" s="1673"/>
      <c r="D216" s="1574">
        <v>2972</v>
      </c>
      <c r="E216" s="1673"/>
      <c r="F216" s="1673"/>
      <c r="G216" s="1673"/>
      <c r="H216" s="1673"/>
      <c r="I216" s="1673"/>
      <c r="J216" s="1673"/>
      <c r="K216" s="1672">
        <f t="shared" ref="K216:K228" si="19">D216</f>
        <v>2972</v>
      </c>
      <c r="L216" s="1573">
        <v>858</v>
      </c>
    </row>
    <row r="217" spans="1:14" x14ac:dyDescent="0.2">
      <c r="A217" s="1274" t="s">
        <v>163</v>
      </c>
      <c r="B217" s="503">
        <v>1200</v>
      </c>
      <c r="C217" s="1673"/>
      <c r="D217" s="1573">
        <v>3545</v>
      </c>
      <c r="E217" s="1673"/>
      <c r="F217" s="1673"/>
      <c r="G217" s="1673"/>
      <c r="H217" s="1673"/>
      <c r="I217" s="1673"/>
      <c r="J217" s="1673"/>
      <c r="K217" s="1672">
        <f t="shared" si="19"/>
        <v>3545</v>
      </c>
      <c r="L217" s="1573">
        <v>3470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6487</v>
      </c>
      <c r="E219" s="1673"/>
      <c r="F219" s="1673"/>
      <c r="G219" s="1673"/>
      <c r="H219" s="1673"/>
      <c r="I219" s="1673"/>
      <c r="J219" s="1673"/>
      <c r="K219" s="1672">
        <f t="shared" si="19"/>
        <v>6487</v>
      </c>
      <c r="L219" s="1573">
        <v>6163</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416</v>
      </c>
      <c r="E223" s="1673"/>
      <c r="F223" s="1673"/>
      <c r="G223" s="1673"/>
      <c r="H223" s="1673"/>
      <c r="I223" s="1673"/>
      <c r="J223" s="1673"/>
      <c r="K223" s="1672">
        <f t="shared" si="19"/>
        <v>416</v>
      </c>
      <c r="L223" s="1573">
        <v>417</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18872</v>
      </c>
      <c r="E229" s="1673"/>
      <c r="F229" s="1673"/>
      <c r="G229" s="1673"/>
      <c r="H229" s="1673"/>
      <c r="I229" s="1673"/>
      <c r="J229" s="1673"/>
      <c r="K229" s="1674">
        <f>SUM(K215:K228)</f>
        <v>18872</v>
      </c>
      <c r="L229" s="1674">
        <f>SUM(L215:L228)</f>
        <v>18234</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v>134</v>
      </c>
      <c r="E234" s="1673"/>
      <c r="F234" s="1673"/>
      <c r="G234" s="1673"/>
      <c r="H234" s="1673"/>
      <c r="I234" s="1673"/>
      <c r="J234" s="1673"/>
      <c r="K234" s="1672">
        <f t="shared" si="20"/>
        <v>134</v>
      </c>
      <c r="L234" s="1573">
        <v>144</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134</v>
      </c>
      <c r="E238" s="1673"/>
      <c r="F238" s="1673"/>
      <c r="G238" s="1673"/>
      <c r="H238" s="1673"/>
      <c r="I238" s="1673"/>
      <c r="J238" s="1673"/>
      <c r="K238" s="1674">
        <f>SUM(K232:K237)</f>
        <v>134</v>
      </c>
      <c r="L238" s="1674">
        <f>SUM(L232:L237)</f>
        <v>144</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30</v>
      </c>
      <c r="E240" s="1673"/>
      <c r="F240" s="1673"/>
      <c r="G240" s="1673"/>
      <c r="H240" s="1673"/>
      <c r="I240" s="1673"/>
      <c r="J240" s="1673"/>
      <c r="K240" s="1678">
        <f>D240</f>
        <v>30</v>
      </c>
      <c r="L240" s="1586">
        <v>31</v>
      </c>
    </row>
    <row r="241" spans="1:12" x14ac:dyDescent="0.2">
      <c r="A241" s="1274" t="s">
        <v>810</v>
      </c>
      <c r="B241" s="503">
        <v>2220</v>
      </c>
      <c r="C241" s="1673"/>
      <c r="D241" s="1573">
        <v>3663</v>
      </c>
      <c r="E241" s="1673"/>
      <c r="F241" s="1673"/>
      <c r="G241" s="1673"/>
      <c r="H241" s="1673"/>
      <c r="I241" s="1673"/>
      <c r="J241" s="1673"/>
      <c r="K241" s="1678">
        <f>D241</f>
        <v>3663</v>
      </c>
      <c r="L241" s="1573">
        <v>3663</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3693</v>
      </c>
      <c r="E243" s="1673"/>
      <c r="F243" s="1673"/>
      <c r="G243" s="1673"/>
      <c r="H243" s="1673"/>
      <c r="I243" s="1673"/>
      <c r="J243" s="1673"/>
      <c r="K243" s="1674">
        <f>SUM(K240:K242)</f>
        <v>3693</v>
      </c>
      <c r="L243" s="1674">
        <f>SUM(L240:L242)</f>
        <v>3694</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184</v>
      </c>
      <c r="E245" s="1673"/>
      <c r="F245" s="1673"/>
      <c r="G245" s="1673"/>
      <c r="H245" s="1673"/>
      <c r="I245" s="1673"/>
      <c r="J245" s="1673"/>
      <c r="K245" s="1678">
        <f>D245</f>
        <v>184</v>
      </c>
      <c r="L245" s="1586">
        <v>183</v>
      </c>
    </row>
    <row r="246" spans="1:12" x14ac:dyDescent="0.2">
      <c r="A246" s="1274" t="s">
        <v>813</v>
      </c>
      <c r="B246" s="503">
        <v>2320</v>
      </c>
      <c r="C246" s="1673"/>
      <c r="D246" s="1573">
        <v>69</v>
      </c>
      <c r="E246" s="1673"/>
      <c r="F246" s="1673"/>
      <c r="G246" s="1673"/>
      <c r="H246" s="1673"/>
      <c r="I246" s="1673"/>
      <c r="J246" s="1673"/>
      <c r="K246" s="1678">
        <f t="shared" ref="K246:K256" si="21">D246</f>
        <v>69</v>
      </c>
      <c r="L246" s="1573">
        <v>69</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v>630</v>
      </c>
      <c r="E254" s="1673"/>
      <c r="F254" s="1673"/>
      <c r="G254" s="1673"/>
      <c r="H254" s="1673"/>
      <c r="I254" s="1673"/>
      <c r="J254" s="1673"/>
      <c r="K254" s="1678">
        <f t="shared" si="21"/>
        <v>630</v>
      </c>
      <c r="L254" s="1573">
        <v>631</v>
      </c>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883</v>
      </c>
      <c r="E257" s="1673"/>
      <c r="F257" s="1673"/>
      <c r="G257" s="1673"/>
      <c r="H257" s="1673"/>
      <c r="I257" s="1673"/>
      <c r="J257" s="1673"/>
      <c r="K257" s="1674">
        <f>SUM(K245:K256)</f>
        <v>883</v>
      </c>
      <c r="L257" s="1674">
        <f>SUM(L245:L256)</f>
        <v>883</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4500</v>
      </c>
      <c r="E259" s="1673"/>
      <c r="F259" s="1673"/>
      <c r="G259" s="1673"/>
      <c r="H259" s="1673"/>
      <c r="I259" s="1673"/>
      <c r="J259" s="1673"/>
      <c r="K259" s="1678">
        <f>D259</f>
        <v>4500</v>
      </c>
      <c r="L259" s="1586">
        <v>4526</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4500</v>
      </c>
      <c r="E261" s="1673"/>
      <c r="F261" s="1673"/>
      <c r="G261" s="1673"/>
      <c r="H261" s="1673"/>
      <c r="I261" s="1673"/>
      <c r="J261" s="1673"/>
      <c r="K261" s="1674">
        <f>SUM(K259:K260)</f>
        <v>4500</v>
      </c>
      <c r="L261" s="1674">
        <f>SUM(L259:L260)</f>
        <v>4526</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844</v>
      </c>
      <c r="E263" s="1673"/>
      <c r="F263" s="1673"/>
      <c r="G263" s="1673"/>
      <c r="H263" s="1673"/>
      <c r="I263" s="1673"/>
      <c r="J263" s="1673"/>
      <c r="K263" s="1678">
        <f>D263</f>
        <v>844</v>
      </c>
      <c r="L263" s="1586">
        <v>844</v>
      </c>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3961</v>
      </c>
      <c r="E266" s="1673"/>
      <c r="F266" s="1673"/>
      <c r="G266" s="1673"/>
      <c r="H266" s="1673"/>
      <c r="I266" s="1673"/>
      <c r="J266" s="1673"/>
      <c r="K266" s="1678">
        <f t="shared" si="22"/>
        <v>3961</v>
      </c>
      <c r="L266" s="1573">
        <v>3961</v>
      </c>
    </row>
    <row r="267" spans="1:14" x14ac:dyDescent="0.2">
      <c r="A267" s="1274" t="s">
        <v>947</v>
      </c>
      <c r="B267" s="503">
        <v>2550</v>
      </c>
      <c r="C267" s="1673"/>
      <c r="D267" s="1573">
        <v>4389</v>
      </c>
      <c r="E267" s="1673"/>
      <c r="F267" s="1673"/>
      <c r="G267" s="1673"/>
      <c r="H267" s="1673"/>
      <c r="I267" s="1673"/>
      <c r="J267" s="1673"/>
      <c r="K267" s="1678">
        <f t="shared" si="22"/>
        <v>4389</v>
      </c>
      <c r="L267" s="1573">
        <v>4415</v>
      </c>
    </row>
    <row r="268" spans="1:14" x14ac:dyDescent="0.2">
      <c r="A268" s="1274" t="s">
        <v>100</v>
      </c>
      <c r="B268" s="503">
        <v>2560</v>
      </c>
      <c r="C268" s="1673"/>
      <c r="D268" s="1573">
        <v>4955</v>
      </c>
      <c r="E268" s="1673"/>
      <c r="F268" s="1673"/>
      <c r="G268" s="1673"/>
      <c r="H268" s="1673"/>
      <c r="I268" s="1673"/>
      <c r="J268" s="1673"/>
      <c r="K268" s="1678">
        <f t="shared" si="22"/>
        <v>4955</v>
      </c>
      <c r="L268" s="1573">
        <v>4956</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14149</v>
      </c>
      <c r="E270" s="1673"/>
      <c r="F270" s="1673"/>
      <c r="G270" s="1673"/>
      <c r="H270" s="1673"/>
      <c r="I270" s="1673"/>
      <c r="J270" s="1673"/>
      <c r="K270" s="1674">
        <f>SUM(K263:K269)</f>
        <v>14149</v>
      </c>
      <c r="L270" s="1674">
        <f>SUM(L263:L269)</f>
        <v>14176</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v>429</v>
      </c>
      <c r="E274" s="1673"/>
      <c r="F274" s="1673"/>
      <c r="G274" s="1673"/>
      <c r="H274" s="1673"/>
      <c r="I274" s="1673"/>
      <c r="J274" s="1673"/>
      <c r="K274" s="1678">
        <f>D274</f>
        <v>429</v>
      </c>
      <c r="L274" s="1573">
        <v>430</v>
      </c>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429</v>
      </c>
      <c r="E277" s="1673"/>
      <c r="F277" s="1673"/>
      <c r="G277" s="1673"/>
      <c r="H277" s="1673"/>
      <c r="I277" s="1673"/>
      <c r="J277" s="1673"/>
      <c r="K277" s="1674">
        <f>SUM(K272:K276)</f>
        <v>429</v>
      </c>
      <c r="L277" s="1674">
        <f>SUM(L272:L276)</f>
        <v>430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23788</v>
      </c>
      <c r="E279" s="1673"/>
      <c r="F279" s="1673"/>
      <c r="G279" s="1673"/>
      <c r="H279" s="1673"/>
      <c r="I279" s="1673"/>
      <c r="J279" s="1673"/>
      <c r="K279" s="1681">
        <f>SUM(K238,K243,K257,K261,K270,K277,K278)</f>
        <v>23788</v>
      </c>
      <c r="L279" s="1681">
        <f>SUM(L238,L243,L257,L261,L270,L277,L278)</f>
        <v>23853</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42660</v>
      </c>
      <c r="E295" s="1673"/>
      <c r="F295" s="1673"/>
      <c r="G295" s="1673"/>
      <c r="H295" s="1674">
        <f>H293</f>
        <v>0</v>
      </c>
      <c r="I295" s="1673"/>
      <c r="J295" s="1673"/>
      <c r="K295" s="1674">
        <f>SUM(K229,K279,K280,K285,K293,K294)</f>
        <v>42660</v>
      </c>
      <c r="L295" s="1674">
        <f>SUM(L229,L279,L280,L285,L293,L294)</f>
        <v>42087</v>
      </c>
    </row>
    <row r="296" spans="1:14" ht="13.5" thickTop="1" x14ac:dyDescent="0.2">
      <c r="A296" s="2286" t="s">
        <v>989</v>
      </c>
      <c r="B296" s="2287"/>
      <c r="C296" s="1673"/>
      <c r="D296" s="1675"/>
      <c r="E296" s="1673"/>
      <c r="F296" s="1673"/>
      <c r="G296" s="1673"/>
      <c r="H296" s="1707"/>
      <c r="I296" s="1673"/>
      <c r="J296" s="1673"/>
      <c r="K296" s="1689">
        <f>'Revenues 9-14'!G268-'Expenditures 15-22'!K295</f>
        <v>5658</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43835</v>
      </c>
      <c r="F301" s="1573"/>
      <c r="G301" s="1573"/>
      <c r="H301" s="1573"/>
      <c r="I301" s="1574"/>
      <c r="J301" s="1574"/>
      <c r="K301" s="1672">
        <f>SUM(C301:J301)</f>
        <v>43835</v>
      </c>
      <c r="L301" s="1574">
        <v>43836</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43835</v>
      </c>
      <c r="F303" s="1681">
        <f t="shared" si="23"/>
        <v>0</v>
      </c>
      <c r="G303" s="1681">
        <f t="shared" si="23"/>
        <v>0</v>
      </c>
      <c r="H303" s="1681">
        <f t="shared" si="23"/>
        <v>0</v>
      </c>
      <c r="I303" s="1681">
        <f t="shared" si="23"/>
        <v>0</v>
      </c>
      <c r="J303" s="1681">
        <f t="shared" si="23"/>
        <v>0</v>
      </c>
      <c r="K303" s="1681">
        <f t="shared" si="23"/>
        <v>43835</v>
      </c>
      <c r="L303" s="1681">
        <f t="shared" si="23"/>
        <v>43836</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43835</v>
      </c>
      <c r="F312" s="1674">
        <f>SUM(F303)</f>
        <v>0</v>
      </c>
      <c r="G312" s="1674">
        <f>SUM(G303)</f>
        <v>0</v>
      </c>
      <c r="H312" s="1674">
        <f>SUM(H303,H310)</f>
        <v>0</v>
      </c>
      <c r="I312" s="1674">
        <f>SUM(I303)</f>
        <v>0</v>
      </c>
      <c r="J312" s="1674">
        <f>SUM(J303)</f>
        <v>0</v>
      </c>
      <c r="K312" s="1674">
        <f>SUM(K303,K310,K311)</f>
        <v>43835</v>
      </c>
      <c r="L312" s="1674">
        <f>SUM(L303,L310,L311)</f>
        <v>43836</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28446</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14056</v>
      </c>
      <c r="F320" s="1574"/>
      <c r="G320" s="1574"/>
      <c r="H320" s="1574"/>
      <c r="I320" s="1574"/>
      <c r="J320" s="1574"/>
      <c r="K320" s="1672">
        <f t="shared" ref="K320:K327" si="24">SUM(C320:J320)</f>
        <v>14056</v>
      </c>
      <c r="L320" s="1574">
        <v>14056</v>
      </c>
      <c r="M320" s="539"/>
      <c r="N320" s="539"/>
    </row>
    <row r="321" spans="1:14" s="548" customFormat="1" x14ac:dyDescent="0.2">
      <c r="A321" s="1289" t="s">
        <v>297</v>
      </c>
      <c r="B321" s="567" t="s">
        <v>281</v>
      </c>
      <c r="C321" s="1574"/>
      <c r="D321" s="1574"/>
      <c r="E321" s="1574">
        <v>83</v>
      </c>
      <c r="F321" s="1574"/>
      <c r="G321" s="1574"/>
      <c r="H321" s="1574"/>
      <c r="I321" s="1574"/>
      <c r="J321" s="1574"/>
      <c r="K321" s="1672">
        <f t="shared" si="24"/>
        <v>83</v>
      </c>
      <c r="L321" s="1574">
        <v>83</v>
      </c>
      <c r="M321" s="539"/>
      <c r="N321" s="539"/>
    </row>
    <row r="322" spans="1:14" s="548" customFormat="1" x14ac:dyDescent="0.2">
      <c r="A322" s="1289" t="s">
        <v>236</v>
      </c>
      <c r="B322" s="567" t="s">
        <v>282</v>
      </c>
      <c r="C322" s="1574"/>
      <c r="D322" s="1574"/>
      <c r="E322" s="1574">
        <v>34193</v>
      </c>
      <c r="F322" s="1574"/>
      <c r="G322" s="1574"/>
      <c r="H322" s="1574"/>
      <c r="I322" s="1574"/>
      <c r="J322" s="1574"/>
      <c r="K322" s="1672">
        <f t="shared" si="24"/>
        <v>34193</v>
      </c>
      <c r="L322" s="1574">
        <v>34193</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14372</v>
      </c>
      <c r="D325" s="1574">
        <v>223</v>
      </c>
      <c r="E325" s="1574">
        <v>10899</v>
      </c>
      <c r="F325" s="1574"/>
      <c r="G325" s="1574"/>
      <c r="H325" s="1574"/>
      <c r="I325" s="1574"/>
      <c r="J325" s="1574"/>
      <c r="K325" s="1672">
        <f t="shared" si="24"/>
        <v>25494</v>
      </c>
      <c r="L325" s="1574">
        <v>25481</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14372</v>
      </c>
      <c r="D330" s="1674">
        <f t="shared" ref="D330:J330" si="25">SUM(D319:D329)</f>
        <v>223</v>
      </c>
      <c r="E330" s="1674">
        <f t="shared" si="25"/>
        <v>59231</v>
      </c>
      <c r="F330" s="1674">
        <f t="shared" si="25"/>
        <v>0</v>
      </c>
      <c r="G330" s="1674">
        <f t="shared" si="25"/>
        <v>0</v>
      </c>
      <c r="H330" s="1674">
        <f t="shared" si="25"/>
        <v>0</v>
      </c>
      <c r="I330" s="1674">
        <f t="shared" si="25"/>
        <v>0</v>
      </c>
      <c r="J330" s="1674">
        <f t="shared" si="25"/>
        <v>0</v>
      </c>
      <c r="K330" s="1674">
        <f>SUM(K319:K329)</f>
        <v>73826</v>
      </c>
      <c r="L330" s="1674">
        <f>SUM(L319:L329)</f>
        <v>73813</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14372</v>
      </c>
      <c r="D342" s="1674">
        <f>SUM(D330)</f>
        <v>223</v>
      </c>
      <c r="E342" s="1674">
        <f>SUM(E330)</f>
        <v>59231</v>
      </c>
      <c r="F342" s="1674">
        <f>SUM(F330)</f>
        <v>0</v>
      </c>
      <c r="G342" s="1674">
        <f>SUM(G330)</f>
        <v>0</v>
      </c>
      <c r="H342" s="1674">
        <f>SUM(H330,H334,H340)</f>
        <v>0</v>
      </c>
      <c r="I342" s="1674">
        <f>SUM(I330)</f>
        <v>0</v>
      </c>
      <c r="J342" s="1674">
        <f>SUM(J330)</f>
        <v>0</v>
      </c>
      <c r="K342" s="1674">
        <f>SUM(K330,K334,K340)</f>
        <v>73826</v>
      </c>
      <c r="L342" s="1681">
        <f>SUM(L330,L334,L340,L341)</f>
        <v>73813</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-17353</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v>8500</v>
      </c>
      <c r="H348" s="1573"/>
      <c r="I348" s="1574"/>
      <c r="J348" s="1574"/>
      <c r="K348" s="1672">
        <f>SUM(C348:J348)</f>
        <v>8500</v>
      </c>
      <c r="L348" s="1573">
        <v>8500</v>
      </c>
    </row>
    <row r="349" spans="1:14" x14ac:dyDescent="0.2">
      <c r="A349" s="1274" t="s">
        <v>195</v>
      </c>
      <c r="B349" s="503">
        <v>2540</v>
      </c>
      <c r="C349" s="1573"/>
      <c r="D349" s="1573"/>
      <c r="E349" s="1573">
        <v>152483</v>
      </c>
      <c r="F349" s="1573"/>
      <c r="G349" s="1573"/>
      <c r="H349" s="1573"/>
      <c r="I349" s="1574"/>
      <c r="J349" s="1574"/>
      <c r="K349" s="1672">
        <f>SUM(C349:J349)</f>
        <v>152483</v>
      </c>
      <c r="L349" s="1573">
        <v>152483</v>
      </c>
    </row>
    <row r="350" spans="1:14" ht="12.75" customHeight="1" thickBot="1" x14ac:dyDescent="0.25">
      <c r="A350" s="1380" t="s">
        <v>714</v>
      </c>
      <c r="B350" s="1381" t="s">
        <v>35</v>
      </c>
      <c r="C350" s="1674">
        <f>SUM(C348:C349)</f>
        <v>0</v>
      </c>
      <c r="D350" s="1674">
        <f t="shared" ref="D350:L350" si="26">SUM(D348:D349)</f>
        <v>0</v>
      </c>
      <c r="E350" s="1674">
        <f t="shared" si="26"/>
        <v>152483</v>
      </c>
      <c r="F350" s="1674">
        <f t="shared" si="26"/>
        <v>0</v>
      </c>
      <c r="G350" s="1674">
        <f t="shared" si="26"/>
        <v>8500</v>
      </c>
      <c r="H350" s="1674">
        <f t="shared" si="26"/>
        <v>0</v>
      </c>
      <c r="I350" s="1674">
        <f t="shared" si="26"/>
        <v>0</v>
      </c>
      <c r="J350" s="1674">
        <f t="shared" si="26"/>
        <v>0</v>
      </c>
      <c r="K350" s="1674">
        <f t="shared" si="26"/>
        <v>160983</v>
      </c>
      <c r="L350" s="1674">
        <f t="shared" si="26"/>
        <v>160983</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152483</v>
      </c>
      <c r="F352" s="1674">
        <f t="shared" si="27"/>
        <v>0</v>
      </c>
      <c r="G352" s="1674">
        <f t="shared" si="27"/>
        <v>8500</v>
      </c>
      <c r="H352" s="1674">
        <f t="shared" si="27"/>
        <v>0</v>
      </c>
      <c r="I352" s="1674">
        <f t="shared" si="27"/>
        <v>0</v>
      </c>
      <c r="J352" s="1674">
        <f t="shared" si="27"/>
        <v>0</v>
      </c>
      <c r="K352" s="1674">
        <f t="shared" si="27"/>
        <v>160983</v>
      </c>
      <c r="L352" s="1674">
        <f t="shared" si="27"/>
        <v>160983</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152483</v>
      </c>
      <c r="F367" s="1674">
        <f t="shared" si="28"/>
        <v>0</v>
      </c>
      <c r="G367" s="1674">
        <f t="shared" si="28"/>
        <v>8500</v>
      </c>
      <c r="H367" s="1674">
        <f t="shared" si="28"/>
        <v>0</v>
      </c>
      <c r="I367" s="1674">
        <f t="shared" si="28"/>
        <v>0</v>
      </c>
      <c r="J367" s="1674">
        <f t="shared" si="28"/>
        <v>0</v>
      </c>
      <c r="K367" s="1674">
        <f t="shared" si="28"/>
        <v>160983</v>
      </c>
      <c r="L367" s="1674">
        <f t="shared" si="28"/>
        <v>160983</v>
      </c>
    </row>
    <row r="368" spans="1:14" ht="13.5" thickTop="1" x14ac:dyDescent="0.2">
      <c r="A368" s="2286" t="s">
        <v>989</v>
      </c>
      <c r="B368" s="2287"/>
      <c r="C368" s="1694"/>
      <c r="D368" s="1694"/>
      <c r="E368" s="1677"/>
      <c r="F368" s="1677"/>
      <c r="G368" s="1677"/>
      <c r="H368" s="1677"/>
      <c r="I368" s="1677"/>
      <c r="J368" s="1676"/>
      <c r="K368" s="1672">
        <f>'Revenues 9-14'!K268-'Expenditures 15-22'!K367</f>
        <v>-153385</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elements/1.1/"/>
    <ds:schemaRef ds:uri="4d435f69-8686-490b-bd6d-b153bf22ab50"/>
    <ds:schemaRef ds:uri="http://schemas.openxmlformats.org/package/2006/metadata/core-properties"/>
    <ds:schemaRef ds:uri="http://schemas.microsoft.com/office/infopath/2007/PartnerControls"/>
    <ds:schemaRef ds:uri="http://purl.org/dc/terms/"/>
    <ds:schemaRef ds:uri="http://schemas.microsoft.com/office/2006/documentManagement/types"/>
    <ds:schemaRef ds:uri="d21dc803-237d-4c68-8692-8d731fd29118"/>
    <ds:schemaRef ds:uri="6ce3111e-7420-4802-b50a-75d4e9a0b980"/>
    <ds:schemaRef ds:uri="http://schemas.microsoft.com/sharepoint/v3"/>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2021-02-15T21:12:28Z</cp:lastPrinted>
  <dcterms:created xsi:type="dcterms:W3CDTF">2003-10-29T19:06:34Z</dcterms:created>
  <dcterms:modified xsi:type="dcterms:W3CDTF">2021-02-16T19:27:21Z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