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CFADE2A-75BB-4730-AF68-1C86594DC89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1" l="1"/>
  <c r="E61" i="29" l="1"/>
  <c r="H49" i="29"/>
  <c r="C12" i="3" l="1"/>
  <c r="E124" i="29"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8" i="183"/>
  <c r="F27" i="183"/>
  <c r="F26"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E27" i="183"/>
  <c r="E26" i="183"/>
  <c r="E25" i="183"/>
  <c r="F25" i="183" s="1"/>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C67" i="127"/>
  <c r="C6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D31" i="108" l="1"/>
  <c r="E16" i="184"/>
  <c r="H16" i="184" s="1"/>
  <c r="B7696" i="106"/>
  <c r="D7696" i="106" s="1"/>
  <c r="E66" i="184"/>
  <c r="N66" i="184" s="1"/>
  <c r="B7189" i="106"/>
  <c r="D7189" i="106" s="1"/>
  <c r="E64" i="184"/>
  <c r="N64" i="184" s="1"/>
  <c r="B7171" i="106"/>
  <c r="D7171" i="106" s="1"/>
  <c r="E62" i="184"/>
  <c r="N62" i="184" s="1"/>
  <c r="F50" i="34"/>
  <c r="B7705" i="106"/>
  <c r="D7705" i="106" s="1"/>
  <c r="E67" i="184"/>
  <c r="N67" i="184" s="1"/>
  <c r="B7162" i="106"/>
  <c r="D7162" i="106" s="1"/>
  <c r="E61" i="184"/>
  <c r="N61" i="184" s="1"/>
  <c r="B7126" i="106"/>
  <c r="D7126" i="106" s="1"/>
  <c r="E57" i="184"/>
  <c r="N57" i="184" s="1"/>
  <c r="H15" i="184"/>
  <c r="G33" i="108"/>
  <c r="E17" i="184"/>
  <c r="H17" i="184" s="1"/>
  <c r="G30" i="108"/>
  <c r="H12" i="184"/>
  <c r="H19" i="184" s="1"/>
  <c r="L20" i="184" s="1"/>
  <c r="F34" i="34"/>
  <c r="B7826" i="106" s="1"/>
  <c r="D7826" i="106" s="1"/>
  <c r="B7198" i="106"/>
  <c r="D7198" i="106" s="1"/>
  <c r="E65" i="184"/>
  <c r="N65" i="184" s="1"/>
  <c r="C342" i="29"/>
  <c r="B7216" i="106" s="1"/>
  <c r="D7216" i="106" s="1"/>
  <c r="B7180" i="106"/>
  <c r="D7180" i="106" s="1"/>
  <c r="E63" i="184"/>
  <c r="N63" i="184" s="1"/>
  <c r="B7153" i="106"/>
  <c r="D7153" i="106" s="1"/>
  <c r="E60" i="184"/>
  <c r="N60"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K365" i="29"/>
  <c r="B7220" i="106"/>
  <c r="D7220" i="106" s="1"/>
  <c r="F75" i="34"/>
  <c r="B7886" i="106" s="1"/>
  <c r="D7886" i="106" s="1"/>
  <c r="B7222" i="106"/>
  <c r="D7222" i="106" s="1"/>
  <c r="F76" i="34"/>
  <c r="B7887" i="106" s="1"/>
  <c r="D7887" i="106" s="1"/>
  <c r="B7235" i="106"/>
  <c r="D7235" i="106" s="1"/>
  <c r="E19" i="184"/>
  <c r="L16" i="11"/>
  <c r="B2061" i="106" s="1"/>
  <c r="D2061" i="106" s="1"/>
  <c r="L114" i="29"/>
  <c r="N23" i="3"/>
  <c r="B284" i="106" s="1"/>
  <c r="D284" i="106" s="1"/>
  <c r="B5527" i="106"/>
  <c r="D5527" i="106" s="1"/>
  <c r="K342" i="29"/>
  <c r="F13" i="34" s="1"/>
  <c r="N58" i="184"/>
  <c r="N68" i="184" s="1"/>
  <c r="E68" i="184"/>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77" i="34"/>
  <c r="B7834" i="106" s="1"/>
  <c r="D7834" i="106" s="1"/>
  <c r="D8" i="146"/>
  <c r="J20" i="4"/>
  <c r="J78" i="4" s="1"/>
  <c r="B6227" i="106"/>
  <c r="D6227" i="106" s="1"/>
  <c r="J10" i="4"/>
  <c r="B6225" i="106" s="1"/>
  <c r="D622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<sst xmlns="http://schemas.openxmlformats.org/spreadsheetml/2006/main" count="5168" uniqueCount="2103">
  <si>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</si>
  <si>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</si>
  <si>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</si>
  <si>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</si>
  <si>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</si>
  <si>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</si>
  <si>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</si>
  <si>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</si>
  <si>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</si>
  <si>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</si>
  <si>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</si>
  <si>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</si>
  <si>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</si>
  <si>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</si>
  <si>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</si>
  <si>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</si>
  <si>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</si>
  <si>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</si>
  <si>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</si>
  <si>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</si>
  <si>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</si>
  <si>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</si>
  <si>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</si>
  <si>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</si>
  <si>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</si>
  <si>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</si>
  <si>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</si>
  <si>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</si>
  <si>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</si>
  <si>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</si>
  <si>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</si>
  <si>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</si>
  <si>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</si>
  <si>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</si>
  <si>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</si>
  <si>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</si>
  <si>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</si>
  <si>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</si>
  <si>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</si>
  <si>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</si>
  <si>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</si>
  <si>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</si>
  <si>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</si>
  <si>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</si>
  <si>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</si>
  <si>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</si>
  <si>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</si>
  <si>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</si>
  <si>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</si>
  <si>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</si>
  <si>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</si>
  <si>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</si>
  <si>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</si>
  <si>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</si>
  <si>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</si>
  <si>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</si>
  <si>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</si>
  <si>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</si>
  <si>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</si>
  <si>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</si>
  <si>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</si>
  <si>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</si>
  <si>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</si>
  <si>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</si>
  <si>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</si>
  <si>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</si>
  <si>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</si>
  <si>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</si>
  <si>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</si>
  <si>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</si>
  <si>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</si>
  <si>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</si>
  <si>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</si>
  <si>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</si>
  <si>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</si>
  <si>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</si>
  <si>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</si>
  <si>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</si>
  <si>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</si>
  <si>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</si>
  <si>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</si>
  <si>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</si>
  <si>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</si>
  <si>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</si>
  <si>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</si>
  <si>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</si>
  <si>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</si>
  <si>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</si>
  <si>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</si>
  <si>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</si>
  <si>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</si>
  <si>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</si>
  <si>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</si>
  <si>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</si>
  <si>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</si>
  <si>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</si>
  <si>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</si>
  <si>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</si>
  <si>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</si>
  <si>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</si>
  <si>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</si>
  <si>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</si>
  <si>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</si>
  <si>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</si>
  <si>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</si>
  <si>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</si>
  <si>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</si>
  <si>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</si>
  <si>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</si>
  <si>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</si>
  <si>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</si>
  <si>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</si>
  <si>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</si>
  <si>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</si>
  <si>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</si>
  <si>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</si>
  <si>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</si>
  <si>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</si>
  <si>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</si>
  <si>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</si>
  <si>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</si>
  <si>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</si>
  <si>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</si>
  <si>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</si>
  <si>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</si>
  <si>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</si>
  <si>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</si>
  <si>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</si>
  <si>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</si>
  <si>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</si>
  <si>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</si>
  <si>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</si>
  <si>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</si>
  <si>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</si>
  <si>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</si>
  <si>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</si>
  <si>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</si>
  <si>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</si>
  <si>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</si>
  <si>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</si>
  <si>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</si>
  <si>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</si>
  <si>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</si>
  <si>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</si>
  <si>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</si>
  <si>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</si>
  <si>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</si>
  <si>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</si>
  <si>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</si>
  <si>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</si>
  <si>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</si>
  <si>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</si>
  <si>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</si>
  <si>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</si>
  <si>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</si>
  <si>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</si>
  <si>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</si>
  <si>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</si>
  <si>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</si>
  <si>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</si>
  <si>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</si>
  <si>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</si>
  <si>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</si>
  <si>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</si>
  <si>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</si>
  <si>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</si>
  <si>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</si>
  <si>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</si>
  <si>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</si>
  <si>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</si>
  <si>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</si>
  <si>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</si>
  <si>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</si>
  <si>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</si>
  <si>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</si>
  <si>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</si>
  <si>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</si>
  <si>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</si>
  <si>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</si>
  <si>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</si>
  <si>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</si>
  <si>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</si>
  <si>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</si>
  <si>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</si>
  <si>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</si>
  <si>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</si>
  <si>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</si>
  <si>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</si>
  <si>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</si>
  <si>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</si>
  <si>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</si>
  <si>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</si>
  <si>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</si>
  <si>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</si>
  <si>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</si>
  <si>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</si>
  <si>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</si>
  <si>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</si>
  <si>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</si>
  <si>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</si>
  <si>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</si>
  <si>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</si>
  <si>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</si>
  <si>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</si>
  <si>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</si>
  <si>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</si>
  <si>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</si>
  <si>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</si>
  <si>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</si>
  <si>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</si>
  <si>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</si>
  <si>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</si>
  <si>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</si>
  <si>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</si>
  <si>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</si>
  <si>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</si>
  <si>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</si>
  <si>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</si>
  <si>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</si>
  <si>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</si>
  <si>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</si>
  <si>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</si>
  <si>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</si>
  <si>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</si>
  <si>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</si>
  <si>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</si>
  <si>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</si>
  <si>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</si>
  <si>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</si>
  <si>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</si>
  <si>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</si>
  <si>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</si>
  <si>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</si>
  <si>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</si>
  <si>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</si>
  <si>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</si>
  <si>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</si>
  <si>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</si>
  <si>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</si>
  <si>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</si>
  <si>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</si>
  <si>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</si>
  <si>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</si>
  <si>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</si>
  <si>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</si>
  <si>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</si>
  <si>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</si>
  <si>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</si>
  <si>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</si>
  <si>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</si>
  <si>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</si>
  <si>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</si>
  <si>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</si>
  <si>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</si>
  <si>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</si>
  <si>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</si>
  <si>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</si>
  <si>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</si>
  <si>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</si>
  <si>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</si>
  <si>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</si>
  <si>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</si>
  <si>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</si>
  <si>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</si>
  <si>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</si>
  <si>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</si>
  <si>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</si>
  <si>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</si>
  <si>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</si>
  <si>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</si>
  <si>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</si>
  <si>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</si>
  <si>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</si>
  <si>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</si>
  <si>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</si>
  <si>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</si>
  <si>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</si>
  <si>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</si>
  <si>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</si>
  <si>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</si>
  <si>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</si>
  <si>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</si>
  <si>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</si>
  <si>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</si>
  <si>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</si>
  <si>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</si>
  <si>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</si>
  <si>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</si>
  <si>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</si>
  <si>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</si>
  <si>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</si>
  <si>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</si>
  <si>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</si>
  <si>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</si>
  <si>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</si>
  <si>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</si>
  <si>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</si>
  <si>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</si>
  <si>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</si>
  <si>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</si>
  <si>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</si>
  <si>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</si>
  <si>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</si>
  <si>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</si>
  <si>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</si>
  <si>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</si>
  <si>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</si>
  <si>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</si>
  <si>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</si>
  <si>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</si>
  <si>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</si>
  <si>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</si>
  <si>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</si>
  <si>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</si>
  <si>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</si>
  <si>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</si>
  <si>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</si>
  <si>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</si>
  <si>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</si>
  <si>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</si>
  <si>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</si>
  <si>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</si>
  <si>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</si>
  <si>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</si>
  <si>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</si>
  <si>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</si>
  <si>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</si>
  <si>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</si>
  <si>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</si>
  <si>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</si>
  <si>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</si>
  <si>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</si>
  <si>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</si>
  <si>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</si>
  <si>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</si>
  <si>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</si>
  <si>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</si>
  <si>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</si>
  <si>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</si>
  <si>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</si>
  <si>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</si>
  <si>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</si>
  <si>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</si>
  <si>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</si>
  <si>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</si>
  <si>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</si>
  <si>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</si>
  <si>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</si>
  <si>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</si>
  <si>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</si>
  <si>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</si>
  <si>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</si>
  <si>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</si>
  <si>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</si>
  <si>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</si>
  <si>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</si>
  <si>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</si>
  <si>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</si>
  <si>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</si>
  <si>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</si>
  <si>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</si>
  <si>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</si>
  <si>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</si>
  <si>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</si>
  <si>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</si>
  <si>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</si>
  <si>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</si>
  <si>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</si>
  <si>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</si>
  <si>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</si>
  <si>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</si>
  <si>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</si>
  <si>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</si>
  <si>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</si>
  <si>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</si>
  <si>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</si>
  <si>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</si>
  <si>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</si>
  <si>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</si>
  <si>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</si>
  <si>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</si>
  <si>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</si>
  <si>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</si>
  <si>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</si>
  <si>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</si>
  <si>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</si>
  <si>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</si>
  <si>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</si>
  <si>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</si>
  <si>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</si>
  <si>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</si>
  <si>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</si>
  <si>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</si>
  <si>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</si>
  <si>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</si>
  <si>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</si>
  <si>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</si>
  <si>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</si>
  <si>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</si>
  <si>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</si>
  <si>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</si>
  <si>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</si>
  <si>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</si>
  <si>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</si>
  <si>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</si>
  <si>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</si>
  <si>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</si>
  <si>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</si>
  <si>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</si>
  <si>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</si>
  <si>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</si>
  <si>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</si>
  <si>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</si>
  <si>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</si>
  <si>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</si>
  <si>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</si>
  <si>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</si>
  <si>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</si>
  <si>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</si>
  <si>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</si>
  <si>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</si>
  <si>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</si>
  <si>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</si>
  <si>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</si>
  <si>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</si>
  <si>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</si>
  <si>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</si>
  <si>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</si>
  <si>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</si>
  <si>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</si>
  <si>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</si>
  <si>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</si>
  <si>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</si>
  <si>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</si>
  <si>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</si>
  <si>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</si>
  <si>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</si>
  <si>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</si>
  <si>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</si>
  <si>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</si>
  <si>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</si>
  <si>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</si>
  <si>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</si>
  <si>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</si>
  <si>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</si>
  <si>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</si>
  <si>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</si>
  <si>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</si>
  <si>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</si>
  <si>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</si>
  <si>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</si>
  <si>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</si>
  <si>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</si>
  <si>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</si>
  <si>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</si>
  <si>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</si>
  <si>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</si>
  <si>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</si>
  <si>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</si>
  <si>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</si>
  <si>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</si>
  <si>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</si>
  <si>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</si>
  <si>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</si>
  <si>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</si>
  <si>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</si>
  <si>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</si>
  <si>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</si>
  <si>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</si>
  <si>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</si>
  <si>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</si>
  <si>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</si>
  <si>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</si>
  <si>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</si>
  <si>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</si>
  <si>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</si>
  <si>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</si>
  <si>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</si>
  <si>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</si>
  <si>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</si>
  <si>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</si>
  <si>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</si>
  <si>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</si>
  <si>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</si>
  <si>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</si>
  <si>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</si>
  <si>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</si>
  <si>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</si>
  <si>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</si>
  <si>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</si>
  <si>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</si>
  <si>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</si>
  <si>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</si>
  <si>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</si>
  <si>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</si>
  <si>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</si>
  <si>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</si>
  <si>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</si>
  <si>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</si>
  <si>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</si>
  <si>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</si>
  <si>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</si>
  <si>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</si>
  <si>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</si>
  <si>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</si>
  <si>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</si>
  <si>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</si>
  <si>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</si>
  <si>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</si>
  <si>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</si>
  <si>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</si>
  <si>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</si>
  <si>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</si>
  <si>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</si>
  <si>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</si>
  <si>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</si>
  <si>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</si>
  <si>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</si>
  <si>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</si>
  <si>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</si>
  <si>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</si>
  <si>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</si>
  <si>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</si>
  <si>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</si>
  <si>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</si>
  <si>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</si>
  <si>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</si>
  <si>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</si>
  <si>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</si>
  <si>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</si>
  <si>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</si>
  <si>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</si>
  <si>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</si>
  <si>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</si>
  <si>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</si>
  <si>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</si>
  <si>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</si>
  <si>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</si>
  <si>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</si>
  <si>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</si>
  <si>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</si>
  <si>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</si>
  <si>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</si>
  <si>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</si>
  <si>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</si>
  <si>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</si>
  <si>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</si>
  <si>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</si>
  <si>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</si>
  <si>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</si>
  <si>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</si>
  <si>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</si>
  <si>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</si>
  <si>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</si>
  <si>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</si>
  <si>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</si>
  <si>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</si>
  <si>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</si>
  <si>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</si>
  <si>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</si>
  <si>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</si>
  <si>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</si>
  <si>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</si>
  <si>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</si>
  <si>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</si>
  <si>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</si>
  <si>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</si>
  <si>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</si>
  <si>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</si>
  <si>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</si>
  <si>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</si>
  <si>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</si>
  <si>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</si>
  <si>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</si>
  <si>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</si>
  <si>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</si>
  <si>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</si>
  <si>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</si>
  <si>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</si>
  <si>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</si>
  <si>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</si>
  <si>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</si>
  <si>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</si>
  <si>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</si>
  <si>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</si>
  <si>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</si>
  <si>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</si>
  <si>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</si>
  <si>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</si>
  <si>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</si>
  <si>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</si>
  <si>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</si>
  <si>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</si>
  <si>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</si>
  <si>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</si>
  <si>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</si>
  <si>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</si>
  <si>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</si>
  <si>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</si>
  <si>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</si>
  <si>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</si>
  <si>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</si>
  <si>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</si>
  <si>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</si>
  <si>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</si>
  <si>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</si>
  <si>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</si>
  <si>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</si>
  <si>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</si>
  <si>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</si>
  <si>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</si>
  <si>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</si>
  <si>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</si>
  <si>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</si>
  <si>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</si>
  <si>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</si>
  <si>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</si>
  <si>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</si>
  <si>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</si>
  <si>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</si>
  <si>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</si>
  <si>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</si>
  <si>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</si>
  <si>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</si>
  <si>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</si>
  <si>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</si>
  <si>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</si>
  <si>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</si>
  <si>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</si>
  <si>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</si>
  <si>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</si>
  <si>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</si>
  <si>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</si>
  <si>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</si>
  <si>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</si>
  <si>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</si>
  <si>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</si>
  <si>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</si>
  <si>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</si>
  <si>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</si>
  <si>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</si>
  <si>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</si>
  <si>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</si>
  <si>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</si>
  <si>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</si>
  <si>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</si>
  <si>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</si>
  <si>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</si>
  <si>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</si>
  <si>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</si>
  <si>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</si>
  <si>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</si>
  <si>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</si>
  <si>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</si>
  <si>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</si>
  <si>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</si>
  <si>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</si>
  <si>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</si>
  <si>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</si>
  <si>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</si>
  <si>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</si>
  <si>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</si>
  <si>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</si>
  <si>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</si>
  <si>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</si>
  <si>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</si>
  <si>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</si>
  <si>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</si>
  <si>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</si>
  <si>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</si>
  <si>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</si>
  <si>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</si>
  <si>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</si>
  <si>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</si>
  <si>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</si>
  <si>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</si>
  <si>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</si>
  <si>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</si>
  <si>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</si>
  <si>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</si>
  <si>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</si>
  <si>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</si>
  <si>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</si>
  <si>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</si>
  <si>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</si>
  <si>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</si>
  <si>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</si>
  <si>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</si>
  <si>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</si>
  <si>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</si>
  <si>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</si>
  <si>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</si>
  <si>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</si>
  <si>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</si>
  <si>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</si>
  <si>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</si>
  <si>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</si>
  <si>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</si>
  <si>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</si>
  <si>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</si>
  <si>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</si>
  <si>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</si>
  <si>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</si>
  <si>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</si>
  <si>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</si>
  <si>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</si>
  <si>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</si>
  <si>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</si>
  <si>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</si>
  <si>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</si>
  <si>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</si>
  <si>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</si>
  <si>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</si>
  <si>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</si>
  <si>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</si>
  <si>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</si>
  <si>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</si>
  <si>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</si>
  <si>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</si>
  <si>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</si>
  <si>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</si>
  <si>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</si>
  <si>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</si>
  <si>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</si>
  <si>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</si>
  <si>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</si>
  <si>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</si>
  <si>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</si>
  <si>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</si>
  <si>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</si>
  <si>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</si>
  <si>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</si>
  <si>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</si>
  <si>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</si>
  <si>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</si>
  <si>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</si>
  <si>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</si>
  <si>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</si>
  <si>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</si>
  <si>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</si>
  <si>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</si>
  <si>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</si>
  <si>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</si>
  <si>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</si>
  <si>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</si>
  <si>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</si>
  <si>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</si>
  <si>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</si>
  <si>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</si>
  <si>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</si>
  <si>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</si>
  <si>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</si>
  <si>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</si>
  <si>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</si>
  <si>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</si>
  <si>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</si>
  <si>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</si>
  <si>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</si>
  <si>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</si>
  <si>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</si>
  <si>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</si>
  <si>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</si>
  <si>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</si>
  <si>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</si>
  <si>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</si>
  <si>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</si>
  <si>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</si>
  <si>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</si>
  <si>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</si>
  <si>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</si>
  <si>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</si>
  <si>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</si>
  <si>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</si>
  <si>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</si>
  <si>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</si>
  <si>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</si>
  <si>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</si>
  <si>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</si>
  <si>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</si>
  <si>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</si>
  <si>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</si>
  <si>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</si>
  <si>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</si>
  <si>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</si>
  <si>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</si>
  <si>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</si>
  <si>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</si>
  <si>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</si>
  <si>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</si>
  <si>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</si>
  <si>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</si>
  <si>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</si>
  <si>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</si>
  <si>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</si>
  <si>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</si>
  <si>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</si>
  <si>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</si>
  <si>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</si>
  <si>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</si>
  <si>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</si>
  <si>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</si>
  <si>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</si>
  <si>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</si>
  <si>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</si>
  <si>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</si>
  <si>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</si>
  <si>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</si>
  <si>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</si>
  <si>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</si>
  <si>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</si>
  <si>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</si>
  <si>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</si>
  <si>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</si>
  <si>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</si>
  <si>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</si>
  <si>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</si>
  <si>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</si>
  <si>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</si>
  <si>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</si>
  <si>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</si>
  <si>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</si>
  <si>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</si>
  <si>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</si>
  <si>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</si>
  <si>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</si>
  <si>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</si>
  <si>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</si>
  <si>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</si>
  <si>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</si>
  <si>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</si>
  <si>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</si>
  <si>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</si>
  <si>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</si>
  <si>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</si>
  <si>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</si>
  <si>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</si>
  <si>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</si>
  <si>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</si>
  <si>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</si>
  <si>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</si>
  <si>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</si>
  <si>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</si>
  <si>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</si>
  <si>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</si>
  <si>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</si>
  <si>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</si>
  <si>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</si>
  <si>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</si>
  <si>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</si>
  <si>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</si>
  <si>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</si>
  <si>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</si>
  <si>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</si>
  <si>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</si>
  <si>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</si>
  <si>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</si>
  <si>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</si>
  <si>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</si>
  <si>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</si>
  <si>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</si>
  <si>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</si>
  <si>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</si>
  <si>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</si>
  <si>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</si>
  <si>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</si>
  <si>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</si>
  <si>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</si>
  <si>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</si>
  <si>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</si>
  <si>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</si>
  <si>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</si>
  <si>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</si>
  <si>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</si>
  <si>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</si>
  <si>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</si>
  <si>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</si>
  <si>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</si>
  <si>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</si>
  <si>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</si>
  <si>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</si>
  <si>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</si>
  <si>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</si>
  <si>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</si>
  <si>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</si>
  <si>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</si>
  <si>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</si>
  <si>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</si>
  <si>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</si>
  <si>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</si>
  <si>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</si>
  <si>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</si>
  <si>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</si>
  <si>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</si>
  <si>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</si>
  <si>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</si>
  <si>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</si>
  <si>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</si>
  <si>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</si>
  <si>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</si>
  <si>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</si>
  <si>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</si>
  <si>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</si>
  <si>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</si>
  <si>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</si>
  <si>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</si>
  <si>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</si>
  <si>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</si>
  <si>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</si>
  <si>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</si>
  <si>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</si>
  <si>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</si>
  <si>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</si>
  <si>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</si>
  <si>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</si>
  <si>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</si>
  <si>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</si>
  <si>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</si>
  <si>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</si>
  <si>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</si>
  <si>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</si>
  <si>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</si>
  <si>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</si>
  <si>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</si>
  <si>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</si>
  <si>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</si>
  <si>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</si>
  <si>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</si>
  <si>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</si>
  <si>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</si>
  <si>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</si>
  <si>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</si>
  <si>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</si>
  <si>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</si>
  <si>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</si>
  <si>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</si>
  <si>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</si>
  <si>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</si>
  <si>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</si>
  <si>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</si>
  <si>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</si>
  <si>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</si>
  <si>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</si>
  <si>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</si>
  <si>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</si>
  <si>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</si>
  <si>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</si>
  <si>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</si>
  <si>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</si>
  <si>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</si>
  <si>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</si>
  <si>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</si>
  <si>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</si>
  <si>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</si>
  <si>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</si>
  <si>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</si>
  <si>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</si>
  <si>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</si>
  <si>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</si>
  <si>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</si>
  <si>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</si>
  <si>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</si>
  <si>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</si>
  <si>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</si>
  <si>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</si>
  <si>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</si>
  <si>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</si>
  <si>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</si>
  <si>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</si>
  <si>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</si>
  <si>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</si>
  <si>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</si>
  <si>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</si>
  <si>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</si>
  <si>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</si>
  <si>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</si>
  <si>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</si>
  <si>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</si>
  <si>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</si>
  <si>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</si>
  <si>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</si>
  <si>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</si>
  <si>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</si>
  <si>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</si>
  <si>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</si>
  <si>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</si>
  <si>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</si>
  <si>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</si>
  <si>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</si>
  <si>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</si>
  <si>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</si>
  <si>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</si>
  <si>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</si>
  <si>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</si>
  <si>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</si>
  <si>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</si>
  <si>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</si>
  <si>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</si>
  <si>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</si>
  <si>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</si>
  <si>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</si>
  <si>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</si>
  <si>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</si>
  <si>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</si>
  <si>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</si>
  <si>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</si>
  <si>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</si>
  <si>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</si>
  <si>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</si>
  <si>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</si>
  <si>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</si>
  <si>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</si>
  <si>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</si>
  <si>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</si>
  <si>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</si>
  <si>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</si>
  <si>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</si>
  <si>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</si>
  <si>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</si>
  <si>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</si>
  <si>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</si>
  <si>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</si>
  <si>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</si>
  <si>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</si>
  <si>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</si>
  <si>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</si>
  <si>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</si>
  <si>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</si>
  <si>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</si>
  <si>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</si>
  <si>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</si>
  <si>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</si>
  <si>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</si>
  <si>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</si>
  <si>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</si>
  <si>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</si>
  <si>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</si>
  <si>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</si>
  <si>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</si>
  <si>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</si>
  <si>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</si>
  <si>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</si>
  <si>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</si>
  <si>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</si>
  <si>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</si>
  <si>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</si>
  <si>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</si>
  <si>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</si>
  <si>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</si>
  <si>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</si>
  <si>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</si>
  <si>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</si>
  <si>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</si>
  <si>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</si>
  <si>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</si>
  <si>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</si>
  <si>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</si>
  <si>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</si>
  <si>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</si>
  <si>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</si>
  <si>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</si>
  <si>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</si>
  <si>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</si>
  <si>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</si>
  <si>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</si>
  <si>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</si>
  <si>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</si>
  <si>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</si>
  <si>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</si>
  <si>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</si>
  <si>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</si>
  <si>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</si>
  <si>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</si>
  <si>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</si>
  <si>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</si>
  <si>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</si>
  <si>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</si>
  <si>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</si>
  <si>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</si>
  <si>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</si>
  <si>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</si>
  <si>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</si>
  <si>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</si>
  <si>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</si>
  <si>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</si>
  <si>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</si>
  <si>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</si>
  <si>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</si>
  <si>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</si>
  <si>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</si>
  <si>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</si>
  <si>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</si>
  <si>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</si>
  <si>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</si>
  <si>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</si>
  <si>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</si>
  <si>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</si>
  <si>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</si>
  <si>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</si>
  <si>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</si>
  <si>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</si>
  <si>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</si>
  <si>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</si>
  <si>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</si>
  <si>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</si>
  <si>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</si>
  <si>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</si>
  <si>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</si>
  <si>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</si>
  <si>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</si>
  <si>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</si>
  <si>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</si>
  <si>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</si>
  <si>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</si>
  <si>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</si>
  <si>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</si>
  <si>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</si>
  <si>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</si>
  <si>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</si>
  <si>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</si>
  <si>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</si>
  <si>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</si>
  <si>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</si>
  <si>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</si>
  <si>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</si>
  <si>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</si>
  <si>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</si>
  <si>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</si>
  <si>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</si>
  <si>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</si>
  <si>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</si>
  <si>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</si>
  <si>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</si>
  <si>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</si>
  <si>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</si>
  <si>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</si>
  <si>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</si>
  <si>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</si>
  <si>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</si>
  <si>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</si>
  <si>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</si>
  <si>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</si>
  <si>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</si>
  <si>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</si>
  <si>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</si>
  <si>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</si>
  <si>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</si>
  <si>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</si>
  <si>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</si>
  <si>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</si>
  <si>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</si>
  <si>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</si>
  <si>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</si>
  <si>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</si>
  <si>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</si>
  <si>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</si>
  <si>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</si>
  <si>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</si>
  <si>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</si>
  <si>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</si>
  <si>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</si>
  <si>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</si>
  <si>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</si>
  <si>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</si>
  <si>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</si>
  <si>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</si>
  <si>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</si>
  <si>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</si>
  <si>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</si>
  <si>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</si>
  <si>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</si>
  <si>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</si>
  <si>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</si>
  <si>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</si>
  <si>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</si>
  <si>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</si>
  <si>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</si>
  <si>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</si>
  <si>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</si>
  <si>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</si>
  <si>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</si>
  <si>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</si>
  <si>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</si>
  <si>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</si>
  <si>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</si>
  <si>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</si>
  <si>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</si>
  <si>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</si>
  <si>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</si>
  <si>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</si>
  <si>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</si>
  <si>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</si>
  <si>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</si>
  <si>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</si>
  <si>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</si>
  <si>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</si>
  <si>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</si>
  <si>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</si>
  <si>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</si>
  <si>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</si>
  <si>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</si>
  <si>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</si>
  <si>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</si>
  <si>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</si>
  <si>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</si>
  <si>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</si>
  <si>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</si>
  <si>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</si>
  <si>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</si>
  <si>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</si>
  <si>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</si>
  <si>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</si>
  <si>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</si>
  <si>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</si>
  <si>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</si>
  <si>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</si>
  <si>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</si>
  <si>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</si>
  <si>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</si>
  <si>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</si>
  <si>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</si>
  <si>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</si>
  <si>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</si>
  <si>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</si>
  <si>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</si>
  <si>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</si>
  <si>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</si>
  <si>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</si>
  <si>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</si>
  <si>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</si>
  <si>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</si>
  <si>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</si>
  <si>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</si>
  <si>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</si>
  <si>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</si>
  <si>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</si>
  <si>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</si>
  <si>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</si>
  <si>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</si>
  <si>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</si>
  <si>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</si>
  <si>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</si>
  <si>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</si>
  <si>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</si>
  <si>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</si>
  <si>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</si>
  <si>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</si>
  <si>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</si>
  <si>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</si>
  <si>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</si>
  <si>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</si>
  <si>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</si>
  <si>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</si>
  <si>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</si>
  <si>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</si>
  <si>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</si>
  <si>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</si>
  <si>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</si>
  <si>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</si>
  <si>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</si>
  <si>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</si>
  <si>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</si>
  <si>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</si>
  <si>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</si>
  <si>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</si>
  <si>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</si>
  <si>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</si>
  <si>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</si>
  <si>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</si>
  <si>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</si>
  <si>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</si>
  <si>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</si>
  <si>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</si>
  <si>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</si>
  <si>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</si>
  <si>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</si>
  <si>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</si>
  <si>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</si>
  <si>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</si>
  <si>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</si>
  <si>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</si>
  <si>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</si>
  <si>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</si>
  <si>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</si>
  <si>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</si>
  <si>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</si>
  <si>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</si>
  <si>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</si>
  <si>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</si>
  <si>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</si>
  <si>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</si>
  <si>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</si>
  <si>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</si>
  <si>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</si>
  <si>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</si>
  <si>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</si>
  <si>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</si>
  <si>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</si>
  <si>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</si>
  <si>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</si>
  <si>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</si>
  <si>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</si>
  <si>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</si>
  <si>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</si>
  <si>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</si>
  <si>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</si>
  <si>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</si>
  <si>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</si>
  <si>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</si>
  <si>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</si>
  <si>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</si>
  <si>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</si>
  <si>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</si>
  <si>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</si>
  <si>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</si>
  <si>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</si>
  <si>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</si>
  <si>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</si>
  <si>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</si>
  <si>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</si>
  <si>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</si>
  <si>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</si>
  <si>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</si>
  <si>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</si>
  <si>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</si>
  <si>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</si>
  <si>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</si>
  <si>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</si>
  <si>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</si>
  <si>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</si>
  <si>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</si>
  <si>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</si>
  <si>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</si>
  <si>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</si>
  <si>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</si>
  <si>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</si>
  <si>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</si>
  <si>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</si>
  <si>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</si>
  <si>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</si>
  <si>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</si>
  <si>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</si>
  <si>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</si>
  <si>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</si>
  <si>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</si>
  <si>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</si>
  <si>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</si>
  <si>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</si>
  <si>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</si>
  <si>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</si>
  <si>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</si>
  <si>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</si>
  <si>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</si>
  <si>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</si>
  <si>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</si>
  <si>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</si>
  <si>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</si>
  <si>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</si>
  <si>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</si>
  <si>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</si>
  <si>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</si>
  <si>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</si>
  <si>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</si>
  <si>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</si>
  <si>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</si>
  <si>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</si>
  <si>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</si>
  <si>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</si>
  <si>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</si>
  <si>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</si>
  <si>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</si>
  <si>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</si>
  <si>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</si>
  <si>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</si>
  <si>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</si>
  <si>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</si>
  <si>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</si>
  <si>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</si>
  <si>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</si>
  <si>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</si>
  <si>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</si>
  <si>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</si>
  <si>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</si>
  <si>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</si>
  <si>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</si>
  <si>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</si>
  <si>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</si>
  <si>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</si>
  <si>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</si>
  <si>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</si>
  <si>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</si>
  <si>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</si>
  <si>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</si>
  <si>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</si>
  <si>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</si>
  <si>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</si>
  <si>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</si>
  <si>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</si>
  <si>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</si>
  <si>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</si>
  <si>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</si>
  <si>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</si>
  <si>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</si>
  <si>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</si>
  <si>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</si>
  <si>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</si>
  <si>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</si>
  <si>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</si>
  <si>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</si>
  <si>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</si>
  <si>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</si>
  <si>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</si>
  <si>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</si>
  <si>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</si>
  <si>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</si>
  <si>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</si>
  <si>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</si>
  <si>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</si>
  <si>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</si>
  <si>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</si>
  <si>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</si>
  <si>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</si>
  <si>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</si>
  <si>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</si>
  <si>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</si>
  <si>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</si>
  <si>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</si>
  <si>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</si>
  <si>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</si>
  <si>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</si>
  <si>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</si>
  <si>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</si>
  <si>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</si>
  <si>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</si>
  <si>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</si>
  <si>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</si>
  <si>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</si>
  <si>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</si>
  <si>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</si>
  <si>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</si>
  <si>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</si>
  <si>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</si>
  <si>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</si>
  <si>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</si>
  <si>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</si>
  <si>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</si>
  <si>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</si>
  <si>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</si>
  <si>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</si>
  <si>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</si>
  <si>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</si>
  <si>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</si>
  <si>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</si>
  <si>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</si>
  <si>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</si>
  <si>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</si>
  <si>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</si>
  <si>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</si>
  <si>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</si>
  <si>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</si>
  <si>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</si>
  <si>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</si>
  <si>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</si>
  <si>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</si>
  <si>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</si>
  <si>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</si>
  <si>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</si>
  <si>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</si>
  <si>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</si>
  <si>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</si>
  <si>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</si>
  <si>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</si>
  <si>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</si>
  <si>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</si>
  <si>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</si>
  <si>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</si>
  <si>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</si>
  <si>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</si>
  <si>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</si>
  <si>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</si>
  <si>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</si>
  <si>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</si>
  <si>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</si>
  <si>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</si>
  <si>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</si>
  <si>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</si>
  <si>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</si>
  <si>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</si>
  <si>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</si>
  <si>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</si>
  <si>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</si>
  <si>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</si>
  <si>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</si>
  <si>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</si>
  <si>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</si>
  <si>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</si>
  <si>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</si>
  <si>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</si>
  <si>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</si>
  <si>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</si>
  <si>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</si>
  <si>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</si>
  <si>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</si>
  <si>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</si>
  <si>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</si>
  <si>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</si>
  <si>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</si>
  <si>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</si>
  <si>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</si>
  <si>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</si>
  <si>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</si>
  <si>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</si>
  <si>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</si>
  <si>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</si>
  <si>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</si>
  <si>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</si>
  <si>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</si>
  <si>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</si>
  <si>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</si>
  <si>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</si>
  <si>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</si>
  <si>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</si>
  <si>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</si>
  <si>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</si>
  <si>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</si>
  <si>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</si>
  <si>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</si>
  <si>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</si>
  <si>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</si>
  <si>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</si>
  <si>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</si>
  <si>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</si>
  <si>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</si>
  <si>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</si>
  <si>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</si>
  <si>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</si>
  <si>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</si>
  <si>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</si>
  <si>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</si>
  <si>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</si>
  <si>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</si>
  <si>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</si>
  <si>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</si>
  <si>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</si>
  <si>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</si>
  <si>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</si>
  <si>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</si>
  <si>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</si>
  <si>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</si>
  <si>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</si>
  <si>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</si>
  <si>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</si>
  <si>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</si>
  <si>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</si>
  <si>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</si>
  <si>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</si>
  <si>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</si>
  <si>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</si>
  <si>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</si>
  <si>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</si>
  <si>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</si>
  <si>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</si>
  <si>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</si>
  <si>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</si>
  <si>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</si>
  <si>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</si>
  <si>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</si>
  <si>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</si>
  <si>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</si>
  <si>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</si>
  <si>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</si>
  <si>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</si>
  <si>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</si>
  <si>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</si>
  <si>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</si>
  <si>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</si>
  <si>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</si>
  <si>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</si>
  <si>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</si>
  <si>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</si>
  <si>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</si>
  <si>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</si>
  <si>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</si>
  <si>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</si>
  <si>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</si>
  <si>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</si>
  <si>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</si>
  <si>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</si>
  <si>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</si>
  <si>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</si>
  <si>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</si>
  <si>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</si>
  <si>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</si>
  <si>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</si>
  <si>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</si>
  <si>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</si>
  <si>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</si>
  <si>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</si>
  <si>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</si>
  <si>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</si>
  <si>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</si>
  <si>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</si>
  <si>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</si>
  <si>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</si>
  <si>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</si>
  <si>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</si>
  <si>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</si>
  <si>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</si>
  <si>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</si>
  <si>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</si>
  <si>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</si>
  <si>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</si>
  <si>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</si>
  <si>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</si>
  <si>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</si>
  <si>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</si>
  <si>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</si>
  <si>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</si>
  <si>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</si>
  <si>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</si>
  <si>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</si>
  <si>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</si>
  <si>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</si>
  <si>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</si>
  <si>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</si>
  <si>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</si>
  <si>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</si>
  <si>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</si>
  <si>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</si>
  <si>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</si>
  <si>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</si>
  <si>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</si>
  <si>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</si>
  <si>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</si>
  <si>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</si>
  <si>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</si>
  <si>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</si>
  <si>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</si>
  <si>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</si>
  <si>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</si>
  <si>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</si>
  <si>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</si>
  <si>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</si>
  <si>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</si>
  <si>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</si>
  <si>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</si>
  <si>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</si>
  <si>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</si>
  <si>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</si>
  <si>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</si>
  <si>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</si>
  <si>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</si>
  <si>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</si>
  <si>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</si>
  <si>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</si>
  <si>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</si>
  <si>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</si>
  <si>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</si>
  <si>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</si>
  <si>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</si>
  <si>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</si>
  <si>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</si>
  <si>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</si>
  <si>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</si>
  <si>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</si>
  <si>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</si>
  <si>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</si>
  <si>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</si>
  <si>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</si>
  <si>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</si>
  <si>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</si>
  <si>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</si>
  <si>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</si>
  <si>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</si>
  <si>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</si>
  <si>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</si>
  <si>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</si>
  <si>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</si>
  <si>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</si>
  <si>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</si>
  <si>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</si>
  <si>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</si>
  <si>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</si>
  <si>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</si>
  <si>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</si>
  <si>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</si>
  <si>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</si>
  <si>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</si>
  <si>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</si>
  <si>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</si>
  <si>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</si>
  <si>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</si>
  <si>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</si>
  <si>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</si>
  <si>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</si>
  <si>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</si>
  <si>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</si>
  <si>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</si>
  <si>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</si>
  <si>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</si>
  <si>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</si>
  <si>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</si>
  <si>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</si>
  <si>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</si>
  <si>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</si>
  <si>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</si>
  <si>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</si>
  <si>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</si>
  <si>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</si>
  <si>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</si>
  <si>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</si>
  <si>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</si>
  <si>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</si>
  <si>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</si>
  <si>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</si>
  <si>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</si>
  <si>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</si>
  <si>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</si>
  <si>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</si>
  <si>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</si>
  <si>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</si>
  <si>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</si>
  <si>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</si>
  <si>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</si>
  <si>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</si>
  <si>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</si>
  <si>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</si>
  <si>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</si>
  <si>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</si>
  <si>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</si>
  <si>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</si>
  <si>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</si>
  <si>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</si>
  <si>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</si>
  <si>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</si>
  <si>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</si>
  <si>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</si>
  <si>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</si>
  <si>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</si>
  <si>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</si>
  <si>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</si>
  <si>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</si>
  <si>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</si>
  <si>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</si>
  <si>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</si>
  <si>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</si>
  <si>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</si>
  <si>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</si>
  <si>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</si>
  <si>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</si>
  <si>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</si>
  <si>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</si>
  <si>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</si>
  <si>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</si>
  <si>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</si>
  <si>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</si>
  <si>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</si>
  <si>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</si>
  <si>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</si>
  <si>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</si>
  <si>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</si>
  <si>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</si>
  <si>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</si>
  <si>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</si>
  <si>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</si>
  <si>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</si>
  <si>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</si>
  <si>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</si>
  <si>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</si>
  <si>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</si>
  <si>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</si>
  <si>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</si>
  <si>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</si>
  <si>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</si>
  <si>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</si>
  <si>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</si>
  <si>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</si>
  <si>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</si>
  <si>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</si>
  <si>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</si>
  <si>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</si>
  <si>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</si>
  <si>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</si>
  <si>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</si>
  <si>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</si>
  <si>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</si>
  <si>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</si>
  <si>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</si>
  <si>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</si>
  <si>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</si>
  <si>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</si>
  <si>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</si>
  <si>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</si>
  <si>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</si>
  <si>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</si>
  <si>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</si>
  <si>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</si>
  <si>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</si>
  <si>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</si>
  <si>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</si>
  <si>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</si>
  <si>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</si>
  <si>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</si>
  <si>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</si>
  <si>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</si>
  <si>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</si>
  <si>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</si>
  <si>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</si>
  <si>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</si>
  <si>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</si>
  <si>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</si>
  <si>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</si>
  <si>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</si>
  <si>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</si>
  <si>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</si>
  <si>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</si>
  <si>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</si>
  <si>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</si>
  <si>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</si>
  <si>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</si>
  <si>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</si>
  <si>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</si>
  <si>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</si>
  <si>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</si>
  <si>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</si>
  <si>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</si>
  <si>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</si>
  <si>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</si>
  <si>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</si>
  <si>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</si>
  <si>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</si>
  <si>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</si>
  <si>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</si>
  <si>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</si>
  <si>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</si>
  <si>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</si>
  <si>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</si>
  <si>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</si>
  <si>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</si>
  <si>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</si>
  <si>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</si>
  <si>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</si>
  <si>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</si>
  <si>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</si>
  <si>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</si>
  <si>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</si>
  <si>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</si>
  <si>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</si>
  <si>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</si>
  <si>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</si>
  <si>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</si>
  <si>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</si>
  <si>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</si>
  <si>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</si>
  <si>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</si>
  <si>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</si>
  <si>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</si>
  <si>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</si>
  <si>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</si>
  <si>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</si>
  <si>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</si>
  <si>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</si>
  <si>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</si>
  <si>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</si>
  <si>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</si>
  <si>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</si>
  <si>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</si>
  <si>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</si>
  <si>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</si>
  <si>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</si>
  <si>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</si>
  <si>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</si>
  <si>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</si>
  <si>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</si>
  <si>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</si>
  <si>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</si>
  <si>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</si>
  <si>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</si>
  <si>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</si>
  <si>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</si>
  <si>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</si>
  <si>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</si>
  <si>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</si>
  <si>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</si>
  <si>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</si>
  <si>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</si>
  <si>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</si>
  <si>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</si>
  <si>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</si>
  <si>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</si>
  <si>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</si>
  <si>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</si>
  <si>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</si>
  <si>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</si>
  <si>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</si>
  <si>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</si>
  <si>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</si>
  <si>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</si>
  <si>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</si>
  <si>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</si>
  <si>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</si>
  <si>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</si>
  <si>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</si>
  <si>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</si>
  <si>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</si>
  <si>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</si>
  <si>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</si>
  <si>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</si>
  <si>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</si>
  <si>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</si>
  <si>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</si>
  <si>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</si>
  <si>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</si>
  <si>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</si>
  <si>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</si>
  <si>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</si>
  <si>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</si>
  <si>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</si>
  <si>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</si>
  <si>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</si>
  <si>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</si>
  <si>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</si>
  <si>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</si>
  <si>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</si>
  <si>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</si>
  <si>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</si>
  <si>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</si>
  <si>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</si>
  <si>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</si>
  <si>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</si>
  <si>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</si>
  <si>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</si>
  <si>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</si>
  <si>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</si>
  <si>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</si>
  <si>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</si>
  <si>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</si>
  <si>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</si>
  <si>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</si>
  <si>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</si>
  <si>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</si>
  <si>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</si>
  <si>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</si>
  <si>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</si>
  <si>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</si>
  <si>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</si>
  <si>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</si>
  <si>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</si>
  <si>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</si>
  <si>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</si>
  <si>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</si>
  <si>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</si>
  <si>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</si>
  <si>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</si>
  <si>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</si>
  <si>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</si>
  <si>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</si>
  <si>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</si>
  <si>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</si>
  <si>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</si>
  <si>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</si>
  <si>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</si>
  <si>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</si>
  <si>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</si>
  <si>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</si>
  <si>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</si>
  <si>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</si>
  <si>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</si>
  <si>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</si>
  <si>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</si>
  <si>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</si>
  <si>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</si>
  <si>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</si>
  <si>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</si>
  <si>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</si>
  <si>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</si>
  <si>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</si>
  <si>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</si>
  <si>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</si>
  <si>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</si>
  <si>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</si>
  <si>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</si>
  <si>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</si>
  <si>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</si>
  <si>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</si>
  <si>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</si>
  <si>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</si>
  <si>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</si>
  <si>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</si>
  <si>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</si>
  <si>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</si>
  <si>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</si>
  <si>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</si>
  <si>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</si>
  <si>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</si>
  <si>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</si>
  <si>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</si>
  <si>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</si>
  <si>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</si>
  <si>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</si>
  <si>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</si>
  <si>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</si>
  <si>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</si>
  <si>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</si>
  <si>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</si>
  <si>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</si>
  <si>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</si>
  <si>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</si>
  <si>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</si>
  <si>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</si>
  <si>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</si>
  <si>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</si>
  <si>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</si>
  <si>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</si>
  <si>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</si>
  <si>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</si>
  <si>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</si>
  <si>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</si>
  <si>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</si>
  <si>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</si>
  <si>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</si>
  <si>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</si>
  <si>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</si>
  <si>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</si>
  <si>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</si>
  <si>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</si>
  <si>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</si>
  <si>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</si>
  <si>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</si>
  <si>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</si>
  <si>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</si>
  <si>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</si>
  <si>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</si>
  <si>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</si>
  <si>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</si>
  <si>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</si>
  <si>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</si>
  <si>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</si>
  <si>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</si>
  <si>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</si>
  <si>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</si>
  <si>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</si>
  <si>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</si>
  <si>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</si>
  <si>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</si>
  <si>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</si>
  <si>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</si>
  <si>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</si>
  <si>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</si>
  <si>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</si>
  <si>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</si>
  <si>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</si>
  <si>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</si>
  <si>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</si>
  <si>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</si>
  <si>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</si>
  <si>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</si>
  <si>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</si>
  <si>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</si>
  <si>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</si>
  <si>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Loan Payable - Banterra Bank</t>
  </si>
  <si>
    <t>School Bus loans</t>
  </si>
  <si>
    <t>Pope</t>
  </si>
  <si>
    <t>125 State Highway 146W</t>
  </si>
  <si>
    <t>Golconda</t>
  </si>
  <si>
    <t>mbowman@popek12.org</t>
  </si>
  <si>
    <t>Ryan Fritch</t>
  </si>
  <si>
    <t>rfritch@popek12.org</t>
  </si>
  <si>
    <t>618-683-4011</t>
  </si>
  <si>
    <t>618-683-6181</t>
  </si>
  <si>
    <t>See below</t>
  </si>
  <si>
    <t>Ohio &amp; Wabash Valley Regional Vocational System</t>
  </si>
  <si>
    <t>Wabash &amp; Ohio Valley Special Education District</t>
  </si>
  <si>
    <t>O&amp;M - Plant Services - Trash</t>
  </si>
  <si>
    <t>Bulldog Systems, Inc.</t>
  </si>
  <si>
    <t>Donohoo, McCalley &amp; Associates</t>
  </si>
  <si>
    <t>ED - Fiscal Services - Support Services Business</t>
  </si>
  <si>
    <t>TORT - General Admin - Legal Services</t>
  </si>
  <si>
    <t>Guin Mundorf, LLC</t>
  </si>
  <si>
    <t>ED - Plant Services - Water</t>
  </si>
  <si>
    <t>Millstone Water District</t>
  </si>
  <si>
    <t>ED - Instruction - Software updates</t>
  </si>
  <si>
    <t>Powerschool</t>
  </si>
  <si>
    <t>TORT - General Admin - Liability Insurance</t>
  </si>
  <si>
    <t>PSIC</t>
  </si>
  <si>
    <t>Renaissance Learning</t>
  </si>
  <si>
    <t xml:space="preserve">ED - Instruction   </t>
  </si>
  <si>
    <t>Rides Mass Transit District</t>
  </si>
  <si>
    <t>TRAN - Pupil Transportation Services</t>
  </si>
  <si>
    <t>ED - Plant Services - Copier maintenance</t>
  </si>
  <si>
    <t>Tri State Business Equipment</t>
  </si>
  <si>
    <t>POPE COUNTY COMMUNITY UNIT SCHOOL DISTRICT #1</t>
  </si>
  <si>
    <t>ITEMIZATION DETAIL</t>
  </si>
  <si>
    <t>JUNE 30, 2020</t>
  </si>
  <si>
    <t>This page is provided for detailed itemizations as requested within the body of the basic financial statements.</t>
  </si>
  <si>
    <t>Audit Check; Balancing Schedule; Long Term Debt; item 8:  Audit check does not work for loans payable.</t>
  </si>
  <si>
    <t>page 6; ED; line 12; acct #190 - 7,459:  Net balance of miscellaneous payroll related accounts.</t>
  </si>
  <si>
    <t>page 11; ED; line 74; acct #1690 - 10,446:  Other food revenue; payments for Head Start meals.</t>
  </si>
  <si>
    <t>page 12; ED; line 107; acct #1999 - 11,471:  Other revenue; SIC dual credit.</t>
  </si>
  <si>
    <t>page 12; O&amp;M; line 107; acct #1999 - 3,955:  Other revenue; Khoury League grant.</t>
  </si>
  <si>
    <t>page 12; TRAN; line 107; acct #1999 - 23,395:  Insurance reimbursement 22,507; other revenue 888.</t>
  </si>
  <si>
    <t>page 13; ED; line 168; acct #3999 - 1,324:  State Library Grant 750; other revenue 574.</t>
  </si>
  <si>
    <t>page 14; ED; line 203; acct #4399 - 6,584:  Sig Acct grant.</t>
  </si>
  <si>
    <t xml:space="preserve">  Pope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</si>
</sst>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3" fillId="0" borderId="0" xfId="0" applyFont="1"/>
    <xf numFmtId="164" fontId="143" fillId="0" borderId="0" xfId="0" applyNumberFormat="1" applyFont="1"/>
    <xf numFmtId="0" fontId="143" fillId="0" borderId="0" xfId="0" applyFont="1" applyAlignment="1">
      <alignment horizontal="center"/>
    </xf>
    <xf numFmtId="0" fontId="143" fillId="0" borderId="0" xfId="0" quotePrefix="1" applyFont="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1463386</xdr:colOff>
          <xdr:row>0</xdr:row>
          <xdr:rowOff>77932</xdr:rowOff>
        </xdr:from>
        <xdr:to>
          <xdr:col>1</xdr:col>
          <xdr:colOff>2374322</xdr:colOff>
          <xdr:row>4</xdr:row>
          <xdr:rowOff>116032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2744932</xdr:colOff>
          <xdr:row>0</xdr:row>
          <xdr:rowOff>51954</xdr:rowOff>
        </xdr:from>
        <xdr:to>
          <xdr:col>1</xdr:col>
          <xdr:colOff>3655869</xdr:colOff>
          <xdr:row>4</xdr:row>
          <xdr:rowOff>90054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20" t="s">
        <v>400</v>
      </c>
      <c r="J1" s="2121"/>
      <c r="K1" s="2121"/>
      <c r="L1" s="2121"/>
      <c r="M1" s="2121"/>
      <c r="N1" s="2121"/>
      <c r="O1" s="2121"/>
      <c r="P1" s="2121"/>
      <c r="Q1" s="2121"/>
      <c r="R1" s="2121"/>
      <c r="S1" s="2121"/>
    </row>
    <row r="2" spans="1:32" ht="12" customHeight="1" x14ac:dyDescent="0.2">
      <c r="A2" s="1830" t="str">
        <f>"Due to ISBE on "</f>
        <v xml:space="preserve">Due to ISBE on </v>
      </c>
      <c r="B2" s="2042">
        <f>+'AFR20'!F4</f>
        <v>44151</v>
      </c>
      <c r="C2" s="2042"/>
      <c r="D2" s="2043"/>
      <c r="I2" s="2122" t="s">
        <v>2001</v>
      </c>
      <c r="J2" s="2121"/>
      <c r="K2" s="2121"/>
      <c r="L2" s="2121"/>
      <c r="M2" s="2121"/>
      <c r="N2" s="2121"/>
      <c r="O2" s="2121"/>
      <c r="P2" s="2121"/>
      <c r="Q2" s="2121"/>
      <c r="R2" s="2121"/>
      <c r="S2" s="2121"/>
    </row>
    <row r="3" spans="1:32" ht="12" customHeight="1" x14ac:dyDescent="0.2">
      <c r="A3" s="1833" t="str">
        <f>"SD/JA"&amp;MID('AFR20'!E2,3,2)</f>
        <v>SD/JA20</v>
      </c>
      <c r="B3" s="151"/>
      <c r="C3" s="151"/>
      <c r="D3" s="152"/>
      <c r="I3" s="2122" t="s">
        <v>52</v>
      </c>
      <c r="J3" s="2121"/>
      <c r="K3" s="2121"/>
      <c r="L3" s="2121"/>
      <c r="M3" s="2121"/>
      <c r="N3" s="2121"/>
      <c r="O3" s="2121"/>
      <c r="P3" s="2121"/>
      <c r="Q3" s="2121"/>
      <c r="R3" s="2121"/>
      <c r="S3" s="2121"/>
    </row>
    <row r="4" spans="1:32" ht="12" customHeight="1" x14ac:dyDescent="0.2">
      <c r="A4" s="37"/>
      <c r="I4" s="2122" t="s">
        <v>519</v>
      </c>
      <c r="J4" s="2121"/>
      <c r="K4" s="2121"/>
      <c r="L4" s="2121"/>
      <c r="M4" s="2121"/>
      <c r="N4" s="2121"/>
      <c r="O4" s="2121"/>
      <c r="P4" s="2121"/>
      <c r="Q4" s="2121"/>
      <c r="R4" s="2121"/>
      <c r="S4" s="2121"/>
    </row>
    <row r="5" spans="1:32" ht="14.1" customHeight="1" x14ac:dyDescent="0.2">
      <c r="B5" s="101" t="s">
        <v>2049</v>
      </c>
      <c r="C5" s="26" t="s">
        <v>902</v>
      </c>
      <c r="D5" s="81"/>
      <c r="E5" s="81"/>
      <c r="H5" s="38"/>
      <c r="I5" s="2129" t="s">
        <v>673</v>
      </c>
      <c r="J5" s="2073"/>
      <c r="K5" s="2073"/>
      <c r="L5" s="2073"/>
      <c r="M5" s="2073"/>
      <c r="N5" s="2073"/>
      <c r="O5" s="2073"/>
      <c r="P5" s="2073"/>
      <c r="Q5" s="2073"/>
      <c r="R5" s="2073"/>
      <c r="S5" s="2073"/>
      <c r="AF5" s="1826"/>
    </row>
    <row r="6" spans="1:32" ht="14.1" customHeight="1" x14ac:dyDescent="0.2">
      <c r="B6" s="101"/>
      <c r="C6" s="26" t="s">
        <v>903</v>
      </c>
      <c r="D6" s="81"/>
      <c r="E6" s="81"/>
      <c r="I6" s="2128" t="s">
        <v>875</v>
      </c>
      <c r="J6" s="2073"/>
      <c r="K6" s="2073"/>
      <c r="L6" s="2073"/>
      <c r="M6" s="2073"/>
      <c r="N6" s="2073"/>
      <c r="O6" s="2073"/>
      <c r="P6" s="2073"/>
      <c r="Q6" s="2073"/>
      <c r="R6" s="2073"/>
      <c r="S6" s="2073"/>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667</v>
      </c>
      <c r="J9" s="2126"/>
      <c r="K9" s="2126"/>
      <c r="L9" s="2126"/>
      <c r="M9" s="2126"/>
      <c r="N9" s="2126"/>
      <c r="O9" s="2126"/>
      <c r="P9" s="2126"/>
      <c r="Q9" s="2126"/>
      <c r="R9" s="2126"/>
      <c r="S9" s="2127"/>
      <c r="T9" s="2069" t="s">
        <v>528</v>
      </c>
      <c r="U9" s="2070"/>
      <c r="V9" s="2070"/>
      <c r="W9" s="2070"/>
      <c r="X9" s="2070"/>
      <c r="Y9" s="2070"/>
      <c r="Z9" s="2070"/>
      <c r="AA9" s="2071"/>
    </row>
    <row r="10" spans="1:32" ht="13.5" customHeight="1" x14ac:dyDescent="0.2">
      <c r="A10" s="2078" t="s">
        <v>668</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947</v>
      </c>
      <c r="B11" s="2082"/>
      <c r="C11" s="2082"/>
      <c r="D11" s="2082"/>
      <c r="E11" s="2082"/>
      <c r="F11" s="2082"/>
      <c r="G11" s="2082"/>
      <c r="H11" s="2083"/>
      <c r="I11" s="27"/>
      <c r="J11" s="71"/>
      <c r="K11" s="27"/>
      <c r="O11" s="144" t="s">
        <v>2049</v>
      </c>
      <c r="P11" s="97" t="s">
        <v>199</v>
      </c>
      <c r="Q11" s="30"/>
      <c r="R11" s="28"/>
      <c r="S11" s="27"/>
      <c r="T11" s="2075"/>
      <c r="U11" s="2076"/>
      <c r="V11" s="2076"/>
      <c r="W11" s="2076"/>
      <c r="X11" s="2076"/>
      <c r="Y11" s="2076"/>
      <c r="Z11" s="2076"/>
      <c r="AA11" s="2077"/>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89">
        <v>20076001026</v>
      </c>
      <c r="B13" s="2090"/>
      <c r="C13" s="2090"/>
      <c r="D13" s="2090"/>
      <c r="E13" s="2090"/>
      <c r="F13" s="2090"/>
      <c r="G13" s="2090"/>
      <c r="H13" s="2091"/>
      <c r="I13" s="31"/>
      <c r="J13" s="30"/>
      <c r="K13" s="28"/>
      <c r="L13" s="30"/>
      <c r="M13" s="30"/>
      <c r="N13" s="30"/>
      <c r="O13" s="30"/>
      <c r="P13" s="30"/>
      <c r="Q13" s="30"/>
      <c r="R13" s="30"/>
      <c r="S13" s="30"/>
      <c r="T13" s="2094" t="s">
        <v>2050</v>
      </c>
      <c r="U13" s="2095"/>
      <c r="V13" s="2095"/>
      <c r="W13" s="2095"/>
      <c r="X13" s="2095"/>
      <c r="Y13" s="2096"/>
      <c r="Z13" s="2096"/>
      <c r="AA13" s="2097"/>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7" t="s">
        <v>2061</v>
      </c>
      <c r="B15" s="2092"/>
      <c r="C15" s="2092"/>
      <c r="D15" s="2092"/>
      <c r="E15" s="2092"/>
      <c r="F15" s="2092"/>
      <c r="G15" s="2092"/>
      <c r="H15" s="2093"/>
      <c r="T15" s="2055" t="s">
        <v>2051</v>
      </c>
      <c r="U15" s="2056"/>
      <c r="V15" s="2056"/>
      <c r="W15" s="2056"/>
      <c r="X15" s="2056"/>
      <c r="Y15" s="2098"/>
      <c r="Z15" s="2098"/>
      <c r="AA15" s="209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7" t="s">
        <v>2102</v>
      </c>
      <c r="B17" s="2118"/>
      <c r="C17" s="2118"/>
      <c r="D17" s="2118"/>
      <c r="E17" s="2118"/>
      <c r="F17" s="2118"/>
      <c r="G17" s="2118"/>
      <c r="H17" s="2119"/>
      <c r="T17" s="2104" t="s">
        <v>2055</v>
      </c>
      <c r="U17" s="2105"/>
      <c r="V17" s="2105"/>
      <c r="W17" s="2105"/>
      <c r="X17" s="2105"/>
      <c r="Y17" s="2105"/>
      <c r="Z17" s="2105"/>
      <c r="AA17" s="2106"/>
    </row>
    <row r="18" spans="1:27" ht="13.5" customHeight="1" x14ac:dyDescent="0.2">
      <c r="A18" s="82" t="s">
        <v>525</v>
      </c>
      <c r="B18" s="73"/>
      <c r="C18" s="69"/>
      <c r="D18" s="73"/>
      <c r="E18" s="73"/>
      <c r="F18" s="73"/>
      <c r="G18" s="73"/>
      <c r="H18" s="53"/>
      <c r="I18" s="2114" t="s">
        <v>669</v>
      </c>
      <c r="J18" s="2115"/>
      <c r="K18" s="2115"/>
      <c r="L18" s="2115"/>
      <c r="M18" s="2115"/>
      <c r="N18" s="2115"/>
      <c r="O18" s="2115"/>
      <c r="P18" s="2115"/>
      <c r="Q18" s="2115"/>
      <c r="R18" s="2115"/>
      <c r="S18" s="2116"/>
      <c r="T18" s="82" t="s">
        <v>704</v>
      </c>
      <c r="U18" s="48"/>
      <c r="V18" s="69"/>
      <c r="W18" s="47"/>
      <c r="X18" s="82" t="s">
        <v>262</v>
      </c>
      <c r="Y18" s="78"/>
      <c r="Z18" s="154" t="s">
        <v>670</v>
      </c>
      <c r="AA18" s="44"/>
    </row>
    <row r="19" spans="1:27" ht="13.5" customHeight="1" x14ac:dyDescent="0.2">
      <c r="A19" s="2087" t="s">
        <v>2062</v>
      </c>
      <c r="B19" s="2088"/>
      <c r="C19" s="2088"/>
      <c r="D19" s="2088"/>
      <c r="E19" s="2088"/>
      <c r="F19" s="2088"/>
      <c r="G19" s="2088"/>
      <c r="H19" s="2086"/>
      <c r="I19" s="30"/>
      <c r="J19" s="96"/>
      <c r="K19" s="40"/>
      <c r="L19" s="38"/>
      <c r="M19" s="109" t="s">
        <v>310</v>
      </c>
      <c r="P19" s="27"/>
      <c r="Q19" s="27"/>
      <c r="R19" s="27"/>
      <c r="S19" s="31"/>
      <c r="T19" s="2087" t="s">
        <v>2052</v>
      </c>
      <c r="U19" s="2085"/>
      <c r="V19" s="2085"/>
      <c r="W19" s="2086"/>
      <c r="X19" s="2102" t="s">
        <v>2053</v>
      </c>
      <c r="Y19" s="2103"/>
      <c r="Z19" s="2100">
        <v>62095</v>
      </c>
      <c r="AA19" s="2101"/>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84" t="s">
        <v>2063</v>
      </c>
      <c r="B21" s="2085"/>
      <c r="C21" s="2085"/>
      <c r="D21" s="2085"/>
      <c r="E21" s="2085"/>
      <c r="F21" s="2085"/>
      <c r="G21" s="2085"/>
      <c r="H21" s="2086"/>
      <c r="I21" s="2110" t="s">
        <v>671</v>
      </c>
      <c r="J21" s="2073"/>
      <c r="K21" s="2073"/>
      <c r="L21" s="2073"/>
      <c r="M21" s="2073"/>
      <c r="N21" s="2073"/>
      <c r="O21" s="2073"/>
      <c r="P21" s="2073"/>
      <c r="Q21" s="2073"/>
      <c r="R21" s="2073"/>
      <c r="S21" s="2074"/>
      <c r="T21" s="2052" t="s">
        <v>2054</v>
      </c>
      <c r="U21" s="2053"/>
      <c r="V21" s="2053"/>
      <c r="W21" s="2053"/>
      <c r="X21" s="2066" t="s">
        <v>2056</v>
      </c>
      <c r="Y21" s="2067"/>
      <c r="Z21" s="2067"/>
      <c r="AA21" s="2068"/>
    </row>
    <row r="22" spans="1:27" ht="13.5" customHeight="1" x14ac:dyDescent="0.2">
      <c r="A22" s="84" t="s">
        <v>526</v>
      </c>
      <c r="B22" s="56"/>
      <c r="C22" s="56"/>
      <c r="D22" s="56"/>
      <c r="E22" s="56"/>
      <c r="F22" s="56"/>
      <c r="G22" s="56"/>
      <c r="H22" s="57"/>
      <c r="I22" s="2111" t="s">
        <v>1410</v>
      </c>
      <c r="J22" s="2112"/>
      <c r="K22" s="2112"/>
      <c r="L22" s="2112"/>
      <c r="M22" s="2112"/>
      <c r="N22" s="2112"/>
      <c r="O22" s="2112"/>
      <c r="P22" s="2112"/>
      <c r="Q22" s="2112"/>
      <c r="R22" s="2112"/>
      <c r="S22" s="2113"/>
      <c r="T22" s="82" t="s">
        <v>1497</v>
      </c>
      <c r="U22" s="48"/>
      <c r="V22" s="69"/>
      <c r="W22" s="48"/>
      <c r="X22" s="155" t="s">
        <v>1305</v>
      </c>
      <c r="Z22" s="43"/>
      <c r="AA22" s="44"/>
    </row>
    <row r="23" spans="1:27" ht="13.5" customHeight="1" x14ac:dyDescent="0.2">
      <c r="A23" s="2107" t="s">
        <v>2064</v>
      </c>
      <c r="B23" s="2108"/>
      <c r="C23" s="2108"/>
      <c r="D23" s="2108"/>
      <c r="E23" s="2108"/>
      <c r="F23" s="2108"/>
      <c r="G23" s="2108"/>
      <c r="H23" s="2109"/>
      <c r="T23" s="2047" t="s">
        <v>2058</v>
      </c>
      <c r="U23" s="2048"/>
      <c r="V23" s="2048"/>
      <c r="W23" s="2048"/>
      <c r="X23" s="2063">
        <v>44530</v>
      </c>
      <c r="Y23" s="2064"/>
      <c r="Z23" s="2064"/>
      <c r="AA23" s="2065"/>
    </row>
    <row r="24" spans="1:27" ht="14.1" customHeight="1" x14ac:dyDescent="0.2">
      <c r="A24" s="85" t="s">
        <v>670</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526</v>
      </c>
      <c r="U24" s="103"/>
      <c r="V24" s="103"/>
      <c r="W24" s="103"/>
      <c r="X24" s="104"/>
      <c r="Y24" s="104"/>
      <c r="Z24" s="104"/>
      <c r="AA24" s="105"/>
    </row>
    <row r="25" spans="1:27" ht="14.1" customHeight="1" x14ac:dyDescent="0.2">
      <c r="A25" s="2084">
        <v>62928</v>
      </c>
      <c r="B25" s="2085"/>
      <c r="C25" s="2085"/>
      <c r="D25" s="2085"/>
      <c r="E25" s="2085"/>
      <c r="F25" s="2085"/>
      <c r="G25" s="2085"/>
      <c r="H25" s="2086"/>
      <c r="I25" s="110"/>
      <c r="J25" s="2147"/>
      <c r="K25" s="2147"/>
      <c r="L25" s="2147"/>
      <c r="M25" s="2147"/>
      <c r="N25" s="2147"/>
      <c r="O25" s="2147"/>
      <c r="P25" s="2147"/>
      <c r="Q25" s="2147"/>
      <c r="R25" s="2147"/>
      <c r="S25" s="2148"/>
      <c r="T25" s="2044" t="s">
        <v>2057</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43" t="s">
        <v>1492</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144" t="s">
        <v>2049</v>
      </c>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7" t="s">
        <v>2065</v>
      </c>
      <c r="B38" s="2118"/>
      <c r="C38" s="2118"/>
      <c r="D38" s="2118"/>
      <c r="E38" s="2118"/>
      <c r="F38" s="2085"/>
      <c r="G38" s="2085"/>
      <c r="H38" s="2086"/>
      <c r="I38" s="2137"/>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1" t="s">
        <v>526</v>
      </c>
      <c r="B39" s="2142"/>
      <c r="C39" s="69"/>
      <c r="D39" s="66"/>
      <c r="E39" s="66"/>
      <c r="F39" s="76"/>
      <c r="G39" s="66"/>
      <c r="H39" s="53"/>
      <c r="I39" s="2141" t="s">
        <v>526</v>
      </c>
      <c r="J39" s="2142"/>
      <c r="K39" s="2142"/>
      <c r="L39" s="2142"/>
      <c r="M39" s="2142"/>
      <c r="N39" s="64"/>
      <c r="O39" s="69"/>
      <c r="P39" s="69"/>
      <c r="Q39" s="75"/>
      <c r="R39" s="69"/>
      <c r="S39" s="53"/>
      <c r="T39" s="69" t="s">
        <v>526</v>
      </c>
      <c r="U39" s="48"/>
      <c r="V39" s="69"/>
      <c r="W39" s="47"/>
      <c r="X39" s="75"/>
      <c r="Y39" s="43"/>
      <c r="Z39" s="43"/>
      <c r="AA39" s="44"/>
    </row>
    <row r="40" spans="1:27" ht="13.5" customHeight="1" x14ac:dyDescent="0.2">
      <c r="A40" s="2107" t="s">
        <v>2066</v>
      </c>
      <c r="B40" s="2108"/>
      <c r="C40" s="2108"/>
      <c r="D40" s="2108"/>
      <c r="E40" s="2108"/>
      <c r="F40" s="2108"/>
      <c r="G40" s="2108"/>
      <c r="H40" s="2109"/>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4" t="s">
        <v>2067</v>
      </c>
      <c r="B42" s="2135"/>
      <c r="C42" s="2136"/>
      <c r="D42" s="2144" t="s">
        <v>2068</v>
      </c>
      <c r="E42" s="2135"/>
      <c r="F42" s="2135"/>
      <c r="G42" s="2135"/>
      <c r="H42" s="2136"/>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&amp;C&amp;11 77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1143</v>
      </c>
      <c r="B4" s="1720">
        <f>'Revenues 9-14'!C5</f>
        <v>940856</v>
      </c>
      <c r="C4" s="1721"/>
      <c r="D4" s="1722">
        <f>B4-C4</f>
        <v>940856</v>
      </c>
      <c r="E4" s="1721">
        <v>977153</v>
      </c>
      <c r="F4" s="1722">
        <f>E4-C4</f>
        <v>977153</v>
      </c>
    </row>
    <row r="5" spans="1:8" ht="13.7" customHeight="1" x14ac:dyDescent="0.2">
      <c r="A5" s="579" t="s">
        <v>863</v>
      </c>
      <c r="B5" s="1723">
        <f>'Revenues 9-14'!D5</f>
        <v>255669</v>
      </c>
      <c r="C5" s="1663"/>
      <c r="D5" s="1724">
        <f t="shared" ref="D5:D18" si="0">B5-C5</f>
        <v>255669</v>
      </c>
      <c r="E5" s="1663">
        <v>265532</v>
      </c>
      <c r="F5" s="1724">
        <f>E5-C5</f>
        <v>265532</v>
      </c>
    </row>
    <row r="6" spans="1:8" ht="13.7" customHeight="1" x14ac:dyDescent="0.2">
      <c r="A6" s="579" t="s">
        <v>406</v>
      </c>
      <c r="B6" s="1723">
        <f>'Revenues 9-14'!E5</f>
        <v>0</v>
      </c>
      <c r="C6" s="1663"/>
      <c r="D6" s="1724">
        <f t="shared" si="0"/>
        <v>0</v>
      </c>
      <c r="E6" s="1663">
        <v>0</v>
      </c>
      <c r="F6" s="1724">
        <f t="shared" ref="F6:F18" si="1">E6-C6</f>
        <v>0</v>
      </c>
    </row>
    <row r="7" spans="1:8" ht="13.7" customHeight="1" x14ac:dyDescent="0.2">
      <c r="A7" s="579" t="s">
        <v>154</v>
      </c>
      <c r="B7" s="1723">
        <f>'Revenues 9-14'!F5</f>
        <v>102270</v>
      </c>
      <c r="C7" s="1663"/>
      <c r="D7" s="1724">
        <f t="shared" si="0"/>
        <v>102270</v>
      </c>
      <c r="E7" s="1663">
        <v>106212</v>
      </c>
      <c r="F7" s="1724">
        <f t="shared" si="1"/>
        <v>106212</v>
      </c>
    </row>
    <row r="8" spans="1:8" ht="13.7" customHeight="1" x14ac:dyDescent="0.2">
      <c r="A8" s="579" t="s">
        <v>1167</v>
      </c>
      <c r="B8" s="1723">
        <f>'Revenues 9-14'!G5</f>
        <v>62388</v>
      </c>
      <c r="C8" s="1663"/>
      <c r="D8" s="1724">
        <f t="shared" si="0"/>
        <v>62388</v>
      </c>
      <c r="E8" s="1663">
        <v>87089</v>
      </c>
      <c r="F8" s="1724">
        <f t="shared" si="1"/>
        <v>87089</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25567</v>
      </c>
      <c r="C10" s="1663"/>
      <c r="D10" s="1724">
        <f t="shared" si="0"/>
        <v>25567</v>
      </c>
      <c r="E10" s="1663">
        <v>26554</v>
      </c>
      <c r="F10" s="1724">
        <f t="shared" si="1"/>
        <v>26554</v>
      </c>
    </row>
    <row r="11" spans="1:8" x14ac:dyDescent="0.2">
      <c r="A11" s="579" t="s">
        <v>404</v>
      </c>
      <c r="B11" s="1723">
        <f>'Revenues 9-14'!J5</f>
        <v>193203</v>
      </c>
      <c r="C11" s="1663"/>
      <c r="D11" s="1724">
        <f t="shared" si="0"/>
        <v>193203</v>
      </c>
      <c r="E11" s="1663">
        <v>200000</v>
      </c>
      <c r="F11" s="1724">
        <f t="shared" si="1"/>
        <v>200000</v>
      </c>
    </row>
    <row r="12" spans="1:8" ht="13.7" customHeight="1" x14ac:dyDescent="0.2">
      <c r="A12" s="579" t="s">
        <v>156</v>
      </c>
      <c r="B12" s="1723">
        <f>'Revenues 9-14'!K5</f>
        <v>25567</v>
      </c>
      <c r="C12" s="1663"/>
      <c r="D12" s="1724">
        <f t="shared" si="0"/>
        <v>25567</v>
      </c>
      <c r="E12" s="1663">
        <v>26554</v>
      </c>
      <c r="F12" s="1724">
        <f t="shared" si="1"/>
        <v>26554</v>
      </c>
    </row>
    <row r="13" spans="1:8" ht="13.7" customHeight="1" x14ac:dyDescent="0.2">
      <c r="A13" s="579" t="s">
        <v>928</v>
      </c>
      <c r="B13" s="1723">
        <f>SUM('Revenues 9-14'!C6:D6)</f>
        <v>25567</v>
      </c>
      <c r="C13" s="1663"/>
      <c r="D13" s="1724">
        <f t="shared" si="0"/>
        <v>25567</v>
      </c>
      <c r="E13" s="1663">
        <v>26554</v>
      </c>
      <c r="F13" s="1724">
        <f t="shared" si="1"/>
        <v>26554</v>
      </c>
    </row>
    <row r="14" spans="1:8" ht="13.7" customHeight="1" x14ac:dyDescent="0.2">
      <c r="A14" s="579" t="s">
        <v>405</v>
      </c>
      <c r="B14" s="1723">
        <f>SUM('Revenues 9-14'!C7:D7,'Revenues 9-14'!F7:H7)</f>
        <v>20455</v>
      </c>
      <c r="C14" s="1663"/>
      <c r="D14" s="1724">
        <f t="shared" si="0"/>
        <v>20455</v>
      </c>
      <c r="E14" s="1663">
        <v>21244</v>
      </c>
      <c r="F14" s="1724">
        <f t="shared" si="1"/>
        <v>21244</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96600</v>
      </c>
      <c r="C16" s="1663"/>
      <c r="D16" s="1724">
        <f t="shared" si="0"/>
        <v>96600</v>
      </c>
      <c r="E16" s="1663">
        <v>87089</v>
      </c>
      <c r="F16" s="1724">
        <f t="shared" si="1"/>
        <v>87089</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1748142</v>
      </c>
      <c r="C19" s="1725">
        <f>SUM(C4:C18)</f>
        <v>0</v>
      </c>
      <c r="D19" s="1725">
        <f>SUM(D4:D18)</f>
        <v>1748142</v>
      </c>
      <c r="E19" s="1725">
        <f>SUM(E4:E18)</f>
        <v>1823981</v>
      </c>
      <c r="F19" s="1725">
        <f>SUM(F4:F18)</f>
        <v>1823981</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&amp;C&amp;9 60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623</v>
      </c>
      <c r="B1" s="2294"/>
      <c r="C1" s="585"/>
    </row>
    <row r="2" spans="1:7" ht="33.75" x14ac:dyDescent="0.2">
      <c r="A2" s="2302" t="s">
        <v>1777</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1102</v>
      </c>
      <c r="B3" s="2307"/>
      <c r="C3" s="2295"/>
      <c r="D3" s="2296"/>
      <c r="E3" s="2296"/>
      <c r="F3" s="2297"/>
    </row>
    <row r="4" spans="1:7" ht="12.75" customHeight="1" thickBot="1" x14ac:dyDescent="0.25">
      <c r="A4" s="2304" t="s">
        <v>624</v>
      </c>
      <c r="B4" s="2305"/>
      <c r="C4" s="1655"/>
      <c r="D4" s="1655"/>
      <c r="E4" s="1655"/>
      <c r="F4" s="1731">
        <f>SUM(C4+D4)-E4</f>
        <v>0</v>
      </c>
    </row>
    <row r="5" spans="1:7" ht="15.75" customHeight="1" thickTop="1" x14ac:dyDescent="0.2">
      <c r="A5" s="2289" t="s">
        <v>1099</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291" t="s">
        <v>625</v>
      </c>
      <c r="B15" s="2292"/>
      <c r="C15" s="1731">
        <f>SUM(C6:C14)</f>
        <v>0</v>
      </c>
      <c r="D15" s="1731">
        <f>SUM(D6:D14)</f>
        <v>0</v>
      </c>
      <c r="E15" s="1731">
        <f>SUM(E6:E14)</f>
        <v>0</v>
      </c>
      <c r="F15" s="1731">
        <f>SUM(F6:F14)</f>
        <v>0</v>
      </c>
      <c r="G15" s="473"/>
    </row>
    <row r="16" spans="1:7" s="197" customFormat="1" ht="15.75" customHeight="1" thickTop="1" x14ac:dyDescent="0.2">
      <c r="A16" s="2301" t="s">
        <v>1100</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383</v>
      </c>
      <c r="B19" s="2315"/>
      <c r="C19" s="1732"/>
      <c r="D19" s="1663"/>
      <c r="E19" s="1732"/>
      <c r="F19" s="1731">
        <f>SUM(C19+D19)-E19</f>
        <v>0</v>
      </c>
    </row>
    <row r="20" spans="1:11" ht="12.75" customHeight="1" thickTop="1" thickBot="1" x14ac:dyDescent="0.25">
      <c r="A20" s="2314" t="s">
        <v>443</v>
      </c>
      <c r="B20" s="2315"/>
      <c r="C20" s="1732"/>
      <c r="D20" s="1663"/>
      <c r="E20" s="1732"/>
      <c r="F20" s="1731">
        <f>SUM(C20+D20)-E20</f>
        <v>0</v>
      </c>
    </row>
    <row r="21" spans="1:11" ht="14.25" thickTop="1" thickBot="1" x14ac:dyDescent="0.25">
      <c r="A21" s="2291" t="s">
        <v>626</v>
      </c>
      <c r="B21" s="2292"/>
      <c r="C21" s="1731">
        <f>SUM(C17:C20)</f>
        <v>0</v>
      </c>
      <c r="D21" s="1731">
        <f>SUM(D17:D20)</f>
        <v>0</v>
      </c>
      <c r="E21" s="1731">
        <f>SUM(E17:E20)</f>
        <v>0</v>
      </c>
      <c r="F21" s="1731">
        <f>SUM(F17:F20)</f>
        <v>0</v>
      </c>
      <c r="G21" s="473"/>
    </row>
    <row r="22" spans="1:11" ht="15.75" customHeight="1" thickTop="1" x14ac:dyDescent="0.2">
      <c r="A22" s="2316" t="s">
        <v>1101</v>
      </c>
      <c r="B22" s="2290"/>
      <c r="C22" s="2298"/>
      <c r="D22" s="2299"/>
      <c r="E22" s="2299"/>
      <c r="F22" s="2300"/>
    </row>
    <row r="23" spans="1:11" ht="13.5" thickBot="1" x14ac:dyDescent="0.25">
      <c r="A23" s="2304" t="s">
        <v>627</v>
      </c>
      <c r="B23" s="2305"/>
      <c r="C23" s="1655"/>
      <c r="D23" s="1655"/>
      <c r="E23" s="1655"/>
      <c r="F23" s="1731">
        <f>SUM(C23+D23)-E23</f>
        <v>0</v>
      </c>
      <c r="G23" s="473"/>
    </row>
    <row r="24" spans="1:11" ht="15.75" customHeight="1" thickTop="1" x14ac:dyDescent="0.2">
      <c r="A24" s="2316" t="s">
        <v>2004</v>
      </c>
      <c r="B24" s="2290"/>
      <c r="C24" s="2298"/>
      <c r="D24" s="2299"/>
      <c r="E24" s="2299"/>
      <c r="F24" s="2300"/>
    </row>
    <row r="25" spans="1:11" ht="13.5" thickBot="1" x14ac:dyDescent="0.25">
      <c r="A25" s="2304" t="s">
        <v>2005</v>
      </c>
      <c r="B25" s="2305"/>
      <c r="C25" s="1655"/>
      <c r="D25" s="1655"/>
      <c r="E25" s="1655"/>
      <c r="F25" s="1731">
        <f>SUM(C25+D25)-E25</f>
        <v>0</v>
      </c>
      <c r="G25" s="473"/>
    </row>
    <row r="26" spans="1:11" ht="15.75" customHeight="1" thickTop="1" x14ac:dyDescent="0.2">
      <c r="A26" s="2289" t="s">
        <v>650</v>
      </c>
      <c r="B26" s="2290"/>
      <c r="C26" s="589"/>
      <c r="D26" s="589"/>
      <c r="E26" s="589"/>
      <c r="F26" s="590"/>
    </row>
    <row r="27" spans="1:11" ht="13.5" thickBot="1" x14ac:dyDescent="0.25">
      <c r="A27" s="2291" t="s">
        <v>1059</v>
      </c>
      <c r="B27" s="2292"/>
      <c r="C27" s="1663"/>
      <c r="D27" s="1663"/>
      <c r="E27" s="1663"/>
      <c r="F27" s="1731">
        <f>SUM(C27+D27)-E27</f>
        <v>0</v>
      </c>
      <c r="G27" s="473"/>
    </row>
    <row r="28" spans="1:11" ht="7.5" customHeight="1" thickTop="1" x14ac:dyDescent="0.2">
      <c r="A28" s="489"/>
    </row>
    <row r="29" spans="1:11" ht="23.25" customHeight="1" x14ac:dyDescent="0.2">
      <c r="A29" s="2317" t="s">
        <v>576</v>
      </c>
      <c r="B29" s="2294"/>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2059</v>
      </c>
      <c r="B31" s="595">
        <v>43431</v>
      </c>
      <c r="C31" s="1733">
        <v>155570</v>
      </c>
      <c r="D31" s="1734">
        <v>7</v>
      </c>
      <c r="E31" s="1733">
        <v>155570</v>
      </c>
      <c r="F31" s="1733"/>
      <c r="G31" s="1733"/>
      <c r="H31" s="1733">
        <v>28508</v>
      </c>
      <c r="I31" s="1735">
        <f>((E31+F31)-H31)+G31</f>
        <v>127062</v>
      </c>
      <c r="J31" s="1733">
        <v>127062</v>
      </c>
      <c r="K31" s="596"/>
    </row>
    <row r="32" spans="1:11" ht="12" customHeight="1" x14ac:dyDescent="0.2">
      <c r="A32" s="594" t="s">
        <v>2059</v>
      </c>
      <c r="B32" s="595">
        <v>43874</v>
      </c>
      <c r="C32" s="1733">
        <v>89134</v>
      </c>
      <c r="D32" s="1734">
        <v>7</v>
      </c>
      <c r="E32" s="1733"/>
      <c r="F32" s="1733">
        <v>89134</v>
      </c>
      <c r="G32" s="1733"/>
      <c r="H32" s="1733"/>
      <c r="I32" s="1735">
        <f>((E32+F32)-H32)+G32</f>
        <v>89134</v>
      </c>
      <c r="J32" s="1733">
        <v>89134</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244704</v>
      </c>
      <c r="D49" s="1741"/>
      <c r="E49" s="1735">
        <f t="shared" ref="E49:J49" si="2">SUM(E31:E48)</f>
        <v>155570</v>
      </c>
      <c r="F49" s="1735">
        <f t="shared" si="2"/>
        <v>89134</v>
      </c>
      <c r="G49" s="1735">
        <f t="shared" si="2"/>
        <v>0</v>
      </c>
      <c r="H49" s="1735">
        <f t="shared" si="2"/>
        <v>28508</v>
      </c>
      <c r="I49" s="1735">
        <f t="shared" si="2"/>
        <v>216196</v>
      </c>
      <c r="J49" s="1735">
        <f t="shared" si="2"/>
        <v>216196</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308" t="s">
        <v>578</v>
      </c>
      <c r="C52" s="2309"/>
      <c r="D52" s="2309"/>
      <c r="E52" s="603" t="s">
        <v>838</v>
      </c>
      <c r="F52" s="2310" t="s">
        <v>2060</v>
      </c>
      <c r="G52" s="2311"/>
      <c r="H52" s="596"/>
      <c r="I52" s="596"/>
      <c r="J52" s="600"/>
    </row>
    <row r="53" spans="1:11" ht="11.25" customHeight="1" x14ac:dyDescent="0.2">
      <c r="A53" s="604" t="s">
        <v>905</v>
      </c>
      <c r="B53" s="605" t="s">
        <v>943</v>
      </c>
      <c r="C53" s="600"/>
      <c r="D53" s="597"/>
      <c r="E53" s="603" t="s">
        <v>492</v>
      </c>
      <c r="F53" s="2312"/>
      <c r="G53" s="2313"/>
      <c r="H53" s="596"/>
      <c r="I53" s="596"/>
      <c r="J53" s="600"/>
    </row>
    <row r="54" spans="1:11" ht="11.25" customHeight="1" x14ac:dyDescent="0.2">
      <c r="A54" s="606" t="s">
        <v>906</v>
      </c>
      <c r="B54" s="601" t="s">
        <v>944</v>
      </c>
      <c r="C54" s="600"/>
      <c r="D54" s="597"/>
      <c r="E54" s="603" t="s">
        <v>493</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&amp;C&amp;11 61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849</v>
      </c>
      <c r="B1" s="2345"/>
      <c r="C1" s="2345"/>
      <c r="D1" s="2345"/>
      <c r="E1" s="2345"/>
      <c r="F1" s="2345"/>
      <c r="G1" s="2346"/>
      <c r="H1" s="1297"/>
      <c r="I1" s="614"/>
      <c r="J1" s="400"/>
    </row>
    <row r="2" spans="1:11" ht="26.25" x14ac:dyDescent="0.2">
      <c r="A2" s="2321" t="s">
        <v>1656</v>
      </c>
      <c r="B2" s="2322"/>
      <c r="C2" s="2322"/>
      <c r="D2" s="2322"/>
      <c r="E2" s="2323"/>
      <c r="F2" s="615" t="s">
        <v>896</v>
      </c>
      <c r="G2" s="616" t="s">
        <v>1653</v>
      </c>
      <c r="H2" s="616" t="s">
        <v>405</v>
      </c>
      <c r="I2" s="616" t="s">
        <v>1146</v>
      </c>
      <c r="J2" s="616" t="s">
        <v>1787</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364</v>
      </c>
      <c r="B4" s="2328"/>
      <c r="C4" s="2328"/>
      <c r="D4" s="2328"/>
      <c r="E4" s="2309"/>
      <c r="F4" s="620"/>
      <c r="G4" s="1745"/>
      <c r="H4" s="1746"/>
      <c r="I4" s="1745"/>
      <c r="J4" s="1747"/>
      <c r="K4" s="1747"/>
    </row>
    <row r="5" spans="1:11" x14ac:dyDescent="0.2">
      <c r="A5" s="2347" t="s">
        <v>1058</v>
      </c>
      <c r="B5" s="2318"/>
      <c r="C5" s="2318"/>
      <c r="D5" s="2318"/>
      <c r="E5" s="2348"/>
      <c r="F5" s="622" t="s">
        <v>841</v>
      </c>
      <c r="G5" s="1748"/>
      <c r="H5" s="1743">
        <v>20455</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1875</v>
      </c>
    </row>
    <row r="8" spans="1:11" x14ac:dyDescent="0.2">
      <c r="A8" s="629" t="s">
        <v>340</v>
      </c>
      <c r="B8" s="630"/>
      <c r="C8" s="630"/>
      <c r="D8" s="630"/>
      <c r="E8" s="631"/>
      <c r="F8" s="622" t="s">
        <v>844</v>
      </c>
      <c r="G8" s="1752"/>
      <c r="H8" s="1752"/>
      <c r="I8" s="1752"/>
      <c r="J8" s="1744"/>
      <c r="K8" s="1747"/>
    </row>
    <row r="9" spans="1:11" x14ac:dyDescent="0.2">
      <c r="A9" s="629" t="s">
        <v>137</v>
      </c>
      <c r="B9" s="630"/>
      <c r="C9" s="630"/>
      <c r="D9" s="630"/>
      <c r="E9" s="631"/>
      <c r="F9" s="628" t="s">
        <v>846</v>
      </c>
      <c r="G9" s="1752"/>
      <c r="H9" s="1748"/>
      <c r="I9" s="1748"/>
      <c r="J9" s="1751"/>
      <c r="K9" s="1744">
        <v>5087</v>
      </c>
    </row>
    <row r="10" spans="1:11" x14ac:dyDescent="0.2">
      <c r="A10" s="2347" t="s">
        <v>1788</v>
      </c>
      <c r="B10" s="2318"/>
      <c r="C10" s="2318"/>
      <c r="D10" s="2318"/>
      <c r="E10" s="2349"/>
      <c r="F10" s="633" t="s">
        <v>855</v>
      </c>
      <c r="G10" s="1752"/>
      <c r="H10" s="1753"/>
      <c r="I10" s="1743"/>
      <c r="J10" s="1744"/>
      <c r="K10" s="1744"/>
    </row>
    <row r="11" spans="1:11" x14ac:dyDescent="0.2">
      <c r="A11" s="2347" t="s">
        <v>159</v>
      </c>
      <c r="B11" s="2318"/>
      <c r="C11" s="2318"/>
      <c r="D11" s="2318"/>
      <c r="E11" s="2348"/>
      <c r="F11" s="622" t="s">
        <v>845</v>
      </c>
      <c r="G11" s="1748"/>
      <c r="H11" s="1743"/>
      <c r="I11" s="1743"/>
      <c r="J11" s="1744"/>
      <c r="K11" s="1750"/>
    </row>
    <row r="12" spans="1:11" ht="13.5" thickBot="1" x14ac:dyDescent="0.25">
      <c r="A12" s="2335" t="s">
        <v>897</v>
      </c>
      <c r="B12" s="2336"/>
      <c r="C12" s="2336"/>
      <c r="D12" s="2336"/>
      <c r="E12" s="2337"/>
      <c r="F12" s="1432"/>
      <c r="G12" s="1754">
        <f>SUM(G5:G11)</f>
        <v>0</v>
      </c>
      <c r="H12" s="1754">
        <f>SUM(H5:H11)</f>
        <v>20455</v>
      </c>
      <c r="I12" s="1754">
        <f>SUM(I5:I11)</f>
        <v>0</v>
      </c>
      <c r="J12" s="1754">
        <f>SUM(J5:J11)</f>
        <v>0</v>
      </c>
      <c r="K12" s="1754">
        <f>SUM(K5:K11)</f>
        <v>6962</v>
      </c>
    </row>
    <row r="13" spans="1:11" ht="13.5" thickTop="1" x14ac:dyDescent="0.2">
      <c r="A13" s="2329" t="s">
        <v>365</v>
      </c>
      <c r="B13" s="2330"/>
      <c r="C13" s="2330"/>
      <c r="D13" s="2330"/>
      <c r="E13" s="2331"/>
      <c r="F13" s="634"/>
      <c r="G13" s="1755"/>
      <c r="H13" s="1756"/>
      <c r="I13" s="1757"/>
      <c r="J13" s="1757"/>
      <c r="K13" s="1757"/>
    </row>
    <row r="14" spans="1:11" x14ac:dyDescent="0.2">
      <c r="A14" s="2353" t="s">
        <v>451</v>
      </c>
      <c r="B14" s="2353"/>
      <c r="C14" s="2353"/>
      <c r="D14" s="2353"/>
      <c r="E14" s="2354"/>
      <c r="F14" s="635" t="s">
        <v>847</v>
      </c>
      <c r="G14" s="1752"/>
      <c r="H14" s="1743">
        <v>20455</v>
      </c>
      <c r="I14" s="1748"/>
      <c r="J14" s="1750"/>
      <c r="K14" s="1744">
        <v>6962</v>
      </c>
    </row>
    <row r="15" spans="1:11" x14ac:dyDescent="0.2">
      <c r="A15" s="2318" t="s">
        <v>4</v>
      </c>
      <c r="B15" s="2318"/>
      <c r="C15" s="2318"/>
      <c r="D15" s="2318"/>
      <c r="E15" s="2348"/>
      <c r="F15" s="635" t="s">
        <v>848</v>
      </c>
      <c r="G15" s="1748"/>
      <c r="H15" s="1743"/>
      <c r="I15" s="1743"/>
      <c r="J15" s="1744"/>
      <c r="K15" s="1744"/>
    </row>
    <row r="16" spans="1:11" x14ac:dyDescent="0.2">
      <c r="A16" s="2318" t="s">
        <v>293</v>
      </c>
      <c r="B16" s="2318"/>
      <c r="C16" s="2318"/>
      <c r="D16" s="2318"/>
      <c r="E16" s="2348"/>
      <c r="F16" s="635" t="s">
        <v>915</v>
      </c>
      <c r="G16" s="1749"/>
      <c r="H16" s="1745"/>
      <c r="I16" s="1745"/>
      <c r="J16" s="1747"/>
      <c r="K16" s="1747"/>
    </row>
    <row r="17" spans="1:15" x14ac:dyDescent="0.2">
      <c r="A17" s="2342" t="s">
        <v>927</v>
      </c>
      <c r="B17" s="2342"/>
      <c r="C17" s="2342"/>
      <c r="D17" s="2342"/>
      <c r="E17" s="2343"/>
      <c r="F17" s="636"/>
      <c r="G17" s="1758"/>
      <c r="H17" s="1759"/>
      <c r="I17" s="1759"/>
      <c r="J17" s="1760"/>
      <c r="K17" s="1761"/>
    </row>
    <row r="18" spans="1:15" x14ac:dyDescent="0.2">
      <c r="A18" s="2332" t="s">
        <v>363</v>
      </c>
      <c r="B18" s="2333"/>
      <c r="C18" s="2333"/>
      <c r="D18" s="2333"/>
      <c r="E18" s="2334"/>
      <c r="F18" s="635" t="s">
        <v>924</v>
      </c>
      <c r="G18" s="1752"/>
      <c r="H18" s="1752"/>
      <c r="I18" s="1752"/>
      <c r="J18" s="1744"/>
      <c r="K18" s="1762"/>
    </row>
    <row r="19" spans="1:15" ht="21.75" customHeight="1" x14ac:dyDescent="0.2">
      <c r="A19" s="2355" t="s">
        <v>1784</v>
      </c>
      <c r="B19" s="2355"/>
      <c r="C19" s="2355"/>
      <c r="D19" s="2355"/>
      <c r="E19" s="2356"/>
      <c r="F19" s="635" t="s">
        <v>925</v>
      </c>
      <c r="G19" s="1752"/>
      <c r="H19" s="1752"/>
      <c r="I19" s="1752"/>
      <c r="J19" s="1744"/>
      <c r="K19" s="1762"/>
    </row>
    <row r="20" spans="1:15" x14ac:dyDescent="0.2">
      <c r="A20" s="2332" t="s">
        <v>1789</v>
      </c>
      <c r="B20" s="2333"/>
      <c r="C20" s="2333"/>
      <c r="D20" s="2333"/>
      <c r="E20" s="2334"/>
      <c r="F20" s="635" t="s">
        <v>926</v>
      </c>
      <c r="G20" s="1752"/>
      <c r="H20" s="1752"/>
      <c r="I20" s="1752"/>
      <c r="J20" s="1744"/>
      <c r="K20" s="1762"/>
    </row>
    <row r="21" spans="1:15" ht="13.5" thickBot="1" x14ac:dyDescent="0.25">
      <c r="A21" s="2338" t="s">
        <v>631</v>
      </c>
      <c r="B21" s="2338"/>
      <c r="C21" s="2338"/>
      <c r="D21" s="2338"/>
      <c r="E21" s="2338"/>
      <c r="F21" s="1433"/>
      <c r="G21" s="1759"/>
      <c r="H21" s="1763"/>
      <c r="I21" s="1763"/>
      <c r="J21" s="1764">
        <f>SUM(J18:J20)</f>
        <v>0</v>
      </c>
      <c r="K21" s="1760"/>
    </row>
    <row r="22" spans="1:15" ht="13.5" thickTop="1" x14ac:dyDescent="0.2">
      <c r="A22" s="2318" t="s">
        <v>1790</v>
      </c>
      <c r="B22" s="2318"/>
      <c r="C22" s="2318"/>
      <c r="D22" s="2318"/>
      <c r="E22" s="2348"/>
      <c r="F22" s="635" t="s">
        <v>855</v>
      </c>
      <c r="G22" s="1752"/>
      <c r="H22" s="1743"/>
      <c r="I22" s="1743"/>
      <c r="J22" s="1765"/>
      <c r="K22" s="1744"/>
    </row>
    <row r="23" spans="1:15" ht="13.5" thickBot="1" x14ac:dyDescent="0.25">
      <c r="A23" s="2339" t="s">
        <v>898</v>
      </c>
      <c r="B23" s="2338"/>
      <c r="C23" s="2338"/>
      <c r="D23" s="2338"/>
      <c r="E23" s="2338"/>
      <c r="F23" s="1435"/>
      <c r="G23" s="1754">
        <f>SUM(G14:G16,G21,G22)</f>
        <v>0</v>
      </c>
      <c r="H23" s="1754">
        <f>SUM(H14:H16,H21,H22)</f>
        <v>20455</v>
      </c>
      <c r="I23" s="1754">
        <f>SUM(I14:I16,I21,I22)</f>
        <v>0</v>
      </c>
      <c r="J23" s="1754">
        <f>SUM(J14:J16,J21,J22)</f>
        <v>0</v>
      </c>
      <c r="K23" s="1754">
        <f>SUM(K14:K16,K21,K22)</f>
        <v>6962</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2049</v>
      </c>
      <c r="E30" s="648" t="s">
        <v>761</v>
      </c>
      <c r="F30" s="197"/>
      <c r="G30" s="645"/>
    </row>
    <row r="31" spans="1:15" x14ac:dyDescent="0.2">
      <c r="A31" s="649"/>
      <c r="D31" s="232"/>
      <c r="E31" s="650" t="s">
        <v>762</v>
      </c>
      <c r="F31" s="651" t="s">
        <v>534</v>
      </c>
      <c r="G31" s="618"/>
      <c r="H31" s="2350"/>
      <c r="I31" s="2351"/>
      <c r="J31" s="2351"/>
      <c r="K31" s="2351"/>
    </row>
    <row r="32" spans="1:15" x14ac:dyDescent="0.2">
      <c r="A32" s="649"/>
      <c r="B32" s="232"/>
      <c r="C32" s="232"/>
      <c r="D32" s="232"/>
      <c r="E32" s="645"/>
      <c r="F32" s="651" t="s">
        <v>535</v>
      </c>
      <c r="G32" s="618"/>
      <c r="H32" s="2352"/>
      <c r="I32" s="2351"/>
      <c r="J32" s="2351"/>
      <c r="K32" s="2351"/>
    </row>
    <row r="33" spans="1:11" ht="1.5" customHeight="1" x14ac:dyDescent="0.2">
      <c r="A33" s="652" t="s">
        <v>1157</v>
      </c>
      <c r="B33" s="341"/>
      <c r="C33" s="341"/>
      <c r="D33" s="341"/>
      <c r="E33" s="341"/>
      <c r="F33" s="341"/>
      <c r="G33" s="653"/>
      <c r="H33" s="2352"/>
      <c r="I33" s="2351"/>
      <c r="J33" s="2351"/>
      <c r="K33" s="2351"/>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18" t="s">
        <v>536</v>
      </c>
      <c r="B41" s="2319"/>
      <c r="C41" s="2319"/>
      <c r="D41" s="2319"/>
      <c r="E41" s="2319"/>
      <c r="F41" s="232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1785</v>
      </c>
      <c r="B46" s="382" t="s">
        <v>1654</v>
      </c>
    </row>
    <row r="47" spans="1:11" s="663" customFormat="1" ht="12.75" customHeight="1" x14ac:dyDescent="0.2">
      <c r="A47" s="661"/>
      <c r="B47" s="662" t="s">
        <v>1655</v>
      </c>
      <c r="E47" s="662"/>
      <c r="K47" s="664"/>
    </row>
    <row r="48" spans="1:11" ht="12.75" customHeight="1" x14ac:dyDescent="0.2">
      <c r="A48" s="1299"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 62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1873</v>
      </c>
      <c r="B1" s="2360"/>
      <c r="C1" s="2361"/>
      <c r="D1" s="666"/>
      <c r="E1" s="667"/>
      <c r="F1" s="667"/>
      <c r="G1" s="668"/>
      <c r="H1" s="669"/>
      <c r="I1" s="670"/>
      <c r="J1" s="2357"/>
      <c r="K1" s="2358"/>
      <c r="L1" s="2358"/>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7036</v>
      </c>
      <c r="D5" s="1769">
        <v>0</v>
      </c>
      <c r="E5" s="1769">
        <v>0</v>
      </c>
      <c r="F5" s="1764">
        <f>(C5+D5)-E5</f>
        <v>7036</v>
      </c>
      <c r="G5" s="676"/>
      <c r="H5" s="680"/>
      <c r="I5" s="680"/>
      <c r="J5" s="680"/>
      <c r="K5" s="637"/>
      <c r="L5" s="1441">
        <f>F5-K5</f>
        <v>7036</v>
      </c>
    </row>
    <row r="6" spans="1:14" ht="14.25" thickTop="1" thickBot="1" x14ac:dyDescent="0.25">
      <c r="A6" s="629" t="s">
        <v>1105</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3876026</v>
      </c>
      <c r="D8" s="1770">
        <v>48253</v>
      </c>
      <c r="E8" s="1770">
        <v>0</v>
      </c>
      <c r="F8" s="1764">
        <f>(C8+D8)-E8</f>
        <v>3924279</v>
      </c>
      <c r="G8" s="681">
        <v>50</v>
      </c>
      <c r="H8" s="619">
        <v>2745130</v>
      </c>
      <c r="I8" s="619">
        <v>35664</v>
      </c>
      <c r="J8" s="619">
        <v>0</v>
      </c>
      <c r="K8" s="1441">
        <f>(H8+I8)-J8</f>
        <v>2780794</v>
      </c>
      <c r="L8" s="1441">
        <f>F8-K8</f>
        <v>1143485</v>
      </c>
    </row>
    <row r="9" spans="1:14" ht="14.25" thickTop="1" thickBot="1" x14ac:dyDescent="0.25">
      <c r="A9" s="629" t="s">
        <v>1107</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1108</v>
      </c>
      <c r="B10" s="679">
        <v>240</v>
      </c>
      <c r="C10" s="1771">
        <v>531909</v>
      </c>
      <c r="D10" s="1771">
        <v>0</v>
      </c>
      <c r="E10" s="1771">
        <v>0</v>
      </c>
      <c r="F10" s="1772">
        <f>(C10+D10)-E10</f>
        <v>531909</v>
      </c>
      <c r="G10" s="681">
        <v>20</v>
      </c>
      <c r="H10" s="683">
        <v>527142</v>
      </c>
      <c r="I10" s="683">
        <v>3364</v>
      </c>
      <c r="J10" s="683">
        <v>0</v>
      </c>
      <c r="K10" s="1441">
        <f>(H10+I10)-J10</f>
        <v>530506</v>
      </c>
      <c r="L10" s="1441">
        <f>F10-K10</f>
        <v>1403</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1092908</v>
      </c>
      <c r="D12" s="1770">
        <v>0</v>
      </c>
      <c r="E12" s="1770">
        <v>0</v>
      </c>
      <c r="F12" s="1764">
        <f>(C12+D12)-E12</f>
        <v>1092908</v>
      </c>
      <c r="G12" s="681">
        <v>10</v>
      </c>
      <c r="H12" s="619">
        <v>1055355</v>
      </c>
      <c r="I12" s="619">
        <v>6968</v>
      </c>
      <c r="J12" s="619">
        <v>0</v>
      </c>
      <c r="K12" s="1441">
        <f>(H12+I12)-J12</f>
        <v>1062323</v>
      </c>
      <c r="L12" s="1441">
        <f>F12-K12</f>
        <v>30585</v>
      </c>
    </row>
    <row r="13" spans="1:14" ht="14.25" thickTop="1" thickBot="1" x14ac:dyDescent="0.25">
      <c r="A13" s="684" t="s">
        <v>1110</v>
      </c>
      <c r="B13" s="679">
        <v>252</v>
      </c>
      <c r="C13" s="1770">
        <v>1388316</v>
      </c>
      <c r="D13" s="1770">
        <f>20244+89134</f>
        <v>109378</v>
      </c>
      <c r="E13" s="1770">
        <v>77785</v>
      </c>
      <c r="F13" s="1764">
        <f>(C13+D13)-E13</f>
        <v>1419909</v>
      </c>
      <c r="G13" s="681">
        <v>5</v>
      </c>
      <c r="H13" s="619">
        <v>1109644</v>
      </c>
      <c r="I13" s="619">
        <v>61433</v>
      </c>
      <c r="J13" s="619">
        <v>15557</v>
      </c>
      <c r="K13" s="1441">
        <f>(H13+I13)-J13</f>
        <v>1155520</v>
      </c>
      <c r="L13" s="1441">
        <f>F13-K13</f>
        <v>264389</v>
      </c>
    </row>
    <row r="14" spans="1:14" ht="14.25" thickTop="1" thickBot="1" x14ac:dyDescent="0.25">
      <c r="A14" s="684" t="s">
        <v>1111</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523</v>
      </c>
      <c r="B15" s="1364">
        <v>260</v>
      </c>
      <c r="C15" s="1770">
        <v>0</v>
      </c>
      <c r="D15" s="1770">
        <v>0</v>
      </c>
      <c r="E15" s="1770">
        <v>0</v>
      </c>
      <c r="F15" s="1764">
        <f>(C15+D15)-E15</f>
        <v>0</v>
      </c>
      <c r="G15" s="685" t="s">
        <v>855</v>
      </c>
      <c r="H15" s="632"/>
      <c r="I15" s="632"/>
      <c r="J15" s="632"/>
      <c r="K15" s="632"/>
      <c r="L15" s="1441">
        <f>F15-K15</f>
        <v>0</v>
      </c>
    </row>
    <row r="16" spans="1:14" ht="15" customHeight="1" thickTop="1" thickBot="1" x14ac:dyDescent="0.25">
      <c r="A16" s="1437" t="s">
        <v>636</v>
      </c>
      <c r="B16" s="1438">
        <v>200</v>
      </c>
      <c r="C16" s="1764">
        <f>SUM(C3,C5:C6,C8:C10,C12:C15)</f>
        <v>6896195</v>
      </c>
      <c r="D16" s="1764">
        <f>SUM(D3,D5:D6,D8:D10,D12:D15)</f>
        <v>157631</v>
      </c>
      <c r="E16" s="1764">
        <f>SUM(E3,E5:E6,E8:E10,E12:E15)</f>
        <v>77785</v>
      </c>
      <c r="F16" s="1764">
        <f>SUM(F3,F5:F6,F8:F10,F12:F15)</f>
        <v>6976041</v>
      </c>
      <c r="G16" s="681"/>
      <c r="H16" s="1434">
        <f>SUM(H3,H6,H8:H10,H12:H14,)</f>
        <v>5437271</v>
      </c>
      <c r="I16" s="1434">
        <f>SUM(I3,I6,I8:I10,I12:I14,)</f>
        <v>107429</v>
      </c>
      <c r="J16" s="1434">
        <f>SUM(J3,J6,J8:J10,J12:J14,)</f>
        <v>15557</v>
      </c>
      <c r="K16" s="1434">
        <f>(H16+I16)-J16</f>
        <v>5529143</v>
      </c>
      <c r="L16" s="1434">
        <f>F16-K16</f>
        <v>1446898</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107429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&amp;C&amp;11 63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472</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1"/>
      <c r="B5" s="2372"/>
      <c r="C5" s="2372"/>
      <c r="D5" s="2372"/>
      <c r="E5" s="2372"/>
      <c r="F5" s="2372"/>
    </row>
    <row r="6" spans="1:9" ht="13.5" customHeight="1" thickBot="1" x14ac:dyDescent="0.25">
      <c r="A6" s="2362" t="s">
        <v>1093</v>
      </c>
      <c r="B6" s="2363"/>
      <c r="C6" s="2363"/>
      <c r="D6" s="2363"/>
      <c r="E6" s="2363"/>
      <c r="F6" s="2364"/>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4010664</v>
      </c>
      <c r="G8" s="701"/>
    </row>
    <row r="9" spans="1:9" x14ac:dyDescent="0.2">
      <c r="A9" s="705" t="s">
        <v>455</v>
      </c>
      <c r="B9" s="706" t="s">
        <v>1846</v>
      </c>
      <c r="C9" s="707"/>
      <c r="D9" s="705" t="s">
        <v>496</v>
      </c>
      <c r="E9" s="704"/>
      <c r="F9" s="1774">
        <f>'Expenditures 15-22'!K151</f>
        <v>241849</v>
      </c>
      <c r="G9" s="708"/>
    </row>
    <row r="10" spans="1:9" x14ac:dyDescent="0.2">
      <c r="A10" s="705" t="s">
        <v>494</v>
      </c>
      <c r="B10" s="706" t="s">
        <v>1847</v>
      </c>
      <c r="C10" s="707"/>
      <c r="D10" s="705" t="s">
        <v>496</v>
      </c>
      <c r="E10" s="704"/>
      <c r="F10" s="1774">
        <f>'Expenditures 15-22'!K174</f>
        <v>0</v>
      </c>
      <c r="G10" s="708"/>
    </row>
    <row r="11" spans="1:9" x14ac:dyDescent="0.2">
      <c r="A11" s="705" t="s">
        <v>456</v>
      </c>
      <c r="B11" s="706" t="s">
        <v>1848</v>
      </c>
      <c r="C11" s="707"/>
      <c r="D11" s="705" t="s">
        <v>496</v>
      </c>
      <c r="E11" s="704"/>
      <c r="F11" s="1774">
        <f>'Expenditures 15-22'!K210</f>
        <v>416229</v>
      </c>
      <c r="G11" s="708"/>
    </row>
    <row r="12" spans="1:9" x14ac:dyDescent="0.2">
      <c r="A12" s="705" t="s">
        <v>457</v>
      </c>
      <c r="B12" s="706" t="s">
        <v>1849</v>
      </c>
      <c r="C12" s="707"/>
      <c r="D12" s="705" t="s">
        <v>496</v>
      </c>
      <c r="E12" s="704"/>
      <c r="F12" s="1774">
        <f>'Expenditures 15-22'!K295</f>
        <v>142895</v>
      </c>
      <c r="G12" s="708"/>
    </row>
    <row r="13" spans="1:9" x14ac:dyDescent="0.2">
      <c r="A13" s="705" t="s">
        <v>106</v>
      </c>
      <c r="B13" s="706" t="s">
        <v>1850</v>
      </c>
      <c r="C13" s="707"/>
      <c r="D13" s="705" t="s">
        <v>496</v>
      </c>
      <c r="E13" s="704"/>
      <c r="F13" s="1774">
        <f>'Expenditures 15-22'!K342</f>
        <v>193098</v>
      </c>
      <c r="G13" s="709"/>
    </row>
    <row r="14" spans="1:9" ht="12" customHeight="1" thickBot="1" x14ac:dyDescent="0.25">
      <c r="A14" s="1442"/>
      <c r="B14" s="1443"/>
      <c r="C14" s="1444"/>
      <c r="D14" s="1445" t="s">
        <v>496</v>
      </c>
      <c r="E14" s="1446" t="s">
        <v>950</v>
      </c>
      <c r="F14" s="1775">
        <f>SUM(F8:F13)</f>
        <v>5004735</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2">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1907</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105945</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3829</v>
      </c>
      <c r="G52" s="701"/>
    </row>
    <row r="53" spans="1:7" x14ac:dyDescent="0.2">
      <c r="A53" s="705" t="s">
        <v>454</v>
      </c>
      <c r="B53" s="705" t="s">
        <v>1456</v>
      </c>
      <c r="C53" s="724">
        <f>'Expenditures 15-22'!B102</f>
        <v>4000</v>
      </c>
      <c r="D53" s="723" t="str">
        <f>'Expenditures 15-22'!A102</f>
        <v>Total Payments to Other Govt Units</v>
      </c>
      <c r="E53" s="704"/>
      <c r="F53" s="1781">
        <f>'Expenditures 15-22'!K102</f>
        <v>167720</v>
      </c>
      <c r="G53" s="701"/>
    </row>
    <row r="54" spans="1:7" x14ac:dyDescent="0.2">
      <c r="A54" s="705" t="s">
        <v>454</v>
      </c>
      <c r="B54" s="705" t="s">
        <v>1457</v>
      </c>
      <c r="C54" s="724" t="s">
        <v>973</v>
      </c>
      <c r="D54" s="720" t="s">
        <v>1084</v>
      </c>
      <c r="E54" s="704"/>
      <c r="F54" s="1781">
        <f>'Expenditures 15-22'!G114</f>
        <v>8662</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1">
        <f>'Expenditures 15-22'!K139</f>
        <v>0</v>
      </c>
      <c r="G57" s="701"/>
    </row>
    <row r="58" spans="1:7" x14ac:dyDescent="0.2">
      <c r="A58" s="705" t="s">
        <v>455</v>
      </c>
      <c r="B58" s="705" t="s">
        <v>1852</v>
      </c>
      <c r="C58" s="721" t="s">
        <v>973</v>
      </c>
      <c r="D58" s="720" t="s">
        <v>1084</v>
      </c>
      <c r="E58" s="704"/>
      <c r="F58" s="1783">
        <f>'Expenditures 15-22'!G151</f>
        <v>23533</v>
      </c>
      <c r="G58" s="701"/>
    </row>
    <row r="59" spans="1:7" x14ac:dyDescent="0.2">
      <c r="A59" s="728" t="s">
        <v>455</v>
      </c>
      <c r="B59" s="692" t="s">
        <v>1853</v>
      </c>
      <c r="C59" s="729" t="s">
        <v>973</v>
      </c>
      <c r="D59" s="692" t="s">
        <v>286</v>
      </c>
      <c r="F59" s="1784">
        <f>'Expenditures 15-22'!I151</f>
        <v>0</v>
      </c>
      <c r="G59" s="701"/>
    </row>
    <row r="60" spans="1:7" x14ac:dyDescent="0.2">
      <c r="A60" s="728" t="s">
        <v>494</v>
      </c>
      <c r="B60" s="692" t="s">
        <v>1854</v>
      </c>
      <c r="C60" s="729">
        <v>4000</v>
      </c>
      <c r="D60" s="692" t="s">
        <v>307</v>
      </c>
      <c r="F60" s="1782">
        <f>'Expenditures 15-22'!K160</f>
        <v>0</v>
      </c>
      <c r="G60" s="701"/>
    </row>
    <row r="61" spans="1:7" x14ac:dyDescent="0.2">
      <c r="A61" s="730" t="s">
        <v>494</v>
      </c>
      <c r="B61" s="730" t="s">
        <v>1855</v>
      </c>
      <c r="C61" s="731" t="str">
        <f>'Expenditures 15-22'!B170</f>
        <v>5300</v>
      </c>
      <c r="D61" s="732" t="s">
        <v>306</v>
      </c>
      <c r="E61" s="715"/>
      <c r="F61" s="1781">
        <f>'Expenditures 15-22'!K170</f>
        <v>0</v>
      </c>
      <c r="G61" s="701"/>
    </row>
    <row r="62" spans="1:7" x14ac:dyDescent="0.2">
      <c r="A62" s="705" t="s">
        <v>456</v>
      </c>
      <c r="B62" s="705" t="s">
        <v>1856</v>
      </c>
      <c r="C62" s="721">
        <f>'Expenditures 15-22'!B185</f>
        <v>3000</v>
      </c>
      <c r="D62" s="712" t="s">
        <v>444</v>
      </c>
      <c r="E62" s="704"/>
      <c r="F62" s="1781">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1858</v>
      </c>
      <c r="C64" s="731" t="str">
        <f>'Expenditures 15-22'!B206</f>
        <v>5300</v>
      </c>
      <c r="D64" s="727" t="s">
        <v>306</v>
      </c>
      <c r="E64" s="704"/>
      <c r="F64" s="1781">
        <f>'Expenditures 15-22'!K206</f>
        <v>0</v>
      </c>
      <c r="G64" s="701"/>
    </row>
    <row r="65" spans="1:9" x14ac:dyDescent="0.2">
      <c r="A65" s="705" t="s">
        <v>456</v>
      </c>
      <c r="B65" s="705" t="s">
        <v>1859</v>
      </c>
      <c r="C65" s="721" t="s">
        <v>973</v>
      </c>
      <c r="D65" s="720" t="s">
        <v>1084</v>
      </c>
      <c r="E65" s="704"/>
      <c r="F65" s="1781">
        <f>'Expenditures 15-22'!G210</f>
        <v>55080</v>
      </c>
      <c r="G65" s="701"/>
    </row>
    <row r="66" spans="1:9" x14ac:dyDescent="0.2">
      <c r="A66" s="705" t="s">
        <v>456</v>
      </c>
      <c r="B66" s="705" t="s">
        <v>1860</v>
      </c>
      <c r="C66" s="721" t="s">
        <v>973</v>
      </c>
      <c r="D66" s="720" t="s">
        <v>286</v>
      </c>
      <c r="E66" s="704"/>
      <c r="F66" s="1781">
        <f>'Expenditures 15-22'!I210</f>
        <v>0</v>
      </c>
      <c r="G66" s="701"/>
    </row>
    <row r="67" spans="1:9" x14ac:dyDescent="0.2">
      <c r="A67" s="705" t="s">
        <v>457</v>
      </c>
      <c r="B67" s="705" t="s">
        <v>1861</v>
      </c>
      <c r="C67" s="721" t="str">
        <f>'Expenditures 15-22'!B216</f>
        <v>1125</v>
      </c>
      <c r="D67" s="727" t="str">
        <f>'Expenditures 15-22'!A216</f>
        <v>Pre-K Programs</v>
      </c>
      <c r="E67" s="704"/>
      <c r="F67" s="1781">
        <f>'Expenditures 15-22'!K216</f>
        <v>4732</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1863</v>
      </c>
      <c r="C70" s="721">
        <f>'Expenditures 15-22'!B221</f>
        <v>1300</v>
      </c>
      <c r="D70" s="722" t="str">
        <f>'Expenditures 15-22'!A221</f>
        <v>Adult/Continuing Education Programs</v>
      </c>
      <c r="E70" s="704"/>
      <c r="F70" s="1781">
        <f>'Expenditures 15-22'!K221</f>
        <v>0</v>
      </c>
      <c r="G70" s="701"/>
    </row>
    <row r="71" spans="1:9" x14ac:dyDescent="0.2">
      <c r="A71" s="705" t="s">
        <v>457</v>
      </c>
      <c r="B71" s="705" t="s">
        <v>1864</v>
      </c>
      <c r="C71" s="721">
        <f>'Expenditures 15-22'!B224</f>
        <v>1600</v>
      </c>
      <c r="D71" s="722" t="str">
        <f>'Expenditures 15-22'!A224</f>
        <v>Summer School Programs</v>
      </c>
      <c r="E71" s="704"/>
      <c r="F71" s="1781">
        <f>'Expenditures 15-22'!K224</f>
        <v>0</v>
      </c>
      <c r="G71" s="701"/>
    </row>
    <row r="72" spans="1:9" x14ac:dyDescent="0.2">
      <c r="A72" s="705" t="s">
        <v>457</v>
      </c>
      <c r="B72" s="705" t="s">
        <v>1865</v>
      </c>
      <c r="C72" s="721">
        <f>'Expenditures 15-22'!B280</f>
        <v>3000</v>
      </c>
      <c r="D72" s="712" t="s">
        <v>444</v>
      </c>
      <c r="E72" s="704"/>
      <c r="F72" s="1781">
        <f>'Expenditures 15-22'!K280</f>
        <v>0</v>
      </c>
      <c r="G72" s="701"/>
    </row>
    <row r="73" spans="1:9" x14ac:dyDescent="0.2">
      <c r="A73" s="705" t="s">
        <v>457</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1867</v>
      </c>
      <c r="C74" s="721" t="s">
        <v>853</v>
      </c>
      <c r="D74" s="722" t="s">
        <v>1468</v>
      </c>
      <c r="E74" s="704"/>
      <c r="F74" s="1785">
        <f>'Expenditures 15-22'!K334</f>
        <v>0</v>
      </c>
      <c r="G74" s="701"/>
    </row>
    <row r="75" spans="1:9" x14ac:dyDescent="0.2">
      <c r="A75" s="705" t="s">
        <v>2006</v>
      </c>
      <c r="B75" s="705" t="s">
        <v>2007</v>
      </c>
      <c r="C75" s="721" t="s">
        <v>973</v>
      </c>
      <c r="D75" s="722" t="s">
        <v>1084</v>
      </c>
      <c r="E75" s="704"/>
      <c r="F75" s="1785">
        <f>'Expenditures 15-22'!G342</f>
        <v>0</v>
      </c>
      <c r="G75" s="701"/>
    </row>
    <row r="76" spans="1:9" ht="10.5" customHeight="1" x14ac:dyDescent="0.2">
      <c r="A76" s="701" t="s">
        <v>431</v>
      </c>
      <c r="B76" s="705" t="s">
        <v>2008</v>
      </c>
      <c r="C76" s="711" t="s">
        <v>973</v>
      </c>
      <c r="D76" s="701" t="s">
        <v>286</v>
      </c>
      <c r="E76" s="704"/>
      <c r="F76" s="1785">
        <f>'Expenditures 15-22'!I342</f>
        <v>0</v>
      </c>
      <c r="G76" s="703"/>
    </row>
    <row r="77" spans="1:9" ht="12" thickBot="1" x14ac:dyDescent="0.25">
      <c r="A77" s="1442"/>
      <c r="B77" s="1447"/>
      <c r="C77" s="1444"/>
      <c r="D77" s="1448" t="s">
        <v>2009</v>
      </c>
      <c r="E77" s="1446" t="s">
        <v>950</v>
      </c>
      <c r="F77" s="1786">
        <f>SUM(F18:F76)</f>
        <v>369501</v>
      </c>
      <c r="G77" s="701"/>
    </row>
    <row r="78" spans="1:9" s="728" customFormat="1" ht="12" customHeight="1" thickTop="1" thickBot="1" x14ac:dyDescent="0.25">
      <c r="A78" s="1449"/>
      <c r="B78" s="1447"/>
      <c r="C78" s="1444"/>
      <c r="D78" s="1448" t="s">
        <v>2010</v>
      </c>
      <c r="E78" s="1446"/>
      <c r="F78" s="1787">
        <f>(F14-F77)</f>
        <v>4635234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449.4</v>
      </c>
      <c r="G79" s="733"/>
      <c r="H79" s="705"/>
      <c r="I79" s="705"/>
    </row>
    <row r="80" spans="1:9" s="728" customFormat="1" ht="12" customHeight="1" thickBot="1" x14ac:dyDescent="0.25">
      <c r="A80" s="1451"/>
      <c r="B80" s="1447"/>
      <c r="C80" s="1444"/>
      <c r="D80" s="1448" t="s">
        <v>2011</v>
      </c>
      <c r="E80" s="1446" t="s">
        <v>950</v>
      </c>
      <c r="F80" s="1789">
        <f>IF(F79&gt;0,F78/F79," Complete Line 79")</f>
        <v>10314.272363150869</v>
      </c>
      <c r="G80" s="705"/>
    </row>
    <row r="81" spans="1:7" s="728" customFormat="1" ht="8.25" customHeight="1" thickTop="1" x14ac:dyDescent="0.2">
      <c r="A81" s="734"/>
      <c r="B81" s="705"/>
      <c r="C81" s="707"/>
      <c r="D81" s="735"/>
      <c r="E81" s="704"/>
      <c r="F81" s="1790"/>
      <c r="G81" s="705"/>
    </row>
    <row r="82" spans="1:7" s="728" customFormat="1" ht="12" thickBot="1" x14ac:dyDescent="0.25">
      <c r="A82" s="2362" t="s">
        <v>1094</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49434</v>
      </c>
      <c r="G95" s="745"/>
    </row>
    <row r="96" spans="1:7" x14ac:dyDescent="0.2">
      <c r="A96" s="741" t="s">
        <v>139</v>
      </c>
      <c r="B96" s="741" t="s">
        <v>174</v>
      </c>
      <c r="C96" s="743">
        <v>1700</v>
      </c>
      <c r="D96" s="751" t="str">
        <f>'Revenues 9-14'!A82</f>
        <v>Total District/School Activity Income</v>
      </c>
      <c r="E96" s="739"/>
      <c r="F96" s="1792">
        <f>SUM('Revenues 9-14'!C82,'Revenues 9-14'!D82)</f>
        <v>10783</v>
      </c>
      <c r="G96" s="745"/>
    </row>
    <row r="97" spans="1:7" x14ac:dyDescent="0.2">
      <c r="A97" s="741" t="s">
        <v>454</v>
      </c>
      <c r="B97" s="741" t="s">
        <v>175</v>
      </c>
      <c r="C97" s="743">
        <f>'Revenues 9-14'!B84</f>
        <v>1811</v>
      </c>
      <c r="D97" s="744" t="str">
        <f>'Revenues 9-14'!A84</f>
        <v>Rentals - Regular Textbooks</v>
      </c>
      <c r="E97" s="739"/>
      <c r="F97" s="1792">
        <f>'Revenues 9-14'!C84</f>
        <v>10114</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6040</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1908</v>
      </c>
      <c r="C106" s="746">
        <v>3100</v>
      </c>
      <c r="D106" s="752" t="str">
        <f>'Revenues 9-14'!A132</f>
        <v>Total Special Education</v>
      </c>
      <c r="E106" s="739"/>
      <c r="F106" s="1792">
        <f>SUM('Revenues 9-14'!C132:D132,'Revenues 9-14'!F132)</f>
        <v>31957</v>
      </c>
      <c r="G106" s="745"/>
    </row>
    <row r="107" spans="1:7" x14ac:dyDescent="0.2">
      <c r="A107" s="741" t="s">
        <v>666</v>
      </c>
      <c r="B107" s="741" t="s">
        <v>1909</v>
      </c>
      <c r="C107" s="753">
        <v>3200</v>
      </c>
      <c r="D107" s="744" t="str">
        <f>'Revenues 9-14'!A141</f>
        <v>Total Career and Technical Education</v>
      </c>
      <c r="E107" s="739"/>
      <c r="F107" s="1792">
        <f>SUM('Revenues 9-14'!C141,'Revenues 9-14'!D141,'Revenues 9-14'!G141)</f>
        <v>25406</v>
      </c>
      <c r="G107" s="745"/>
    </row>
    <row r="108" spans="1:7" x14ac:dyDescent="0.2">
      <c r="A108" s="754" t="s">
        <v>657</v>
      </c>
      <c r="B108" s="741" t="s">
        <v>1910</v>
      </c>
      <c r="C108" s="753">
        <v>3300</v>
      </c>
      <c r="D108" s="744" t="str">
        <f>'Revenues 9-14'!A145</f>
        <v>Total Bilingual Ed</v>
      </c>
      <c r="E108" s="739"/>
      <c r="F108" s="1792">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2">
        <f>'Revenues 9-14'!C146</f>
        <v>1857</v>
      </c>
      <c r="G109" s="745"/>
    </row>
    <row r="110" spans="1:7" x14ac:dyDescent="0.2">
      <c r="A110" s="741" t="s">
        <v>666</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5087</v>
      </c>
      <c r="G111" s="745"/>
    </row>
    <row r="112" spans="1:7" x14ac:dyDescent="0.2">
      <c r="A112" s="741" t="s">
        <v>661</v>
      </c>
      <c r="B112" s="741" t="s">
        <v>1914</v>
      </c>
      <c r="C112" s="755">
        <v>3500</v>
      </c>
      <c r="D112" s="744" t="str">
        <f>'Revenues 9-14'!A155</f>
        <v>Total Transportation</v>
      </c>
      <c r="E112" s="739"/>
      <c r="F112" s="1792">
        <f>SUM('Revenues 9-14'!C155,'Revenues 9-14'!D155,'Revenues 9-14'!F155,'Revenues 9-14'!G155)</f>
        <v>290004</v>
      </c>
      <c r="G112" s="745"/>
    </row>
    <row r="113" spans="1:7" x14ac:dyDescent="0.2">
      <c r="A113" s="741" t="s">
        <v>454</v>
      </c>
      <c r="B113" s="741" t="s">
        <v>1915</v>
      </c>
      <c r="C113" s="753">
        <f>'Revenues 9-14'!B156</f>
        <v>3610</v>
      </c>
      <c r="D113" s="744" t="str">
        <f>'Revenues 9-14'!A156</f>
        <v>Learning Improvement - Change Grants</v>
      </c>
      <c r="E113" s="739"/>
      <c r="F113" s="1792">
        <f>'Revenues 9-14'!C156</f>
        <v>0</v>
      </c>
      <c r="G113" s="745"/>
    </row>
    <row r="114" spans="1:7" x14ac:dyDescent="0.2">
      <c r="A114" s="741" t="s">
        <v>661</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1">
        <f>SUM('Revenues 9-14'!C163:G163)</f>
        <v>0</v>
      </c>
      <c r="G119" s="745"/>
    </row>
    <row r="120" spans="1:7" x14ac:dyDescent="0.2">
      <c r="A120" s="756" t="s">
        <v>499</v>
      </c>
      <c r="B120" s="756" t="s">
        <v>1922</v>
      </c>
      <c r="C120" s="757">
        <f>'Revenues 9-14'!B164</f>
        <v>3815</v>
      </c>
      <c r="D120" s="758" t="str">
        <f>'Revenues 9-14'!A164</f>
        <v>State Charter Schools</v>
      </c>
      <c r="E120" s="739"/>
      <c r="F120" s="1791">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2">
        <f>'Revenues 9-14'!D167</f>
        <v>50000</v>
      </c>
      <c r="G121" s="763"/>
    </row>
    <row r="122" spans="1:7" x14ac:dyDescent="0.2">
      <c r="A122" s="760" t="s">
        <v>495</v>
      </c>
      <c r="B122" s="760" t="s">
        <v>1924</v>
      </c>
      <c r="C122" s="761">
        <f>'Revenues 9-14'!B168</f>
        <v>3999</v>
      </c>
      <c r="D122" s="762" t="s">
        <v>538</v>
      </c>
      <c r="E122" s="764"/>
      <c r="F122" s="1792">
        <f>SUM('Revenues 9-14'!C168:G168,'Revenues 9-14'!J168)</f>
        <v>1324</v>
      </c>
      <c r="G122" s="763"/>
    </row>
    <row r="123" spans="1:7" x14ac:dyDescent="0.2">
      <c r="A123" s="760" t="s">
        <v>454</v>
      </c>
      <c r="B123" s="760" t="s">
        <v>1925</v>
      </c>
      <c r="C123" s="765">
        <f>'Revenues 9-14'!B177</f>
        <v>4045</v>
      </c>
      <c r="D123" s="762" t="str">
        <f>'Revenues 9-14'!A177 &amp; " (Subtract)"</f>
        <v>Head Start (Subtract)</v>
      </c>
      <c r="E123" s="739"/>
      <c r="F123" s="1792">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1927</v>
      </c>
      <c r="C125" s="765">
        <v>4100</v>
      </c>
      <c r="D125" s="766" t="str">
        <f>'Revenues 9-14'!A188</f>
        <v>Total Title V</v>
      </c>
      <c r="E125" s="739"/>
      <c r="F125" s="1792">
        <f>SUM('Revenues 9-14'!C188,'Revenues 9-14'!D188,'Revenues 9-14'!F188,'Revenues 9-14'!G188)</f>
        <v>13748</v>
      </c>
      <c r="G125" s="763"/>
    </row>
    <row r="126" spans="1:7" x14ac:dyDescent="0.2">
      <c r="A126" s="760" t="s">
        <v>657</v>
      </c>
      <c r="B126" s="760" t="s">
        <v>1928</v>
      </c>
      <c r="C126" s="765">
        <v>4200</v>
      </c>
      <c r="D126" s="762" t="str">
        <f>'Revenues 9-14'!A198</f>
        <v>Total Food Service</v>
      </c>
      <c r="E126" s="739"/>
      <c r="F126" s="1792">
        <f>SUM('Revenues 9-14'!C198,'Revenues 9-14'!G198)</f>
        <v>193501</v>
      </c>
      <c r="G126" s="763"/>
    </row>
    <row r="127" spans="1:7" x14ac:dyDescent="0.2">
      <c r="A127" s="760" t="s">
        <v>661</v>
      </c>
      <c r="B127" s="760" t="s">
        <v>1929</v>
      </c>
      <c r="C127" s="765">
        <v>4300</v>
      </c>
      <c r="D127" s="766" t="str">
        <f>'Revenues 9-14'!A204</f>
        <v>Total Title I</v>
      </c>
      <c r="E127" s="739"/>
      <c r="F127" s="1792">
        <f>SUM('Revenues 9-14'!C204,'Revenues 9-14'!D204,'Revenues 9-14'!F204,'Revenues 9-14'!G204)</f>
        <v>223288</v>
      </c>
      <c r="G127" s="763"/>
    </row>
    <row r="128" spans="1:7" x14ac:dyDescent="0.2">
      <c r="A128" s="760" t="s">
        <v>661</v>
      </c>
      <c r="B128" s="760" t="s">
        <v>1930</v>
      </c>
      <c r="C128" s="765">
        <v>4400</v>
      </c>
      <c r="D128" s="766" t="str">
        <f>'Revenues 9-14'!A209</f>
        <v>Total Title IV</v>
      </c>
      <c r="E128" s="739"/>
      <c r="F128" s="1792">
        <f>SUM('Revenues 9-14'!C209,'Revenues 9-14'!D209,'Revenues 9-14'!F209,'Revenues 9-14'!G209)</f>
        <v>0</v>
      </c>
      <c r="G128" s="763"/>
    </row>
    <row r="129" spans="1:7" x14ac:dyDescent="0.2">
      <c r="A129" s="760" t="s">
        <v>661</v>
      </c>
      <c r="B129" s="760" t="s">
        <v>1931</v>
      </c>
      <c r="C129" s="765">
        <f>'Revenues 9-14'!B213</f>
        <v>4620</v>
      </c>
      <c r="D129" s="766" t="str">
        <f>'Revenues 9-14'!A213</f>
        <v>Fed - Spec Education - IDEA - Flow Through</v>
      </c>
      <c r="E129" s="739"/>
      <c r="F129" s="1792">
        <f>SUM('Revenues 9-14'!C213:D213,'Revenues 9-14'!F213:G213)</f>
        <v>57770</v>
      </c>
      <c r="G129" s="763"/>
    </row>
    <row r="130" spans="1:7" x14ac:dyDescent="0.2">
      <c r="A130" s="760" t="s">
        <v>661</v>
      </c>
      <c r="B130" s="760" t="s">
        <v>1932</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1949</v>
      </c>
      <c r="C158" s="773" t="s">
        <v>834</v>
      </c>
      <c r="D158" s="774" t="s">
        <v>770</v>
      </c>
      <c r="E158" s="775"/>
      <c r="F158" s="1792">
        <f>SUM(F134:F157)</f>
        <v>0</v>
      </c>
      <c r="G158" s="738"/>
    </row>
    <row r="159" spans="1:7" s="703" customFormat="1" x14ac:dyDescent="0.2">
      <c r="A159" s="771" t="s">
        <v>454</v>
      </c>
      <c r="B159" s="772" t="s">
        <v>1950</v>
      </c>
      <c r="C159" s="773" t="s">
        <v>1408</v>
      </c>
      <c r="D159" s="774" t="s">
        <v>1409</v>
      </c>
      <c r="E159" s="775"/>
      <c r="F159" s="1792">
        <f>SUM('Revenues 9-14'!C253)</f>
        <v>0</v>
      </c>
      <c r="G159" s="738"/>
    </row>
    <row r="160" spans="1:7" s="703" customFormat="1" x14ac:dyDescent="0.2">
      <c r="A160" s="771" t="s">
        <v>495</v>
      </c>
      <c r="B160" s="772" t="s">
        <v>1951</v>
      </c>
      <c r="C160" s="773" t="s">
        <v>1447</v>
      </c>
      <c r="D160" s="774" t="s">
        <v>1448</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1">
        <f>SUM('Revenues 9-14'!C259,'Revenues 9-14'!D259,'Revenues 9-14'!F259,'Revenues 9-14'!G259)</f>
        <v>27079</v>
      </c>
      <c r="G165" s="763"/>
    </row>
    <row r="166" spans="1:7" x14ac:dyDescent="0.2">
      <c r="A166" s="760" t="s">
        <v>661</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2">
        <f>SUM('Revenues 9-14'!C263:D263,'Revenues 9-14'!F263:G263)</f>
        <v>3982</v>
      </c>
      <c r="G169" s="780">
        <v>6320</v>
      </c>
    </row>
    <row r="170" spans="1:7" x14ac:dyDescent="0.2">
      <c r="A170" s="760" t="s">
        <v>661</v>
      </c>
      <c r="B170" s="760" t="s">
        <v>1959</v>
      </c>
      <c r="C170" s="765">
        <f>'Revenues 9-14'!B264</f>
        <v>4992</v>
      </c>
      <c r="D170" s="766" t="str">
        <f>'Revenues 9-14'!A264</f>
        <v>Medicaid Matching Funds - Fee-for-Service Program</v>
      </c>
      <c r="E170" s="739"/>
      <c r="F170" s="1792">
        <f>SUM('Revenues 9-14'!C264:D264,'Revenues 9-14'!F264:G264)</f>
        <v>17115</v>
      </c>
      <c r="G170" s="780"/>
    </row>
    <row r="171" spans="1:7" x14ac:dyDescent="0.2">
      <c r="A171" s="781" t="s">
        <v>661</v>
      </c>
      <c r="B171" s="777" t="s">
        <v>1960</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1883</v>
      </c>
      <c r="C172" s="1530">
        <v>3100</v>
      </c>
      <c r="D172" s="1531" t="s">
        <v>1885</v>
      </c>
      <c r="E172" s="739"/>
      <c r="F172" s="1793">
        <v>165054</v>
      </c>
      <c r="G172" s="760"/>
    </row>
    <row r="173" spans="1:7" x14ac:dyDescent="0.2">
      <c r="A173" s="1528" t="s">
        <v>657</v>
      </c>
      <c r="B173" s="1529" t="s">
        <v>1883</v>
      </c>
      <c r="C173" s="1530">
        <v>3300</v>
      </c>
      <c r="D173" s="1531" t="s">
        <v>1886</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950</v>
      </c>
      <c r="F175" s="1795">
        <f>SUM(F85:F133,F158:F173)</f>
        <v>1183543</v>
      </c>
    </row>
    <row r="176" spans="1:7" ht="12" customHeight="1" x14ac:dyDescent="0.2">
      <c r="A176" s="1442"/>
      <c r="B176" s="1452"/>
      <c r="C176" s="1453"/>
      <c r="D176" s="1454" t="s">
        <v>2012</v>
      </c>
      <c r="E176" s="1455"/>
      <c r="F176" s="1792">
        <f>'PCTC-OEPP 27-28'!F78-F175</f>
        <v>3451691</v>
      </c>
    </row>
    <row r="177" spans="1:9" ht="12" customHeight="1" x14ac:dyDescent="0.2">
      <c r="A177" s="1442"/>
      <c r="B177" s="1452"/>
      <c r="C177" s="1453"/>
      <c r="D177" s="1454" t="s">
        <v>1792</v>
      </c>
      <c r="E177" s="1455"/>
      <c r="F177" s="1792">
        <f>'Cap Outlay Deprec 26'!I18</f>
        <v>107429</v>
      </c>
    </row>
    <row r="178" spans="1:9" ht="12" customHeight="1" x14ac:dyDescent="0.2">
      <c r="A178" s="1442"/>
      <c r="B178" s="1452"/>
      <c r="C178" s="1453"/>
      <c r="D178" s="1454" t="s">
        <v>2013</v>
      </c>
      <c r="E178" s="1455"/>
      <c r="F178" s="1792">
        <f>F176+F177</f>
        <v>3559120</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449.4</v>
      </c>
      <c r="G179" s="763"/>
      <c r="I179" s="701"/>
    </row>
    <row r="180" spans="1:9" ht="12" customHeight="1" thickBot="1" x14ac:dyDescent="0.25">
      <c r="A180" s="1442"/>
      <c r="B180" s="1456"/>
      <c r="C180" s="1453"/>
      <c r="D180" s="1454" t="s">
        <v>2015</v>
      </c>
      <c r="E180" s="1455" t="s">
        <v>1526</v>
      </c>
      <c r="F180" s="1797">
        <f>F178/F179</f>
        <v>7919.7151757899428</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4"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6" t="s">
        <v>1793</v>
      </c>
      <c r="B4" s="2377"/>
      <c r="C4" s="2377"/>
      <c r="D4" s="2377"/>
      <c r="E4" s="2377"/>
      <c r="F4" s="2378"/>
    </row>
    <row r="5" spans="1:6" x14ac:dyDescent="0.25">
      <c r="A5" s="2379"/>
      <c r="B5" s="2380"/>
      <c r="C5" s="2380"/>
      <c r="D5" s="2380"/>
      <c r="E5" s="2380"/>
      <c r="F5" s="2381"/>
    </row>
    <row r="6" spans="1:6" ht="18.75" x14ac:dyDescent="0.25">
      <c r="A6" s="1866" t="s">
        <v>1794</v>
      </c>
      <c r="B6" s="1867"/>
      <c r="C6" s="1868"/>
      <c r="D6" s="1868"/>
      <c r="E6" s="1868"/>
      <c r="F6" s="1869"/>
    </row>
    <row r="7" spans="1:6" ht="47.25" customHeight="1" x14ac:dyDescent="0.25">
      <c r="A7" s="2382" t="s">
        <v>1983</v>
      </c>
      <c r="B7" s="2383"/>
      <c r="C7" s="2383"/>
      <c r="D7" s="2383"/>
      <c r="E7" s="2383"/>
      <c r="F7" s="2384"/>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5" t="s">
        <v>1979</v>
      </c>
      <c r="B10" s="2386"/>
      <c r="C10" s="2386"/>
      <c r="D10" s="2386"/>
      <c r="E10" s="2386"/>
      <c r="F10" s="2387"/>
    </row>
    <row r="11" spans="1:6" ht="33" customHeight="1" x14ac:dyDescent="0.25">
      <c r="A11" s="2382" t="s">
        <v>1984</v>
      </c>
      <c r="B11" s="2383"/>
      <c r="C11" s="2383"/>
      <c r="D11" s="2383"/>
      <c r="E11" s="2383"/>
      <c r="F11" s="2384"/>
    </row>
    <row r="12" spans="1:6" ht="15" customHeight="1" x14ac:dyDescent="0.25">
      <c r="A12" s="1872" t="s">
        <v>1980</v>
      </c>
      <c r="B12" s="1873"/>
      <c r="C12" s="1874"/>
      <c r="D12" s="1874"/>
      <c r="E12" s="1874"/>
      <c r="F12" s="1875"/>
    </row>
    <row r="13" spans="1:6" ht="17.25" customHeight="1" x14ac:dyDescent="0.25">
      <c r="A13" s="2382" t="s">
        <v>1981</v>
      </c>
      <c r="B13" s="2383"/>
      <c r="C13" s="2383"/>
      <c r="D13" s="2383"/>
      <c r="E13" s="2383"/>
      <c r="F13" s="2384"/>
    </row>
    <row r="14" spans="1:6" ht="15" customHeight="1" x14ac:dyDescent="0.25">
      <c r="A14" s="1872" t="s">
        <v>1798</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2080</v>
      </c>
      <c r="B18" s="1907">
        <v>101000300</v>
      </c>
      <c r="C18" s="2035" t="s">
        <v>2081</v>
      </c>
      <c r="D18" s="1885">
        <v>12786</v>
      </c>
      <c r="E18" s="1905">
        <f t="shared" ref="E18:E81" si="0">IF(D18&lt;25000,D18,"25,000")</f>
        <v>12786</v>
      </c>
      <c r="F18" s="1905" t="str">
        <f t="shared" ref="F18:F81" si="1">IF(D18&gt;=25000,(D18-E18),"0")</f>
        <v>0</v>
      </c>
      <c r="G18" s="1886"/>
    </row>
    <row r="19" spans="1:7" x14ac:dyDescent="0.25">
      <c r="A19" s="2034" t="s">
        <v>2085</v>
      </c>
      <c r="B19" s="1907">
        <v>101000300</v>
      </c>
      <c r="C19" s="2035" t="s">
        <v>2084</v>
      </c>
      <c r="D19" s="1885">
        <v>9415</v>
      </c>
      <c r="E19" s="1905">
        <f t="shared" si="0"/>
        <v>9415</v>
      </c>
      <c r="F19" s="1905" t="str">
        <f t="shared" si="1"/>
        <v>0</v>
      </c>
    </row>
    <row r="20" spans="1:7" x14ac:dyDescent="0.25">
      <c r="A20" s="2034" t="s">
        <v>2075</v>
      </c>
      <c r="B20" s="1907">
        <v>102520300</v>
      </c>
      <c r="C20" s="2035" t="s">
        <v>2074</v>
      </c>
      <c r="D20" s="1885">
        <v>8500</v>
      </c>
      <c r="E20" s="1905">
        <f t="shared" si="0"/>
        <v>8500</v>
      </c>
      <c r="F20" s="1905" t="str">
        <f t="shared" si="1"/>
        <v>0</v>
      </c>
    </row>
    <row r="21" spans="1:7" x14ac:dyDescent="0.25">
      <c r="A21" s="2034" t="s">
        <v>2078</v>
      </c>
      <c r="B21" s="1907">
        <v>102540300</v>
      </c>
      <c r="C21" s="2035" t="s">
        <v>2079</v>
      </c>
      <c r="D21" s="1885">
        <v>3335</v>
      </c>
      <c r="E21" s="1905">
        <f t="shared" si="0"/>
        <v>3335</v>
      </c>
      <c r="F21" s="1905" t="str">
        <f t="shared" si="1"/>
        <v>0</v>
      </c>
    </row>
    <row r="22" spans="1:7" x14ac:dyDescent="0.25">
      <c r="A22" s="2034" t="s">
        <v>2088</v>
      </c>
      <c r="B22" s="1907">
        <v>102540300</v>
      </c>
      <c r="C22" s="2035" t="s">
        <v>2089</v>
      </c>
      <c r="D22" s="1885">
        <v>11365</v>
      </c>
      <c r="E22" s="1905">
        <f t="shared" si="0"/>
        <v>11365</v>
      </c>
      <c r="F22" s="1905" t="str">
        <f t="shared" si="1"/>
        <v>0</v>
      </c>
    </row>
    <row r="23" spans="1:7" x14ac:dyDescent="0.25">
      <c r="A23" s="2034" t="s">
        <v>2072</v>
      </c>
      <c r="B23" s="1907">
        <v>202540300</v>
      </c>
      <c r="C23" s="2035" t="s">
        <v>2073</v>
      </c>
      <c r="D23" s="1885">
        <v>8400</v>
      </c>
      <c r="E23" s="1905">
        <f t="shared" si="0"/>
        <v>8400</v>
      </c>
      <c r="F23" s="1905" t="str">
        <f t="shared" si="1"/>
        <v>0</v>
      </c>
    </row>
    <row r="24" spans="1:7" x14ac:dyDescent="0.25">
      <c r="A24" s="2034" t="s">
        <v>2087</v>
      </c>
      <c r="B24" s="1907">
        <v>402550300</v>
      </c>
      <c r="C24" s="2035" t="s">
        <v>2086</v>
      </c>
      <c r="D24" s="1885">
        <v>4275</v>
      </c>
      <c r="E24" s="1905">
        <f t="shared" si="0"/>
        <v>4275</v>
      </c>
      <c r="F24" s="1905" t="str">
        <f t="shared" si="1"/>
        <v>0</v>
      </c>
    </row>
    <row r="25" spans="1:7" x14ac:dyDescent="0.25">
      <c r="A25" s="2034" t="s">
        <v>2082</v>
      </c>
      <c r="B25" s="1907">
        <v>802300300</v>
      </c>
      <c r="C25" s="2035" t="s">
        <v>2083</v>
      </c>
      <c r="D25" s="1885">
        <v>174668</v>
      </c>
      <c r="E25" s="1905" t="str">
        <f t="shared" si="0"/>
        <v>25,000</v>
      </c>
      <c r="F25" s="1905">
        <f t="shared" si="1"/>
        <v>149668</v>
      </c>
    </row>
    <row r="26" spans="1:7" x14ac:dyDescent="0.25">
      <c r="A26" s="2034" t="s">
        <v>2076</v>
      </c>
      <c r="B26" s="1907">
        <v>802300300</v>
      </c>
      <c r="C26" s="2035" t="s">
        <v>2077</v>
      </c>
      <c r="D26" s="1885">
        <v>5616</v>
      </c>
      <c r="E26" s="1905">
        <f t="shared" si="0"/>
        <v>5616</v>
      </c>
      <c r="F26" s="1905" t="str">
        <f t="shared" si="1"/>
        <v>0</v>
      </c>
    </row>
    <row r="27" spans="1:7" x14ac:dyDescent="0.25">
      <c r="A27" s="2034"/>
      <c r="B27" s="1907"/>
      <c r="C27" s="2035"/>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2034"/>
      <c r="B29" s="1907"/>
      <c r="C29" s="2035"/>
      <c r="D29" s="1885"/>
      <c r="E29" s="1905">
        <f t="shared" si="0"/>
        <v>0</v>
      </c>
      <c r="F29" s="1905" t="str">
        <f t="shared" si="1"/>
        <v>0</v>
      </c>
    </row>
    <row r="30" spans="1:7" x14ac:dyDescent="0.25">
      <c r="A30" s="2034"/>
      <c r="B30" s="1907"/>
      <c r="C30" s="2035"/>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238360</v>
      </c>
      <c r="E142" s="1892">
        <f>SUM(E18:E141)</f>
        <v>63692</v>
      </c>
      <c r="F142" s="1893">
        <f>SUM(F18:F141)</f>
        <v>149668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64" fitToHeight="0" orientation="landscape" useFirstPageNumber="1" r:id="rId1"/>
  <headerFooter>
    <oddFooter>&amp;C&amp;11&amp;P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8" t="s">
        <v>1658</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169423</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20713</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2704104</v>
      </c>
      <c r="F19" s="1801"/>
      <c r="G19" s="1803">
        <f>'Expenditures 15-22'!K33-SUM('Expenditures 15-22'!G33,'Expenditures 15-22'!I33)+'Expenditures 15-22'!D229</f>
        <v>2704104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145336</v>
      </c>
      <c r="F21" s="1804"/>
      <c r="G21" s="1807">
        <f>'Expenditures 15-22'!K42-SUM('Expenditures 15-22'!G42,'Expenditures 15-22'!I42)+'Expenditures 15-22'!K120-SUM('Expenditures 15-22'!G120,'Expenditures 15-22'!I120)+'Expenditures 15-22'!K180-SUM('Expenditures 15-22'!G180,'Expenditures 15-22'!I180)+'Expenditures 15-22'!D238</f>
        <v>145336</v>
      </c>
      <c r="H21" s="817"/>
      <c r="I21" s="157"/>
    </row>
    <row r="22" spans="1:9" s="542" customFormat="1" ht="12" customHeight="1" x14ac:dyDescent="0.2">
      <c r="A22" s="824" t="s">
        <v>558</v>
      </c>
      <c r="B22" s="825"/>
      <c r="C22" s="823">
        <v>2200</v>
      </c>
      <c r="D22" s="1804"/>
      <c r="E22" s="1806">
        <f>'Expenditures 15-22'!K47-SUM('Expenditures 15-22'!G47,'Expenditures 15-22'!I47)+'Expenditures 15-22'!D243</f>
        <v>97074</v>
      </c>
      <c r="F22" s="1804"/>
      <c r="G22" s="1807">
        <f>'Expenditures 15-22'!K47-SUM('Expenditures 15-22'!G47,'Expenditures 15-22'!I47)+'Expenditures 15-22'!D243</f>
        <v>97074</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361137</v>
      </c>
      <c r="F23" s="1804"/>
      <c r="G23" s="1806">
        <f>'Expenditures 15-22'!K53-SUM('Expenditures 15-22'!G53,'Expenditures 15-22'!I53)+'Expenditures 15-22'!D257+'Expenditures 15-22'!K330-SUM('Expenditures 15-22'!G330,'Expenditures 15-22'!I330)</f>
        <v>361137</v>
      </c>
      <c r="H23" s="817"/>
      <c r="I23" s="157"/>
    </row>
    <row r="24" spans="1:9" s="542" customFormat="1" ht="12" customHeight="1" x14ac:dyDescent="0.2">
      <c r="A24" s="824" t="s">
        <v>560</v>
      </c>
      <c r="B24" s="825"/>
      <c r="C24" s="823">
        <v>2400</v>
      </c>
      <c r="D24" s="1804"/>
      <c r="E24" s="1806">
        <f>'Expenditures 15-22'!K57-SUM('Expenditures 15-22'!G57,'Expenditures 15-22'!I57)+'Expenditures 15-22'!D261</f>
        <v>291422</v>
      </c>
      <c r="F24" s="1804"/>
      <c r="G24" s="1807">
        <f>'Expenditures 15-22'!K57-SUM('Expenditures 15-22'!G57,'Expenditures 15-22'!I57)+'Expenditures 15-22'!D261</f>
        <v>291422</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67849</v>
      </c>
      <c r="E27" s="1806">
        <f>E8</f>
        <v>0</v>
      </c>
      <c r="F27" s="1806">
        <f>'Expenditures 15-22'!K60-SUM('Expenditures 15-22'!G60,'Expenditures 15-22'!I60)+'Expenditures 15-22'!D264-E8</f>
        <v>67849</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449324</v>
      </c>
      <c r="F28" s="1808">
        <f>'Expenditures 15-22'!K61-SUM('Expenditures 15-22'!G61,'Expenditures 15-22'!I61)+'Expenditures 15-22'!K124-SUM('Expenditures 15-22'!G124,'Expenditures 15-22'!I124)+'Expenditures 15-22'!D266-E9</f>
        <v>449324</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391481</v>
      </c>
      <c r="F29" s="1804"/>
      <c r="G29" s="1807">
        <f>'Expenditures 15-22'!K62-SUM('Expenditures 15-22'!G62,'Expenditures 15-22'!I62)+'Expenditures 15-22'!K125-SUM('Expenditures 15-22'!G125,'Expenditures 15-22'!I125)+'Expenditures 15-22'!K182-SUM('Expenditures 15-22'!G182,'Expenditures 15-22'!I182)+'Expenditures 15-22'!D267</f>
        <v>391481</v>
      </c>
      <c r="H29" s="815"/>
    </row>
    <row r="30" spans="1:9" ht="12" customHeight="1" x14ac:dyDescent="0.2">
      <c r="A30" s="824" t="s">
        <v>100</v>
      </c>
      <c r="B30" s="827"/>
      <c r="C30" s="823">
        <v>2560</v>
      </c>
      <c r="D30" s="1804"/>
      <c r="E30" s="1806">
        <f>'Expenditures 15-22'!K63-SUM('Expenditures 15-22'!G63,'Expenditures 15-22'!I63)+'Expenditures 15-22'!D268-E10</f>
        <v>68406</v>
      </c>
      <c r="F30" s="1804"/>
      <c r="G30" s="1806">
        <f>'Expenditures 15-22'!K63-SUM('Expenditures 15-22'!G63,'Expenditures 15-22'!I63)+'Expenditures 15-22'!D268-E10</f>
        <v>68406</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355</v>
      </c>
      <c r="F38" s="1804"/>
      <c r="G38" s="1806">
        <f>'Expenditures 15-22'!K73-SUM('Expenditures 15-22'!G73,'Expenditures 15-22'!I73)+'Expenditures 15-22'!K128-SUM('Expenditures 15-22'!G128,'Expenditures 15-22'!I128)+'Expenditures 15-22'!K183-SUM('Expenditures 15-22'!G183,'Expenditures 15-22'!I183)+'Expenditures 15-22'!D278</f>
        <v>355</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3829</v>
      </c>
      <c r="F39" s="1804"/>
      <c r="G39" s="1806">
        <f>'Expenditures 15-22'!K75-SUM('Expenditures 15-22'!G75,'Expenditures 15-22'!I75)+'Expenditures 15-22'!K130-SUM('Expenditures 15-22'!G130,'Expenditures 15-22'!I130)+'Expenditures 15-22'!K185-SUM('Expenditures 15-22'!G185,'Expenditures 15-22'!I185)+'Expenditures 15-22'!D280</f>
        <v>3829</v>
      </c>
    </row>
    <row r="40" spans="1:7" ht="12" customHeight="1" x14ac:dyDescent="0.2">
      <c r="A40" s="820" t="s">
        <v>1796</v>
      </c>
      <c r="B40" s="821"/>
      <c r="C40" s="823"/>
      <c r="D40" s="1804"/>
      <c r="E40" s="1808">
        <f>-'Contracts Paid in CY 29'!F142</f>
        <v>-149668</v>
      </c>
      <c r="F40" s="1804"/>
      <c r="G40" s="1808">
        <f>-'Contracts Paid in CY 29'!F142</f>
        <v>-149668</v>
      </c>
    </row>
    <row r="41" spans="1:7" ht="12" customHeight="1" x14ac:dyDescent="0.2">
      <c r="A41" s="828" t="s">
        <v>155</v>
      </c>
      <c r="B41" s="829"/>
      <c r="C41" s="830"/>
      <c r="D41" s="1808">
        <f>SUM(D19:D39)</f>
        <v>67849</v>
      </c>
      <c r="E41" s="1808">
        <f>SUM(E19:E40)</f>
        <v>4362800</v>
      </c>
      <c r="F41" s="1808">
        <f>SUM(F19:F39)</f>
        <v>517173</v>
      </c>
      <c r="G41" s="1808">
        <f>SUM(G19:G40)</f>
        <v>3913476</v>
      </c>
    </row>
    <row r="42" spans="1:7" x14ac:dyDescent="0.2">
      <c r="A42" s="817"/>
      <c r="B42" s="157"/>
      <c r="C42" s="831"/>
      <c r="D42" s="2391" t="s">
        <v>517</v>
      </c>
      <c r="E42" s="2392"/>
      <c r="F42" s="832" t="s">
        <v>518</v>
      </c>
      <c r="G42" s="833"/>
    </row>
    <row r="43" spans="1:7" ht="12" customHeight="1" x14ac:dyDescent="0.2">
      <c r="A43" s="817"/>
      <c r="B43" s="157"/>
      <c r="C43" s="831"/>
      <c r="D43" s="1457" t="s">
        <v>468</v>
      </c>
      <c r="E43" s="1809">
        <f>D41</f>
        <v>67849</v>
      </c>
      <c r="F43" s="1457" t="s">
        <v>468</v>
      </c>
      <c r="G43" s="1809">
        <f>F41</f>
        <v>517173</v>
      </c>
    </row>
    <row r="44" spans="1:7" ht="12" customHeight="1" x14ac:dyDescent="0.2">
      <c r="A44" s="817"/>
      <c r="B44" s="157"/>
      <c r="C44" s="831"/>
      <c r="D44" s="1457" t="s">
        <v>469</v>
      </c>
      <c r="E44" s="1809">
        <f>E41</f>
        <v>4362800</v>
      </c>
      <c r="F44" s="1457" t="s">
        <v>469</v>
      </c>
      <c r="G44" s="1809">
        <f>G41</f>
        <v>3913476</v>
      </c>
    </row>
    <row r="45" spans="1:7" ht="12" customHeight="1" x14ac:dyDescent="0.2">
      <c r="A45" s="817"/>
      <c r="B45" s="157"/>
      <c r="C45" s="157"/>
      <c r="D45" s="1458" t="s">
        <v>997</v>
      </c>
      <c r="E45" s="1810">
        <f>(E43/E44)</f>
        <v>1.5551709911066287E-2</v>
      </c>
      <c r="F45" s="1458" t="s">
        <v>997</v>
      </c>
      <c r="G45" s="1810">
        <f>(G43/G44)</f>
        <v>0.13215182615148272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&amp;C&amp;11 70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1361</v>
      </c>
      <c r="B1" s="2399"/>
      <c r="C1" s="2399"/>
      <c r="D1" s="2399"/>
      <c r="E1" s="2399"/>
      <c r="F1" s="2399"/>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1527</v>
      </c>
      <c r="B5" s="2401"/>
      <c r="C5" s="2402"/>
      <c r="D5" s="2402"/>
      <c r="E5" s="2402"/>
      <c r="F5" s="2402"/>
      <c r="G5" s="1506"/>
      <c r="L5" s="1506"/>
      <c r="M5" s="1854"/>
      <c r="N5" s="1854"/>
      <c r="O5" s="1854"/>
    </row>
    <row r="6" spans="1:15" ht="12" customHeight="1" x14ac:dyDescent="0.25">
      <c r="A6" s="1479"/>
      <c r="B6" s="1480"/>
      <c r="C6" s="2403" t="str">
        <f>COVER!A17</f>
        <v xml:space="preserve">  Pope County CUSD 1</v>
      </c>
      <c r="D6" s="2403"/>
      <c r="E6" s="2403"/>
      <c r="F6" s="1481"/>
      <c r="G6" s="1506"/>
      <c r="L6" s="1506"/>
      <c r="M6" s="1854"/>
      <c r="N6" s="1854"/>
      <c r="O6" s="1854"/>
    </row>
    <row r="7" spans="1:15" ht="11.25" customHeight="1" thickBot="1" x14ac:dyDescent="0.3">
      <c r="A7" s="1479"/>
      <c r="B7" s="1480"/>
      <c r="C7" s="2404">
        <f>COVER!A13</f>
        <v>20076001026</v>
      </c>
      <c r="D7" s="2404"/>
      <c r="E7" s="2404"/>
      <c r="F7" s="1481"/>
      <c r="G7" s="1506"/>
      <c r="L7" s="1506"/>
      <c r="M7" s="1854"/>
      <c r="N7" s="1854"/>
      <c r="O7" s="1854"/>
    </row>
    <row r="8" spans="1:15" ht="25.5" customHeight="1" thickBot="1" x14ac:dyDescent="0.25">
      <c r="A8" s="1518" t="s">
        <v>1872</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t="s">
        <v>2049</v>
      </c>
      <c r="D26" s="1494" t="s">
        <v>2049</v>
      </c>
      <c r="E26" s="1497"/>
      <c r="F26" s="1496" t="s">
        <v>2069</v>
      </c>
      <c r="G26" s="1506"/>
      <c r="H26" s="1506">
        <f t="shared" si="0"/>
        <v>5</v>
      </c>
      <c r="I26" s="1506">
        <f t="shared" si="1"/>
        <v>5</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1521</v>
      </c>
      <c r="B32" s="1493"/>
      <c r="C32" s="1494" t="s">
        <v>2049</v>
      </c>
      <c r="D32" s="1494" t="s">
        <v>2049</v>
      </c>
      <c r="E32" s="1497"/>
      <c r="F32" s="1496" t="s">
        <v>2070</v>
      </c>
      <c r="G32" s="1506"/>
      <c r="H32" s="1506">
        <f t="shared" si="0"/>
        <v>5</v>
      </c>
      <c r="I32" s="1506">
        <f t="shared" si="1"/>
        <v>5</v>
      </c>
      <c r="J32" s="1506">
        <f t="shared" si="2"/>
        <v>0</v>
      </c>
      <c r="L32" s="1506"/>
      <c r="M32" s="1854"/>
      <c r="N32" s="1854"/>
      <c r="O32" s="1854"/>
    </row>
    <row r="33" spans="1:15" ht="12" customHeight="1" x14ac:dyDescent="0.2">
      <c r="A33" s="1492" t="s">
        <v>1522</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1374</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1373</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t="s">
        <v>2071</v>
      </c>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&amp;C&amp;12 68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19" t="str">
        <f>COVER!A17</f>
        <v xml:space="preserve">  Pope County CUSD 1</v>
      </c>
      <c r="K6" s="2419"/>
      <c r="L6" s="2420"/>
      <c r="M6" s="838"/>
      <c r="N6" s="1997"/>
    </row>
    <row r="7" spans="1:14" x14ac:dyDescent="0.2">
      <c r="A7" s="2421" t="s">
        <v>862</v>
      </c>
      <c r="B7" s="2422"/>
      <c r="C7" s="2422"/>
      <c r="D7" s="2422"/>
      <c r="E7" s="2423"/>
      <c r="F7" s="839"/>
      <c r="G7" s="838"/>
      <c r="H7" s="838"/>
      <c r="I7" s="1923" t="s">
        <v>367</v>
      </c>
      <c r="J7" s="2424">
        <f>COVER!A13</f>
        <v>20076001026</v>
      </c>
      <c r="K7" s="2424"/>
      <c r="L7" s="2424"/>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25" t="s">
        <v>476</v>
      </c>
      <c r="B11" s="2426"/>
      <c r="C11" s="2427"/>
      <c r="D11" s="1936" t="s">
        <v>864</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811</v>
      </c>
      <c r="C12" s="842"/>
      <c r="D12" s="1940">
        <v>2320</v>
      </c>
      <c r="E12" s="1943">
        <f>'Expenditures 15-22'!K50</f>
        <v>141761</v>
      </c>
      <c r="F12" s="1941"/>
      <c r="G12" s="1967">
        <f>G68</f>
        <v>0</v>
      </c>
      <c r="H12" s="1943">
        <f t="shared" ref="H12:H18" si="0">SUM(E12:G12)</f>
        <v>141761</v>
      </c>
      <c r="I12" s="1942">
        <v>205085</v>
      </c>
      <c r="J12" s="1941"/>
      <c r="K12" s="1942"/>
      <c r="L12" s="1943">
        <f t="shared" ref="L12:L18" si="1">SUM(I12:K12)</f>
        <v>205085</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8" t="s">
        <v>7</v>
      </c>
      <c r="C18" s="2429"/>
      <c r="D18" s="2430"/>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141761</v>
      </c>
      <c r="F19" s="1949">
        <f t="shared" si="2"/>
        <v>0</v>
      </c>
      <c r="G19" s="1949">
        <f t="shared" ref="G19" si="3">SUM(G12:G17)-G18</f>
        <v>0</v>
      </c>
      <c r="H19" s="1949">
        <f t="shared" si="2"/>
        <v>141761</v>
      </c>
      <c r="I19" s="1949">
        <f t="shared" si="2"/>
        <v>205085</v>
      </c>
      <c r="J19" s="1949">
        <f t="shared" si="2"/>
        <v>0</v>
      </c>
      <c r="K19" s="1949">
        <f t="shared" si="2"/>
        <v>0</v>
      </c>
      <c r="L19" s="1949">
        <f t="shared" si="2"/>
        <v>205085</v>
      </c>
      <c r="M19" s="838"/>
      <c r="N19" s="1997"/>
    </row>
    <row r="20" spans="1:14" ht="13.5" thickTop="1" x14ac:dyDescent="0.2">
      <c r="A20" s="2002">
        <v>9</v>
      </c>
      <c r="B20" s="2431" t="s">
        <v>2019</v>
      </c>
      <c r="C20" s="2431"/>
      <c r="D20" s="2432"/>
      <c r="E20" s="1950"/>
      <c r="F20" s="1950"/>
      <c r="G20" s="1950"/>
      <c r="H20" s="1950"/>
      <c r="I20" s="1950"/>
      <c r="J20" s="1950"/>
      <c r="K20" s="1950"/>
      <c r="L20" s="1951">
        <f>IF(AND(H19&gt;0,L19&gt;0),(((L19-H19)/H19)),"Enter Budget Data")</f>
        <v>0.44669549452952506</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3"/>
      <c r="D27" s="2433"/>
      <c r="E27" s="843"/>
      <c r="F27" s="2434"/>
      <c r="G27" s="2434"/>
      <c r="H27" s="2434"/>
      <c r="I27" s="838"/>
      <c r="J27" s="838"/>
      <c r="K27" s="838"/>
      <c r="L27" s="838"/>
      <c r="M27" s="838"/>
      <c r="N27" s="1997"/>
    </row>
    <row r="28" spans="1:14" x14ac:dyDescent="0.2">
      <c r="A28" s="1996"/>
      <c r="B28" s="2006"/>
      <c r="C28" s="1956" t="s">
        <v>1024</v>
      </c>
      <c r="D28" s="844"/>
      <c r="E28" s="1957"/>
      <c r="F28" s="2435" t="s">
        <v>1490</v>
      </c>
      <c r="G28" s="2435"/>
      <c r="H28" s="2435"/>
      <c r="I28" s="838"/>
      <c r="J28" s="838"/>
      <c r="K28" s="838"/>
      <c r="L28" s="838"/>
      <c r="M28" s="838"/>
      <c r="N28" s="1997"/>
    </row>
    <row r="29" spans="1:14" x14ac:dyDescent="0.2">
      <c r="A29" s="1996"/>
      <c r="B29" s="2006"/>
      <c r="C29" s="2436"/>
      <c r="D29" s="2436"/>
      <c r="E29" s="845"/>
      <c r="F29" s="2436"/>
      <c r="G29" s="2436"/>
      <c r="H29" s="2436"/>
      <c r="I29" s="838"/>
      <c r="J29" s="838"/>
      <c r="K29" s="838"/>
      <c r="L29" s="838"/>
      <c r="M29" s="838"/>
      <c r="N29" s="1997"/>
    </row>
    <row r="30" spans="1:14" x14ac:dyDescent="0.2">
      <c r="A30" s="1996"/>
      <c r="B30" s="2006"/>
      <c r="C30" s="1959" t="s">
        <v>1542</v>
      </c>
      <c r="D30" s="838"/>
      <c r="E30" s="1958"/>
      <c r="F30" s="2418" t="s">
        <v>1491</v>
      </c>
      <c r="G30" s="2418"/>
      <c r="H30" s="241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9" t="s">
        <v>2022</v>
      </c>
      <c r="D34" s="2440"/>
      <c r="E34" s="2440"/>
      <c r="F34" s="2440"/>
      <c r="G34" s="2440"/>
      <c r="H34" s="2440"/>
      <c r="I34" s="2440"/>
      <c r="J34" s="2440"/>
      <c r="K34" s="2015"/>
      <c r="L34" s="838"/>
      <c r="M34" s="838"/>
      <c r="N34" s="1997"/>
    </row>
    <row r="35" spans="1:14" x14ac:dyDescent="0.2">
      <c r="A35" s="1996"/>
      <c r="B35" s="838"/>
      <c r="C35" s="2440"/>
      <c r="D35" s="2440"/>
      <c r="E35" s="2440"/>
      <c r="F35" s="2440"/>
      <c r="G35" s="2440"/>
      <c r="H35" s="2440"/>
      <c r="I35" s="2440"/>
      <c r="J35" s="2440"/>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t="s">
        <v>2049</v>
      </c>
      <c r="C37" s="2439" t="s">
        <v>2023</v>
      </c>
      <c r="D37" s="2440"/>
      <c r="E37" s="2440"/>
      <c r="F37" s="2440"/>
      <c r="G37" s="2440"/>
      <c r="H37" s="2440"/>
      <c r="I37" s="2440"/>
      <c r="J37" s="2440"/>
      <c r="K37" s="2015"/>
      <c r="L37" s="2017"/>
      <c r="M37" s="838"/>
      <c r="N37" s="1997"/>
    </row>
    <row r="38" spans="1:14" x14ac:dyDescent="0.2">
      <c r="A38" s="1996"/>
      <c r="B38" s="838"/>
      <c r="C38" s="2440"/>
      <c r="D38" s="2440"/>
      <c r="E38" s="2440"/>
      <c r="F38" s="2440"/>
      <c r="G38" s="2440"/>
      <c r="H38" s="2440"/>
      <c r="I38" s="2440"/>
      <c r="J38" s="2440"/>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1" t="s">
        <v>2024</v>
      </c>
      <c r="D40" s="2442"/>
      <c r="E40" s="2442"/>
      <c r="F40" s="2442"/>
      <c r="G40" s="2442"/>
      <c r="H40" s="2442"/>
      <c r="I40" s="2442"/>
      <c r="J40" s="2442"/>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2025</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46" t="s">
        <v>2027</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19" t="str">
        <f>J6</f>
        <v xml:space="preserve">  Pope County CUSD 1</v>
      </c>
      <c r="M52" s="2419"/>
      <c r="N52" s="2449"/>
    </row>
    <row r="53" spans="1:14" x14ac:dyDescent="0.2">
      <c r="A53" s="1981"/>
      <c r="B53" s="1982"/>
      <c r="C53" s="1982"/>
      <c r="D53" s="1982"/>
      <c r="E53" s="1982"/>
      <c r="F53" s="1982"/>
      <c r="G53" s="1982"/>
      <c r="H53" s="1982"/>
      <c r="I53" s="1982"/>
      <c r="J53" s="1982"/>
      <c r="K53" s="1923" t="s">
        <v>367</v>
      </c>
      <c r="L53" s="2424">
        <f>J7</f>
        <v>20076001026</v>
      </c>
      <c r="M53" s="2424"/>
      <c r="N53" s="245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1"/>
      <c r="B55" s="2452"/>
      <c r="C55" s="2452"/>
      <c r="D55" s="1969"/>
      <c r="E55" s="1969"/>
      <c r="F55" s="1969"/>
      <c r="G55" s="2453" t="s">
        <v>2028</v>
      </c>
      <c r="H55" s="2453"/>
      <c r="I55" s="2453"/>
      <c r="J55" s="2453"/>
      <c r="K55" s="2453"/>
      <c r="L55" s="2453"/>
      <c r="M55" s="2453"/>
      <c r="N55" s="2454"/>
    </row>
    <row r="56" spans="1:14" ht="63.75" x14ac:dyDescent="0.2">
      <c r="A56" s="2455" t="s">
        <v>2029</v>
      </c>
      <c r="B56" s="2456"/>
      <c r="C56" s="2457"/>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58" t="s">
        <v>294</v>
      </c>
      <c r="B57" s="2459"/>
      <c r="C57" s="2459"/>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37" t="s">
        <v>2039</v>
      </c>
      <c r="B58" s="2438"/>
      <c r="C58" s="2438"/>
      <c r="D58" s="1966">
        <v>2362</v>
      </c>
      <c r="E58" s="1976">
        <f>'Expenditures 15-22'!K320</f>
        <v>121494</v>
      </c>
      <c r="F58" s="1971"/>
      <c r="G58" s="2030"/>
      <c r="H58" s="2031"/>
      <c r="I58" s="2031"/>
      <c r="J58" s="2031"/>
      <c r="K58" s="2031"/>
      <c r="L58" s="2031"/>
      <c r="M58" s="2031">
        <v>121494</v>
      </c>
      <c r="N58" s="1974">
        <f>IF((SUM(G58:M58))=E58,SUM(G58:M58),"Column N does not agree with Column E")</f>
        <v>121494</v>
      </c>
    </row>
    <row r="59" spans="1:14" ht="24.75" customHeight="1" x14ac:dyDescent="0.2">
      <c r="A59" s="2460" t="s">
        <v>295</v>
      </c>
      <c r="B59" s="2461"/>
      <c r="C59" s="2461"/>
      <c r="D59" s="1966">
        <v>2363</v>
      </c>
      <c r="E59" s="1976">
        <f>'Expenditures 15-22'!K321</f>
        <v>750</v>
      </c>
      <c r="F59" s="1971"/>
      <c r="G59" s="2030"/>
      <c r="H59" s="2031"/>
      <c r="I59" s="2031"/>
      <c r="J59" s="2031"/>
      <c r="K59" s="2031"/>
      <c r="L59" s="2031"/>
      <c r="M59" s="2031">
        <v>750</v>
      </c>
      <c r="N59" s="1974">
        <f>IF((SUM(G59:M59))=E59,SUM(G59:M59),"Column N does not agree with Column E")</f>
        <v>750</v>
      </c>
    </row>
    <row r="60" spans="1:14" ht="24" customHeight="1" x14ac:dyDescent="0.2">
      <c r="A60" s="2460" t="s">
        <v>236</v>
      </c>
      <c r="B60" s="2461"/>
      <c r="C60" s="2461"/>
      <c r="D60" s="1966">
        <v>2364</v>
      </c>
      <c r="E60" s="1976">
        <f>'Expenditures 15-22'!K322</f>
        <v>53174</v>
      </c>
      <c r="F60" s="1971"/>
      <c r="G60" s="2030"/>
      <c r="H60" s="2031"/>
      <c r="I60" s="2031"/>
      <c r="J60" s="2031"/>
      <c r="K60" s="2031"/>
      <c r="L60" s="2031"/>
      <c r="M60" s="2031">
        <v>53174</v>
      </c>
      <c r="N60" s="1974">
        <f t="shared" ref="N60:N67" si="4">IF((SUM(G60:M60))=E60,SUM(G60:M60),"Column N does not agree with Column E")</f>
        <v>53174</v>
      </c>
    </row>
    <row r="61" spans="1:14" ht="24.75" customHeight="1" x14ac:dyDescent="0.2">
      <c r="A61" s="2460" t="s">
        <v>695</v>
      </c>
      <c r="B61" s="2461"/>
      <c r="C61" s="2461"/>
      <c r="D61" s="1966">
        <v>2365</v>
      </c>
      <c r="E61" s="1976">
        <f>'Expenditures 15-22'!K323</f>
        <v>0</v>
      </c>
      <c r="F61" s="1971"/>
      <c r="G61" s="2030"/>
      <c r="H61" s="2031"/>
      <c r="I61" s="2031"/>
      <c r="J61" s="2031"/>
      <c r="K61" s="2031"/>
      <c r="L61" s="2031"/>
      <c r="M61" s="2031">
        <v>0</v>
      </c>
      <c r="N61" s="1974">
        <f t="shared" si="4"/>
        <v>0</v>
      </c>
    </row>
    <row r="62" spans="1:14" ht="24" customHeight="1" x14ac:dyDescent="0.2">
      <c r="A62" s="2460" t="s">
        <v>237</v>
      </c>
      <c r="B62" s="2461"/>
      <c r="C62" s="2461"/>
      <c r="D62" s="1966">
        <v>2366</v>
      </c>
      <c r="E62" s="1976">
        <f>'Expenditures 15-22'!K324</f>
        <v>0</v>
      </c>
      <c r="F62" s="1971"/>
      <c r="G62" s="2030"/>
      <c r="H62" s="2031"/>
      <c r="I62" s="2031"/>
      <c r="J62" s="2031"/>
      <c r="K62" s="2031"/>
      <c r="L62" s="2031"/>
      <c r="M62" s="2031">
        <v>0</v>
      </c>
      <c r="N62" s="1974">
        <f t="shared" si="4"/>
        <v>0</v>
      </c>
    </row>
    <row r="63" spans="1:14" ht="24" customHeight="1" x14ac:dyDescent="0.2">
      <c r="A63" s="2437" t="s">
        <v>1020</v>
      </c>
      <c r="B63" s="2438"/>
      <c r="C63" s="2438"/>
      <c r="D63" s="1966">
        <v>2367</v>
      </c>
      <c r="E63" s="1976">
        <f>'Expenditures 15-22'!K325</f>
        <v>3504</v>
      </c>
      <c r="F63" s="1971"/>
      <c r="G63" s="2030"/>
      <c r="H63" s="2031"/>
      <c r="I63" s="2031"/>
      <c r="J63" s="2031"/>
      <c r="K63" s="2031"/>
      <c r="L63" s="2031"/>
      <c r="M63" s="2031">
        <v>3504</v>
      </c>
      <c r="N63" s="1974">
        <f t="shared" si="4"/>
        <v>3504</v>
      </c>
    </row>
    <row r="64" spans="1:14" ht="24" customHeight="1" x14ac:dyDescent="0.2">
      <c r="A64" s="2460" t="s">
        <v>1021</v>
      </c>
      <c r="B64" s="2461"/>
      <c r="C64" s="2461"/>
      <c r="D64" s="1966">
        <v>2368</v>
      </c>
      <c r="E64" s="1976">
        <f>'Expenditures 15-22'!K326</f>
        <v>0</v>
      </c>
      <c r="F64" s="1971"/>
      <c r="G64" s="2030"/>
      <c r="H64" s="2031"/>
      <c r="I64" s="2031"/>
      <c r="J64" s="2031"/>
      <c r="K64" s="2031"/>
      <c r="L64" s="2031"/>
      <c r="M64" s="2031">
        <v>0</v>
      </c>
      <c r="N64" s="1974">
        <f t="shared" si="4"/>
        <v>0</v>
      </c>
    </row>
    <row r="65" spans="1:14" ht="24" customHeight="1" x14ac:dyDescent="0.2">
      <c r="A65" s="2460" t="s">
        <v>963</v>
      </c>
      <c r="B65" s="2461"/>
      <c r="C65" s="2461"/>
      <c r="D65" s="1966">
        <v>2369</v>
      </c>
      <c r="E65" s="1976">
        <f>'Expenditures 15-22'!K327</f>
        <v>14176</v>
      </c>
      <c r="F65" s="1971"/>
      <c r="G65" s="2030"/>
      <c r="H65" s="2031"/>
      <c r="I65" s="2031"/>
      <c r="J65" s="2031"/>
      <c r="K65" s="2031"/>
      <c r="L65" s="2031"/>
      <c r="M65" s="2031">
        <v>14176</v>
      </c>
      <c r="N65" s="1974">
        <f t="shared" si="4"/>
        <v>14176</v>
      </c>
    </row>
    <row r="66" spans="1:14" ht="24" customHeight="1" x14ac:dyDescent="0.2">
      <c r="A66" s="2460" t="s">
        <v>467</v>
      </c>
      <c r="B66" s="2461"/>
      <c r="C66" s="2461"/>
      <c r="D66" s="1966">
        <v>2371</v>
      </c>
      <c r="E66" s="1976">
        <f>'Expenditures 15-22'!K328</f>
        <v>0</v>
      </c>
      <c r="F66" s="1971"/>
      <c r="G66" s="2030"/>
      <c r="H66" s="2031"/>
      <c r="I66" s="2031"/>
      <c r="J66" s="2031"/>
      <c r="K66" s="2031"/>
      <c r="L66" s="2031"/>
      <c r="M66" s="2031">
        <v>0</v>
      </c>
      <c r="N66" s="1974">
        <f t="shared" si="4"/>
        <v>0</v>
      </c>
    </row>
    <row r="67" spans="1:14" ht="24.75" customHeight="1" x14ac:dyDescent="0.2">
      <c r="A67" s="2462" t="s">
        <v>2040</v>
      </c>
      <c r="B67" s="2463"/>
      <c r="C67" s="2463"/>
      <c r="D67" s="1968">
        <v>2372</v>
      </c>
      <c r="E67" s="1977">
        <f>'Expenditures 15-22'!K329</f>
        <v>0</v>
      </c>
      <c r="F67" s="1971"/>
      <c r="G67" s="2032"/>
      <c r="H67" s="2033"/>
      <c r="I67" s="2033"/>
      <c r="J67" s="2033"/>
      <c r="K67" s="2033"/>
      <c r="L67" s="2033"/>
      <c r="M67" s="2033">
        <v>0</v>
      </c>
      <c r="N67" s="1974">
        <f t="shared" si="4"/>
        <v>0</v>
      </c>
    </row>
    <row r="68" spans="1:14" x14ac:dyDescent="0.2">
      <c r="A68" s="2464" t="s">
        <v>1149</v>
      </c>
      <c r="B68" s="2465"/>
      <c r="C68" s="2465"/>
      <c r="D68" s="1969"/>
      <c r="E68" s="1973">
        <f>SUM(E57:E67)</f>
        <v>193098</v>
      </c>
      <c r="F68" s="1972"/>
      <c r="G68" s="1973">
        <f t="shared" ref="G68:N68" si="5">SUM(G57:G67)</f>
        <v>0</v>
      </c>
      <c r="H68" s="1973">
        <f t="shared" si="5"/>
        <v>0</v>
      </c>
      <c r="I68" s="1973">
        <f t="shared" si="5"/>
        <v>0</v>
      </c>
      <c r="J68" s="1973">
        <f t="shared" si="5"/>
        <v>0</v>
      </c>
      <c r="K68" s="1973">
        <f t="shared" si="5"/>
        <v>0</v>
      </c>
      <c r="L68" s="1973">
        <f t="shared" si="5"/>
        <v>0</v>
      </c>
      <c r="M68" s="1973">
        <f t="shared" si="5"/>
        <v>193098</v>
      </c>
      <c r="N68" s="1987">
        <f t="shared" si="5"/>
        <v>193098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71" fitToHeight="0" orientation="landscape" useFirstPageNumber="1" r:id="rId1"/>
  <headerFooter>
    <oddFooter>&amp;C&amp;11&amp;P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68"/>
  <sheetViews>
    <sheetView showGridLines="0" zoomScale="110" zoomScaleNormal="110" workbookViewId="0"/>
  </sheetViews>
  <sheetFormatPr defaultRowHeight="12.75" x14ac:dyDescent="0.2"/>
  <cols>
    <col min="1" max="1" width="5.7109375" style="307" customWidth="1"/>
    <col min="2" max="2" width="4.7109375" style="307" customWidth="1"/>
    <col min="3" max="3" width="109.140625" style="307" customWidth="1"/>
    <col min="4" max="4" width="3.140625" style="307" customWidth="1"/>
    <col min="5" max="16384" width="9.140625" style="307"/>
  </cols>
  <sheetData>
    <row r="1" spans="2:3" ht="15.75" x14ac:dyDescent="0.25">
      <c r="B1" s="2036"/>
      <c r="C1" s="2038" t="s">
        <v>2090</v>
      </c>
    </row>
    <row r="2" spans="2:3" ht="15.75" x14ac:dyDescent="0.25">
      <c r="B2" s="2036"/>
      <c r="C2" s="2038" t="s">
        <v>2091</v>
      </c>
    </row>
    <row r="3" spans="2:3" ht="15.75" x14ac:dyDescent="0.25">
      <c r="B3" s="2036"/>
      <c r="C3" s="2039" t="s">
        <v>2092</v>
      </c>
    </row>
    <row r="4" spans="2:3" ht="15.75" x14ac:dyDescent="0.25">
      <c r="B4" s="2036"/>
      <c r="C4" s="2036"/>
    </row>
    <row r="5" spans="2:3" ht="15.75" x14ac:dyDescent="0.25">
      <c r="B5" s="2036" t="s">
        <v>2093</v>
      </c>
      <c r="C5" s="2036"/>
    </row>
    <row r="6" spans="2:3" ht="15.75" x14ac:dyDescent="0.25">
      <c r="B6" s="2036"/>
      <c r="C6" s="2036"/>
    </row>
    <row r="7" spans="2:3" ht="15.75" x14ac:dyDescent="0.25">
      <c r="B7" s="2036"/>
      <c r="C7" s="2036"/>
    </row>
    <row r="8" spans="2:3" ht="15.75" x14ac:dyDescent="0.25">
      <c r="B8" s="2037">
        <v>1</v>
      </c>
      <c r="C8" s="2036" t="s">
        <v>2095</v>
      </c>
    </row>
    <row r="9" spans="2:3" ht="15.75" x14ac:dyDescent="0.25">
      <c r="B9" s="2037">
        <v>2</v>
      </c>
      <c r="C9" s="2036" t="s">
        <v>2096</v>
      </c>
    </row>
    <row r="10" spans="2:3" ht="15.75" x14ac:dyDescent="0.25">
      <c r="B10" s="2037">
        <v>3</v>
      </c>
      <c r="C10" s="2036" t="s">
        <v>2097</v>
      </c>
    </row>
    <row r="11" spans="2:3" ht="15.75" x14ac:dyDescent="0.25">
      <c r="B11" s="2037">
        <v>4</v>
      </c>
      <c r="C11" s="2036" t="s">
        <v>2098</v>
      </c>
    </row>
    <row r="12" spans="2:3" ht="15.75" x14ac:dyDescent="0.25">
      <c r="B12" s="2037">
        <v>5</v>
      </c>
      <c r="C12" s="2036" t="s">
        <v>2099</v>
      </c>
    </row>
    <row r="13" spans="2:3" ht="15.75" x14ac:dyDescent="0.25">
      <c r="B13" s="2037">
        <v>6</v>
      </c>
      <c r="C13" s="2036" t="s">
        <v>2100</v>
      </c>
    </row>
    <row r="14" spans="2:3" ht="15.75" x14ac:dyDescent="0.25">
      <c r="B14" s="2037">
        <v>7</v>
      </c>
      <c r="C14" s="2036" t="s">
        <v>2101</v>
      </c>
    </row>
    <row r="15" spans="2:3" ht="15.75" x14ac:dyDescent="0.25">
      <c r="B15" s="2037">
        <v>8</v>
      </c>
      <c r="C15" s="2036" t="s">
        <v>2094</v>
      </c>
    </row>
    <row r="16" spans="2:3" ht="15.75" x14ac:dyDescent="0.25">
      <c r="B16" s="2037"/>
      <c r="C16" s="2036"/>
    </row>
    <row r="17" spans="2:3" ht="15.75" x14ac:dyDescent="0.25">
      <c r="B17" s="2037"/>
      <c r="C17" s="2036"/>
    </row>
    <row r="18" spans="2:3" ht="15.75" x14ac:dyDescent="0.25">
      <c r="B18" s="2037"/>
      <c r="C18" s="2036"/>
    </row>
    <row r="19" spans="2:3" ht="15.75" x14ac:dyDescent="0.25">
      <c r="B19" s="2037"/>
      <c r="C19" s="2036"/>
    </row>
    <row r="20" spans="2:3" ht="15.75" x14ac:dyDescent="0.25">
      <c r="B20" s="2037"/>
      <c r="C20" s="2036"/>
    </row>
    <row r="21" spans="2:3" ht="15.75" x14ac:dyDescent="0.25">
      <c r="B21" s="2037"/>
      <c r="C21" s="2036"/>
    </row>
    <row r="22" spans="2:3" ht="15.75" x14ac:dyDescent="0.25">
      <c r="B22" s="2037"/>
      <c r="C22" s="2036"/>
    </row>
    <row r="23" spans="2:3" ht="15.75" x14ac:dyDescent="0.25">
      <c r="B23" s="2037"/>
      <c r="C23" s="2036"/>
    </row>
    <row r="24" spans="2:3" ht="15.75" x14ac:dyDescent="0.25">
      <c r="B24" s="2037"/>
      <c r="C24" s="2036"/>
    </row>
    <row r="25" spans="2:3" ht="15.75" x14ac:dyDescent="0.25">
      <c r="B25" s="2037"/>
      <c r="C25" s="2036"/>
    </row>
    <row r="26" spans="2:3" ht="15.75" x14ac:dyDescent="0.25">
      <c r="B26" s="2037"/>
      <c r="C26" s="2036"/>
    </row>
    <row r="27" spans="2:3" ht="15.75" x14ac:dyDescent="0.25">
      <c r="B27" s="2037"/>
      <c r="C27" s="2036"/>
    </row>
    <row r="28" spans="2:3" ht="15.75" x14ac:dyDescent="0.25">
      <c r="B28" s="2037"/>
      <c r="C28" s="2036"/>
    </row>
    <row r="29" spans="2:3" ht="15.75" x14ac:dyDescent="0.25">
      <c r="B29" s="2037"/>
      <c r="C29" s="2036"/>
    </row>
    <row r="30" spans="2:3" ht="15.75" x14ac:dyDescent="0.25">
      <c r="B30" s="2037"/>
      <c r="C30" s="2036"/>
    </row>
    <row r="31" spans="2:3" ht="15.75" x14ac:dyDescent="0.25">
      <c r="B31" s="2037"/>
      <c r="C31" s="2036"/>
    </row>
    <row r="32" spans="2:3" ht="15.75" x14ac:dyDescent="0.25">
      <c r="B32" s="2037"/>
      <c r="C32" s="2036"/>
    </row>
    <row r="33" spans="2:3" ht="15.75" x14ac:dyDescent="0.25">
      <c r="B33" s="2037"/>
      <c r="C33" s="2036"/>
    </row>
    <row r="34" spans="2:3" ht="15.75" x14ac:dyDescent="0.25">
      <c r="B34" s="2037"/>
      <c r="C34" s="2036"/>
    </row>
    <row r="35" spans="2:3" ht="15.75" x14ac:dyDescent="0.25">
      <c r="B35" s="2037"/>
      <c r="C35" s="2036"/>
    </row>
    <row r="36" spans="2:3" ht="15.75" x14ac:dyDescent="0.25">
      <c r="B36" s="2037"/>
      <c r="C36" s="2036"/>
    </row>
    <row r="37" spans="2:3" x14ac:dyDescent="0.2">
      <c r="B37" s="847"/>
    </row>
    <row r="38" spans="2:3" x14ac:dyDescent="0.2">
      <c r="B38" s="847"/>
    </row>
    <row r="39" spans="2:3" x14ac:dyDescent="0.2">
      <c r="B39" s="847"/>
    </row>
    <row r="40" spans="2:3" x14ac:dyDescent="0.2">
      <c r="B40" s="847"/>
    </row>
    <row r="41" spans="2:3" x14ac:dyDescent="0.2">
      <c r="B41" s="847"/>
    </row>
    <row r="42" spans="2:3" x14ac:dyDescent="0.2">
      <c r="B42" s="847"/>
    </row>
    <row r="43" spans="2:3" x14ac:dyDescent="0.2">
      <c r="B43" s="847"/>
    </row>
    <row r="44" spans="2:3" x14ac:dyDescent="0.2">
      <c r="B44" s="847"/>
    </row>
    <row r="45" spans="2:3" x14ac:dyDescent="0.2">
      <c r="B45" s="847"/>
    </row>
    <row r="46" spans="2:3" x14ac:dyDescent="0.2">
      <c r="B46" s="847"/>
    </row>
    <row r="47" spans="2:3" x14ac:dyDescent="0.2">
      <c r="B47" s="847"/>
    </row>
    <row r="48" spans="2:3" x14ac:dyDescent="0.2">
      <c r="B48" s="847"/>
    </row>
    <row r="49" spans="2:2" x14ac:dyDescent="0.2">
      <c r="B49" s="847"/>
    </row>
    <row r="50" spans="2:2" x14ac:dyDescent="0.2">
      <c r="B50" s="847"/>
    </row>
    <row r="51" spans="2:2" x14ac:dyDescent="0.2">
      <c r="B51" s="847"/>
    </row>
    <row r="52" spans="2:2" x14ac:dyDescent="0.2">
      <c r="B52" s="847"/>
    </row>
    <row r="53" spans="2:2" x14ac:dyDescent="0.2">
      <c r="B53" s="847"/>
    </row>
    <row r="54" spans="2:2" x14ac:dyDescent="0.2">
      <c r="B54" s="847"/>
    </row>
    <row r="55" spans="2:2" x14ac:dyDescent="0.2">
      <c r="B55" s="847"/>
    </row>
    <row r="56" spans="2:2" x14ac:dyDescent="0.2">
      <c r="B56" s="847"/>
    </row>
    <row r="57" spans="2:2" x14ac:dyDescent="0.2">
      <c r="B57" s="847"/>
    </row>
    <row r="58" spans="2:2" x14ac:dyDescent="0.2">
      <c r="B58" s="847"/>
    </row>
    <row r="59" spans="2:2" x14ac:dyDescent="0.2">
      <c r="B59" s="847"/>
    </row>
    <row r="60" spans="2:2" x14ac:dyDescent="0.2">
      <c r="B60" s="847"/>
    </row>
    <row r="61" spans="2:2" x14ac:dyDescent="0.2">
      <c r="B61" s="847"/>
    </row>
    <row r="62" spans="2:2" x14ac:dyDescent="0.2">
      <c r="B62" s="847"/>
    </row>
    <row r="63" spans="2:2" x14ac:dyDescent="0.2">
      <c r="B63" s="847"/>
    </row>
    <row r="64" spans="2:2" x14ac:dyDescent="0.2">
      <c r="B64" s="847"/>
    </row>
    <row r="65" spans="2:3" x14ac:dyDescent="0.2">
      <c r="B65" s="847"/>
    </row>
    <row r="66" spans="2:3" x14ac:dyDescent="0.2">
      <c r="B66" s="847"/>
    </row>
    <row r="67" spans="2:3" x14ac:dyDescent="0.2">
      <c r="B67" s="847"/>
      <c r="C67" s="253" t="str">
        <f>COVER!A17</f>
        <v xml:space="preserve">  Pope County CUSD 1</v>
      </c>
    </row>
    <row r="68" spans="2:3" x14ac:dyDescent="0.2">
      <c r="C68" s="848">
        <f>COVER!A13</f>
        <v>20076001026</v>
      </c>
    </row>
  </sheetData>
  <phoneticPr fontId="15" type="noConversion"/>
  <pageMargins left="0.2" right="0.2" top="1.17" bottom="0.75" header="0.19" footer="0.16"/>
  <pageSetup scale="80" firstPageNumber="34" orientation="portrait" useFirstPageNumber="1" r:id="rId1"/>
  <headerFooter alignWithMargins="0">
    <oddHeader xml:space="preserve">&amp;C </oddHeader>
    <oddFooter>&amp;C&amp;12The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69" t="s">
        <v>1592</v>
      </c>
    </row>
    <row r="23" spans="1:5" x14ac:dyDescent="0.2">
      <c r="A23" s="163"/>
      <c r="B23" s="157" t="s">
        <v>1826</v>
      </c>
      <c r="D23" s="162" t="s">
        <v>630</v>
      </c>
      <c r="E23" s="1469" t="s">
        <v>951</v>
      </c>
    </row>
    <row r="24" spans="1:5" x14ac:dyDescent="0.2">
      <c r="A24" s="163" t="s">
        <v>1590</v>
      </c>
      <c r="C24" s="157" t="s">
        <v>1157</v>
      </c>
      <c r="D24" s="162" t="s">
        <v>1375</v>
      </c>
      <c r="E24" s="165" t="s">
        <v>952</v>
      </c>
    </row>
    <row r="25" spans="1:5" x14ac:dyDescent="0.2">
      <c r="A25" s="163" t="s">
        <v>1838</v>
      </c>
      <c r="C25" s="157" t="s">
        <v>1157</v>
      </c>
      <c r="D25" s="164" t="s">
        <v>21</v>
      </c>
      <c r="E25" s="1469" t="s">
        <v>2046</v>
      </c>
    </row>
    <row r="26" spans="1:5" x14ac:dyDescent="0.2">
      <c r="A26" s="163" t="s">
        <v>1839</v>
      </c>
      <c r="C26" s="157" t="s">
        <v>1157</v>
      </c>
      <c r="D26" s="164" t="s">
        <v>557</v>
      </c>
      <c r="E26" s="1469" t="s">
        <v>676</v>
      </c>
    </row>
    <row r="27" spans="1:5" x14ac:dyDescent="0.2">
      <c r="A27" s="163" t="s">
        <v>1840</v>
      </c>
      <c r="C27" s="157" t="s">
        <v>1157</v>
      </c>
      <c r="D27" s="164" t="s">
        <v>551</v>
      </c>
      <c r="E27" s="1469" t="s">
        <v>1348</v>
      </c>
    </row>
    <row r="28" spans="1:5" x14ac:dyDescent="0.2">
      <c r="A28" s="163" t="s">
        <v>1842</v>
      </c>
      <c r="D28" s="164" t="s">
        <v>677</v>
      </c>
      <c r="E28" s="1469" t="s">
        <v>1357</v>
      </c>
    </row>
    <row r="29" spans="1:5" x14ac:dyDescent="0.2">
      <c r="A29" s="163" t="s">
        <v>1843</v>
      </c>
      <c r="D29" s="164" t="s">
        <v>1376</v>
      </c>
      <c r="E29" s="1469"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2" t="s">
        <v>1054</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684</v>
      </c>
      <c r="B40" s="2149"/>
      <c r="C40" s="2149"/>
      <c r="D40" s="2149"/>
      <c r="E40" s="2149"/>
    </row>
    <row r="41" spans="1:5" x14ac:dyDescent="0.2">
      <c r="A41" s="2150" t="s">
        <v>1589</v>
      </c>
      <c r="B41" s="2150"/>
      <c r="C41" s="2150"/>
      <c r="D41" s="2150"/>
      <c r="E41" s="2150"/>
    </row>
    <row r="42" spans="1:5" ht="12.75" customHeight="1" x14ac:dyDescent="0.2">
      <c r="A42" s="2151" t="s">
        <v>1013</v>
      </c>
      <c r="B42" s="2151"/>
      <c r="C42" s="2151"/>
      <c r="D42" s="2151"/>
      <c r="E42" s="2151"/>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 sqref="F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1971</v>
      </c>
    </row>
    <row r="17" spans="1:2" ht="6" customHeight="1" x14ac:dyDescent="0.2"/>
    <row r="18" spans="1:2" ht="24.75" customHeight="1" x14ac:dyDescent="0.2">
      <c r="A18" s="2466" t="s">
        <v>1663</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1466850</xdr:colOff>
                <xdr:row>0</xdr:row>
                <xdr:rowOff>76200</xdr:rowOff>
              </from>
              <to>
                <xdr:col>1</xdr:col>
                <xdr:colOff>2381250</xdr:colOff>
                <xdr:row>4</xdr:row>
                <xdr:rowOff>114300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2743200</xdr:colOff>
                <xdr:row>0</xdr:row>
                <xdr:rowOff>47625</xdr:rowOff>
              </from>
              <to>
                <xdr:col>1</xdr:col>
                <xdr:colOff>3657600</xdr:colOff>
                <xdr:row>4</xdr:row>
                <xdr:rowOff>85725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1667</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1970</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1668</v>
      </c>
      <c r="B6" s="2484"/>
      <c r="C6" s="2484"/>
      <c r="D6" s="2484"/>
      <c r="E6" s="2484"/>
      <c r="F6" s="2485"/>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4166959</v>
      </c>
      <c r="C8" s="1812">
        <f>'Acct Summary 7-8'!D8</f>
        <v>339466</v>
      </c>
      <c r="D8" s="1812">
        <f>'Acct Summary 7-8'!F8</f>
        <v>416418</v>
      </c>
      <c r="E8" s="1812">
        <f>'Acct Summary 7-8'!I8</f>
        <v>27209</v>
      </c>
      <c r="F8" s="1812">
        <f>SUM(B8:E8)</f>
        <v>4950052</v>
      </c>
    </row>
    <row r="9" spans="1:8" s="857" customFormat="1" ht="14.25" customHeight="1" thickBot="1" x14ac:dyDescent="0.25">
      <c r="A9" s="856" t="s">
        <v>1351</v>
      </c>
      <c r="B9" s="1813">
        <f>'Acct Summary 7-8'!C17</f>
        <v>4010664</v>
      </c>
      <c r="C9" s="1813">
        <f>'Acct Summary 7-8'!D17</f>
        <v>241849</v>
      </c>
      <c r="D9" s="1813">
        <f>'Acct Summary 7-8'!F17</f>
        <v>416229</v>
      </c>
      <c r="E9" s="1812"/>
      <c r="F9" s="1812">
        <f>SUM(B9:E9)</f>
        <v>4668742</v>
      </c>
    </row>
    <row r="10" spans="1:8" s="857" customFormat="1" ht="14.25" thickTop="1" thickBot="1" x14ac:dyDescent="0.25">
      <c r="A10" s="858" t="s">
        <v>1352</v>
      </c>
      <c r="B10" s="1814">
        <f>(B8-B9)</f>
        <v>156295</v>
      </c>
      <c r="C10" s="1814">
        <f>(C8-C9)</f>
        <v>97617</v>
      </c>
      <c r="D10" s="1814">
        <f>(D8-D9)</f>
        <v>189</v>
      </c>
      <c r="E10" s="1813">
        <f>(E8-E9)</f>
        <v>27209</v>
      </c>
      <c r="F10" s="1815">
        <f>SUM(F8-F9)</f>
        <v>281310</v>
      </c>
    </row>
    <row r="11" spans="1:8" s="857" customFormat="1" ht="14.25" thickTop="1" thickBot="1" x14ac:dyDescent="0.25">
      <c r="A11" s="859" t="s">
        <v>1901</v>
      </c>
      <c r="B11" s="1816">
        <f>'Acct Summary 7-8'!C81</f>
        <v>1576118</v>
      </c>
      <c r="C11" s="1816">
        <f>'Acct Summary 7-8'!D81</f>
        <v>678114</v>
      </c>
      <c r="D11" s="1816">
        <f>'Acct Summary 7-8'!F81</f>
        <v>162311</v>
      </c>
      <c r="E11" s="1816">
        <f>'Acct Summary 7-8'!I81</f>
        <v>278053</v>
      </c>
      <c r="F11" s="1817">
        <f>SUM(B11:E11)</f>
        <v>2694596</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1664</v>
      </c>
      <c r="B16" s="2470"/>
      <c r="C16" s="2470"/>
      <c r="D16" s="2470"/>
      <c r="E16" s="2470"/>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&amp;C&amp;9 69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77" sqref="C7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658</v>
      </c>
      <c r="B3" s="2493"/>
      <c r="C3" s="2493"/>
      <c r="D3" s="2494"/>
    </row>
    <row r="4" spans="1:4" x14ac:dyDescent="0.2">
      <c r="A4" s="930" t="s">
        <v>1669</v>
      </c>
      <c r="B4" s="931"/>
      <c r="C4" s="932"/>
      <c r="D4" s="933"/>
    </row>
    <row r="5" spans="1:4" ht="21" customHeight="1" x14ac:dyDescent="0.2">
      <c r="A5" s="926"/>
      <c r="B5" s="927">
        <v>1</v>
      </c>
      <c r="C5" s="928" t="s">
        <v>1972</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03" t="s">
        <v>1485</v>
      </c>
      <c r="D7" s="2504"/>
    </row>
    <row r="8" spans="1:4" s="542" customFormat="1" ht="12.75" x14ac:dyDescent="0.2">
      <c r="A8" s="916"/>
      <c r="B8" s="871"/>
      <c r="C8" s="874" t="s">
        <v>1484</v>
      </c>
      <c r="D8" s="875"/>
    </row>
    <row r="9" spans="1:4" s="542" customFormat="1" ht="14.25" customHeight="1" x14ac:dyDescent="0.2">
      <c r="A9" s="916"/>
      <c r="B9" s="871">
        <f>B7+1</f>
        <v>4</v>
      </c>
      <c r="C9" s="872" t="s">
        <v>1877</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495" t="s">
        <v>999</v>
      </c>
      <c r="B15" s="2496"/>
      <c r="C15" s="2496"/>
      <c r="D15" s="2497"/>
    </row>
    <row r="16" spans="1:4" s="542" customFormat="1" ht="24" customHeight="1" x14ac:dyDescent="0.2">
      <c r="A16" s="2498" t="s">
        <v>656</v>
      </c>
      <c r="B16" s="2499"/>
      <c r="C16" s="2499"/>
      <c r="D16" s="2500"/>
    </row>
    <row r="17" spans="1:10" s="542" customFormat="1" ht="12.75" customHeight="1" x14ac:dyDescent="0.2">
      <c r="A17" s="934" t="s">
        <v>1670</v>
      </c>
      <c r="B17" s="935"/>
      <c r="C17" s="936"/>
      <c r="D17" s="937"/>
    </row>
    <row r="18" spans="1:10" s="542"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07" t="s">
        <v>309</v>
      </c>
      <c r="D21" s="2508"/>
    </row>
    <row r="22" spans="1:10" ht="12.75" x14ac:dyDescent="0.2">
      <c r="A22" s="917"/>
      <c r="B22" s="918">
        <v>2</v>
      </c>
      <c r="C22" s="2505" t="s">
        <v>1505</v>
      </c>
      <c r="D22" s="2506"/>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09" t="s">
        <v>531</v>
      </c>
      <c r="D43" s="2510"/>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01" t="s">
        <v>777</v>
      </c>
      <c r="D56" s="2502"/>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1012</v>
      </c>
      <c r="D67" s="903"/>
    </row>
    <row r="68" spans="1:4" x14ac:dyDescent="0.2">
      <c r="A68" s="878"/>
      <c r="B68" s="888"/>
      <c r="C68" s="880" t="s">
        <v>1879</v>
      </c>
      <c r="D68" s="902" t="str">
        <f>IF('Short-Term Long-Term Debt 24'!F49=SUM(,'Acct Summary 7-8'!C33:K33),"OK","ERROR!")</f>
        <v>ERROR!</v>
      </c>
    </row>
    <row r="69" spans="1:4" x14ac:dyDescent="0.2">
      <c r="A69" s="878"/>
      <c r="B69" s="888"/>
      <c r="C69" s="880" t="s">
        <v>1880</v>
      </c>
      <c r="D69" s="902" t="str">
        <f>IF('Expenditures 15-22'!H170&lt;&gt;'Short-Term Long-Term Debt 24'!H49,"ERROR!","OK")</f>
        <v>ERROR!</v>
      </c>
    </row>
    <row r="70" spans="1:4" x14ac:dyDescent="0.2">
      <c r="A70" s="876"/>
      <c r="B70" s="898">
        <f>B66+1</f>
        <v>9</v>
      </c>
      <c r="C70" s="2501" t="s">
        <v>1672</v>
      </c>
      <c r="D70" s="2502"/>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1986</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1965</v>
      </c>
      <c r="F1" s="1542" t="s">
        <v>1966</v>
      </c>
      <c r="G1" s="1899" t="s">
        <v>1976</v>
      </c>
    </row>
    <row r="2" spans="1:7" ht="15.75" x14ac:dyDescent="0.25">
      <c r="A2" t="s">
        <v>258</v>
      </c>
      <c r="B2" s="135">
        <f>COVER!A13</f>
        <v>20076001026</v>
      </c>
      <c r="E2" s="1541">
        <v>2020</v>
      </c>
      <c r="F2" s="1541">
        <v>1</v>
      </c>
      <c r="G2" s="1898">
        <v>101000300</v>
      </c>
    </row>
    <row r="3" spans="1:7" ht="15" x14ac:dyDescent="0.25">
      <c r="A3" t="s">
        <v>948</v>
      </c>
      <c r="B3" s="135" t="str">
        <f>COVER!A15</f>
        <v>Pope</v>
      </c>
      <c r="E3" s="1829" t="s">
        <v>1969</v>
      </c>
      <c r="F3" s="1829" t="s">
        <v>1968</v>
      </c>
      <c r="G3" s="1898">
        <v>101000400</v>
      </c>
    </row>
    <row r="4" spans="1:7" ht="15" x14ac:dyDescent="0.25">
      <c r="A4" t="s">
        <v>998</v>
      </c>
      <c r="B4" s="135" t="str">
        <f>COVER!A17</f>
        <v xml:space="preserve">  Pope County CUSD 1</v>
      </c>
      <c r="E4" s="1827">
        <v>44119</v>
      </c>
      <c r="F4" s="1828">
        <v>44151</v>
      </c>
      <c r="G4" s="1898">
        <v>101000600</v>
      </c>
    </row>
    <row r="5" spans="1:7" ht="15" x14ac:dyDescent="0.25">
      <c r="A5" t="s">
        <v>697</v>
      </c>
      <c r="B5" s="135" t="str">
        <f>COVER!A38</f>
        <v>Ryan Fritch</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No</v>
      </c>
      <c r="G12" s="1898">
        <v>202100600</v>
      </c>
    </row>
    <row r="13" spans="1:7" ht="15" x14ac:dyDescent="0.25">
      <c r="A13" s="1" t="s">
        <v>1525</v>
      </c>
      <c r="B13" s="135" t="str">
        <f>IF(COVER!J30="x","Yes",IF(COVER!L30="x","No",0))</f>
        <v>No</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f>COVER!B34</f>
        <v>0</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1562143</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7459</v>
      </c>
      <c r="D76" s="2" t="str">
        <f t="shared" si="0"/>
        <v>Error?</v>
      </c>
      <c r="G76" s="1898">
        <v>102570600</v>
      </c>
    </row>
    <row r="77" spans="1:7" ht="15" x14ac:dyDescent="0.25">
      <c r="A77" s="5">
        <v>16</v>
      </c>
      <c r="B77" s="1831">
        <f>'Assets-Liab 5-6'!C13</f>
        <v>1576118</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567</v>
      </c>
      <c r="D91" s="2" t="str">
        <f t="shared" si="0"/>
        <v>Error?</v>
      </c>
      <c r="G91" s="1898">
        <v>102640400</v>
      </c>
    </row>
    <row r="92" spans="1:7" ht="15" x14ac:dyDescent="0.25">
      <c r="A92" s="5">
        <v>31</v>
      </c>
      <c r="B92" s="1831">
        <f>'Assets-Liab 5-6'!C39</f>
        <v>1576118</v>
      </c>
      <c r="D92" s="2" t="str">
        <f t="shared" si="0"/>
        <v>Error?</v>
      </c>
      <c r="G92" s="1898">
        <v>102640600</v>
      </c>
    </row>
    <row r="93" spans="1:7" ht="15" x14ac:dyDescent="0.25">
      <c r="A93" s="5">
        <v>32</v>
      </c>
      <c r="B93" s="1831">
        <f>'Assets-Liab 5-6'!C41</f>
        <v>1576118</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677225</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678114</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678114</v>
      </c>
      <c r="D123" s="2" t="str">
        <f t="shared" si="0"/>
        <v>Error?</v>
      </c>
      <c r="G123" s="1898">
        <v>203000400</v>
      </c>
    </row>
    <row r="124" spans="1:7" ht="15" x14ac:dyDescent="0.25">
      <c r="A124" s="5">
        <v>63</v>
      </c>
      <c r="B124" s="1831">
        <f>'Assets-Liab 5-6'!D41</f>
        <v>678114</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157275</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162651</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340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340</v>
      </c>
      <c r="C169" s="2" t="s">
        <v>567</v>
      </c>
      <c r="D169" s="2" t="str">
        <f t="shared" si="1"/>
        <v>Error?</v>
      </c>
    </row>
    <row r="170" spans="1:4" x14ac:dyDescent="0.2">
      <c r="A170" s="5">
        <v>109</v>
      </c>
      <c r="B170" s="1831">
        <f>'Assets-Liab 5-6'!F39</f>
        <v>162311</v>
      </c>
      <c r="D170" s="2" t="str">
        <f t="shared" si="1"/>
        <v>Error?</v>
      </c>
    </row>
    <row r="171" spans="1:4" x14ac:dyDescent="0.2">
      <c r="A171" s="5">
        <v>110</v>
      </c>
      <c r="B171" s="1831">
        <f>'Assets-Liab 5-6'!F41</f>
        <v>162651</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417683</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418046</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418046</v>
      </c>
      <c r="D189" s="2" t="str">
        <f t="shared" si="1"/>
        <v>Error?</v>
      </c>
    </row>
    <row r="190" spans="1:4" x14ac:dyDescent="0.2">
      <c r="A190" s="5">
        <v>129</v>
      </c>
      <c r="B190" s="1831">
        <f>'Assets-Liab 5-6'!G41</f>
        <v>418046</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7036</v>
      </c>
      <c r="D273" s="2" t="str">
        <f t="shared" si="3"/>
        <v>Error?</v>
      </c>
    </row>
    <row r="274" spans="1:4" x14ac:dyDescent="0.2">
      <c r="A274" s="5">
        <v>213</v>
      </c>
      <c r="B274" s="1831">
        <f>'Assets-Liab 5-6'!M17</f>
        <v>3924279</v>
      </c>
      <c r="D274" s="2" t="str">
        <f t="shared" si="3"/>
        <v>Error?</v>
      </c>
    </row>
    <row r="275" spans="1:4" x14ac:dyDescent="0.2">
      <c r="A275" s="5">
        <v>214</v>
      </c>
      <c r="B275" s="1831">
        <f>'Assets-Liab 5-6'!M18</f>
        <v>531909</v>
      </c>
      <c r="D275" s="2" t="str">
        <f t="shared" si="3"/>
        <v>Error?</v>
      </c>
    </row>
    <row r="276" spans="1:4" x14ac:dyDescent="0.2">
      <c r="A276" s="5">
        <v>215</v>
      </c>
      <c r="B276" s="1831">
        <f>'Assets-Liab 5-6'!M19</f>
        <v>2512817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6976041</v>
      </c>
      <c r="C279" s="2" t="s">
        <v>567</v>
      </c>
      <c r="D279" s="2" t="str">
        <f t="shared" si="3"/>
        <v>Error?</v>
      </c>
    </row>
    <row r="280" spans="1:4" x14ac:dyDescent="0.2">
      <c r="A280" s="5">
        <v>219</v>
      </c>
      <c r="B280" s="1831">
        <f>'Assets-Liab 5-6'!M40</f>
        <v>6976041</v>
      </c>
      <c r="D280" s="2" t="str">
        <f t="shared" si="3"/>
        <v>Error?</v>
      </c>
    </row>
    <row r="281" spans="1:4" x14ac:dyDescent="0.2">
      <c r="A281" s="5">
        <v>220</v>
      </c>
      <c r="B281" s="1831">
        <f>'Assets-Liab 5-6'!M41</f>
        <v>6976041</v>
      </c>
      <c r="C281" s="2" t="s">
        <v>567</v>
      </c>
      <c r="D281" s="2" t="str">
        <f t="shared" si="3"/>
        <v>Error?</v>
      </c>
    </row>
    <row r="282" spans="1:4" x14ac:dyDescent="0.2">
      <c r="A282" s="5">
        <v>221</v>
      </c>
      <c r="B282" s="1831">
        <f>'Assets-Liab 5-6'!N21</f>
        <v>0</v>
      </c>
      <c r="D282" s="2" t="str">
        <f t="shared" si="3"/>
        <v>Error?</v>
      </c>
    </row>
    <row r="283" spans="1:4" x14ac:dyDescent="0.2">
      <c r="A283" s="5">
        <v>222</v>
      </c>
      <c r="B283" s="1831">
        <f>'Assets-Liab 5-6'!N22</f>
        <v>216196</v>
      </c>
      <c r="D283" s="2" t="str">
        <f t="shared" si="3"/>
        <v>Error?</v>
      </c>
    </row>
    <row r="284" spans="1:4" x14ac:dyDescent="0.2">
      <c r="A284" s="5">
        <v>223</v>
      </c>
      <c r="B284" s="1831">
        <f>'Assets-Liab 5-6'!N23</f>
        <v>216196</v>
      </c>
      <c r="C284" s="2" t="s">
        <v>567</v>
      </c>
      <c r="D284" s="2" t="str">
        <f t="shared" si="3"/>
        <v>Error?</v>
      </c>
    </row>
    <row r="285" spans="1:4" x14ac:dyDescent="0.2">
      <c r="A285" s="5">
        <v>224</v>
      </c>
      <c r="B285" s="1831">
        <f>'Assets-Liab 5-6'!N36</f>
        <v>216196</v>
      </c>
      <c r="D285" s="2" t="str">
        <f t="shared" si="3"/>
        <v>Error?</v>
      </c>
    </row>
    <row r="286" spans="1:4" x14ac:dyDescent="0.2">
      <c r="A286" s="10">
        <v>225</v>
      </c>
      <c r="B286" s="1831"/>
      <c r="D286" s="2" t="str">
        <f t="shared" si="3"/>
        <v>OK</v>
      </c>
    </row>
    <row r="287" spans="1:4" x14ac:dyDescent="0.2">
      <c r="A287" s="5">
        <v>226</v>
      </c>
      <c r="B287" s="1831">
        <f>'Assets-Liab 5-6'!N37</f>
        <v>216196</v>
      </c>
      <c r="C287" s="2" t="s">
        <v>567</v>
      </c>
      <c r="D287" s="2" t="str">
        <f t="shared" si="3"/>
        <v>Error?</v>
      </c>
    </row>
    <row r="288" spans="1:4" x14ac:dyDescent="0.2">
      <c r="A288" s="5">
        <v>227</v>
      </c>
      <c r="B288" s="1831">
        <f>'Assets-Liab 5-6'!N41</f>
        <v>216196</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1373381</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96266</v>
      </c>
      <c r="D717" s="2" t="str">
        <f t="shared" si="10"/>
        <v>Error?</v>
      </c>
    </row>
    <row r="718" spans="1:4" x14ac:dyDescent="0.2">
      <c r="A718" s="5">
        <v>657</v>
      </c>
      <c r="B718" s="1831">
        <f>'Expenditures 15-22'!C14</f>
        <v>41287</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2043259</v>
      </c>
      <c r="C720" s="2" t="s">
        <v>567</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40901</v>
      </c>
      <c r="D722" s="2" t="str">
        <f t="shared" si="10"/>
        <v>Error?</v>
      </c>
    </row>
    <row r="723" spans="1:4" x14ac:dyDescent="0.2">
      <c r="A723" s="5">
        <v>662</v>
      </c>
      <c r="B723" s="1831">
        <f>'Expenditures 15-22'!C38</f>
        <v>21035</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49371</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111307</v>
      </c>
      <c r="C727" s="2" t="s">
        <v>567</v>
      </c>
      <c r="D727" s="2" t="str">
        <f t="shared" si="10"/>
        <v>Error?</v>
      </c>
    </row>
    <row r="728" spans="1:4" x14ac:dyDescent="0.2">
      <c r="A728" s="5">
        <v>667</v>
      </c>
      <c r="B728" s="1831">
        <f>'Expenditures 15-22'!C44</f>
        <v>50420</v>
      </c>
      <c r="D728" s="2" t="str">
        <f t="shared" si="10"/>
        <v>Error?</v>
      </c>
    </row>
    <row r="729" spans="1:4" x14ac:dyDescent="0.2">
      <c r="A729" s="5">
        <v>668</v>
      </c>
      <c r="B729" s="1831">
        <f>'Expenditures 15-22'!C45</f>
        <v>9700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60120</v>
      </c>
      <c r="C731" s="2" t="s">
        <v>567</v>
      </c>
      <c r="D731" s="2" t="str">
        <f t="shared" si="10"/>
        <v>Error?</v>
      </c>
    </row>
    <row r="732" spans="1:4" x14ac:dyDescent="0.2">
      <c r="A732" s="5">
        <v>671</v>
      </c>
      <c r="B732" s="1831">
        <f>'Expenditures 15-22'!C49</f>
        <v>1000</v>
      </c>
      <c r="D732" s="2" t="str">
        <f t="shared" si="10"/>
        <v>Error?</v>
      </c>
    </row>
    <row r="733" spans="1:4" x14ac:dyDescent="0.2">
      <c r="A733" s="5">
        <v>672</v>
      </c>
      <c r="B733" s="1831">
        <f>'Expenditures 15-22'!C50</f>
        <v>121188</v>
      </c>
      <c r="D733" s="2" t="str">
        <f t="shared" si="10"/>
        <v>Error?</v>
      </c>
    </row>
    <row r="734" spans="1:4" x14ac:dyDescent="0.2">
      <c r="A734" s="5">
        <v>673</v>
      </c>
      <c r="B734" s="1831">
        <f>'Expenditures 15-22'!C53</f>
        <v>122188</v>
      </c>
      <c r="C734" s="2" t="s">
        <v>567</v>
      </c>
      <c r="D734" s="2" t="str">
        <f t="shared" si="10"/>
        <v>Error?</v>
      </c>
    </row>
    <row r="735" spans="1:4" x14ac:dyDescent="0.2">
      <c r="A735" s="5">
        <v>674</v>
      </c>
      <c r="B735" s="1831">
        <f>'Expenditures 15-22'!C55</f>
        <v>211642</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211642</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44430</v>
      </c>
      <c r="D739" s="2" t="str">
        <f t="shared" si="10"/>
        <v>Error?</v>
      </c>
    </row>
    <row r="740" spans="1:4" x14ac:dyDescent="0.2">
      <c r="A740" s="5">
        <v>679</v>
      </c>
      <c r="B740" s="1831">
        <f>'Expenditures 15-22'!C61</f>
        <v>173935</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60253</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278618</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783875</v>
      </c>
      <c r="C755" s="2" t="s">
        <v>567</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2827134</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318771</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27526</v>
      </c>
      <c r="D775" s="2" t="str">
        <f t="shared" si="11"/>
        <v>Error?</v>
      </c>
    </row>
    <row r="776" spans="1:4" x14ac:dyDescent="0.2">
      <c r="A776" s="5">
        <v>715</v>
      </c>
      <c r="B776" s="1831">
        <f>'Expenditures 15-22'!D14</f>
        <v>437</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454458</v>
      </c>
      <c r="C778" s="2" t="s">
        <v>567</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4779</v>
      </c>
      <c r="D780" s="2" t="str">
        <f t="shared" si="11"/>
        <v>Error?</v>
      </c>
    </row>
    <row r="781" spans="1:4" x14ac:dyDescent="0.2">
      <c r="A781" s="5">
        <v>720</v>
      </c>
      <c r="B781" s="1831">
        <f>'Expenditures 15-22'!D38</f>
        <v>9541</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15168</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29488</v>
      </c>
      <c r="C785" s="2" t="s">
        <v>567</v>
      </c>
      <c r="D785" s="2" t="str">
        <f t="shared" si="11"/>
        <v>Error?</v>
      </c>
    </row>
    <row r="786" spans="1:4" x14ac:dyDescent="0.2">
      <c r="A786" s="5">
        <v>725</v>
      </c>
      <c r="B786" s="1831">
        <f>'Expenditures 15-22'!D44</f>
        <v>18743</v>
      </c>
      <c r="D786" s="2" t="str">
        <f t="shared" si="11"/>
        <v>Error?</v>
      </c>
    </row>
    <row r="787" spans="1:4" x14ac:dyDescent="0.2">
      <c r="A787" s="5">
        <v>726</v>
      </c>
      <c r="B787" s="1831">
        <f>'Expenditures 15-22'!D45</f>
        <v>140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18883</v>
      </c>
      <c r="C789" s="2" t="s">
        <v>567</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14534</v>
      </c>
      <c r="D791" s="2" t="str">
        <f t="shared" si="11"/>
        <v>Error?</v>
      </c>
    </row>
    <row r="792" spans="1:4" x14ac:dyDescent="0.2">
      <c r="A792" s="5">
        <v>731</v>
      </c>
      <c r="B792" s="1831">
        <f>'Expenditures 15-22'!D53</f>
        <v>14534</v>
      </c>
      <c r="C792" s="2" t="s">
        <v>567</v>
      </c>
      <c r="D792" s="2" t="str">
        <f t="shared" si="11"/>
        <v>Error?</v>
      </c>
    </row>
    <row r="793" spans="1:4" x14ac:dyDescent="0.2">
      <c r="A793" s="5">
        <v>732</v>
      </c>
      <c r="B793" s="1831">
        <f>'Expenditures 15-22'!D55</f>
        <v>60394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60394</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8001</v>
      </c>
      <c r="D797" s="2" t="str">
        <f t="shared" si="11"/>
        <v>Error?</v>
      </c>
    </row>
    <row r="798" spans="1:4" x14ac:dyDescent="0.2">
      <c r="A798" s="5">
        <v>737</v>
      </c>
      <c r="B798" s="1831">
        <f>'Expenditures 15-22'!D61</f>
        <v>18315</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36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26352</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149651</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604109</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32259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200</v>
      </c>
      <c r="D833" s="2" t="str">
        <f t="shared" si="12"/>
        <v>Error?</v>
      </c>
    </row>
    <row r="834" spans="1:4" x14ac:dyDescent="0.2">
      <c r="A834" s="5">
        <v>773</v>
      </c>
      <c r="B834" s="1831">
        <f>'Expenditures 15-22'!E14</f>
        <v>14343</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97684</v>
      </c>
      <c r="C836" s="2" t="s">
        <v>567</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780</v>
      </c>
      <c r="D841" s="2" t="str">
        <f t="shared" si="12"/>
        <v>OK</v>
      </c>
    </row>
    <row r="842" spans="1:4" x14ac:dyDescent="0.2">
      <c r="A842" s="5">
        <v>781</v>
      </c>
      <c r="B842" s="1831">
        <f>'Expenditures 15-22'!E41</f>
        <v>0</v>
      </c>
      <c r="D842" s="2" t="str">
        <f t="shared" si="12"/>
        <v>Error?</v>
      </c>
    </row>
    <row r="843" spans="1:4" x14ac:dyDescent="0.2">
      <c r="A843" s="5">
        <v>782</v>
      </c>
      <c r="B843" s="1831">
        <f>'Expenditures 15-22'!E42</f>
        <v>780</v>
      </c>
      <c r="C843" s="2" t="s">
        <v>567</v>
      </c>
      <c r="D843" s="2" t="str">
        <f t="shared" si="12"/>
        <v>Error?</v>
      </c>
    </row>
    <row r="844" spans="1:4" x14ac:dyDescent="0.2">
      <c r="A844" s="5">
        <v>783</v>
      </c>
      <c r="B844" s="1831">
        <f>'Expenditures 15-22'!E44</f>
        <v>5109</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8099</v>
      </c>
      <c r="D846" s="2" t="str">
        <f t="shared" si="12"/>
        <v>Error?</v>
      </c>
    </row>
    <row r="847" spans="1:4" x14ac:dyDescent="0.2">
      <c r="A847" s="5">
        <v>786</v>
      </c>
      <c r="B847" s="1831">
        <f>'Expenditures 15-22'!E47</f>
        <v>13208</v>
      </c>
      <c r="C847" s="2" t="s">
        <v>567</v>
      </c>
      <c r="D847" s="2" t="str">
        <f t="shared" si="12"/>
        <v>Error?</v>
      </c>
    </row>
    <row r="848" spans="1:4" x14ac:dyDescent="0.2">
      <c r="A848" s="5">
        <v>787</v>
      </c>
      <c r="B848" s="1831">
        <f>'Expenditures 15-22'!E49</f>
        <v>5936</v>
      </c>
      <c r="D848" s="2" t="str">
        <f t="shared" si="12"/>
        <v>Error?</v>
      </c>
    </row>
    <row r="849" spans="1:4" x14ac:dyDescent="0.2">
      <c r="A849" s="5">
        <v>788</v>
      </c>
      <c r="B849" s="1831">
        <f>'Expenditures 15-22'!E50</f>
        <v>5089</v>
      </c>
      <c r="D849" s="2" t="str">
        <f t="shared" si="12"/>
        <v>Error?</v>
      </c>
    </row>
    <row r="850" spans="1:4" x14ac:dyDescent="0.2">
      <c r="A850" s="5">
        <v>789</v>
      </c>
      <c r="B850" s="1831">
        <f>'Expenditures 15-22'!E53</f>
        <v>11025</v>
      </c>
      <c r="C850" s="2" t="s">
        <v>567</v>
      </c>
      <c r="D850" s="2" t="str">
        <f t="shared" si="12"/>
        <v>Error?</v>
      </c>
    </row>
    <row r="851" spans="1:4" x14ac:dyDescent="0.2">
      <c r="A851" s="5">
        <v>790</v>
      </c>
      <c r="B851" s="1831">
        <f>'Expenditures 15-22'!E55</f>
        <v>5727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5727</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8595</v>
      </c>
      <c r="D855" s="2" t="str">
        <f t="shared" si="12"/>
        <v>Error?</v>
      </c>
    </row>
    <row r="856" spans="1:4" x14ac:dyDescent="0.2">
      <c r="A856" s="5">
        <v>795</v>
      </c>
      <c r="B856" s="1831">
        <f>'Expenditures 15-22'!E61</f>
        <v>16248</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7112</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31955</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62695</v>
      </c>
      <c r="C871" s="2" t="s">
        <v>567</v>
      </c>
      <c r="D871" s="2" t="str">
        <f t="shared" si="12"/>
        <v>Error?</v>
      </c>
    </row>
    <row r="872" spans="1:4" x14ac:dyDescent="0.2">
      <c r="A872" s="5">
        <v>811</v>
      </c>
      <c r="B872" s="1831">
        <f>'Expenditures 15-22'!E75</f>
        <v>3829</v>
      </c>
      <c r="D872" s="2" t="str">
        <f t="shared" si="12"/>
        <v>Error?</v>
      </c>
    </row>
    <row r="873" spans="1:4" x14ac:dyDescent="0.2">
      <c r="A873" s="5">
        <v>812</v>
      </c>
      <c r="B873" s="1831">
        <f>'Expenditures 15-22'!E114</f>
        <v>259729</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68</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6499</v>
      </c>
      <c r="D891" s="2" t="str">
        <f t="shared" si="12"/>
        <v>Error?</v>
      </c>
    </row>
    <row r="892" spans="1:4" x14ac:dyDescent="0.2">
      <c r="A892" s="5">
        <v>831</v>
      </c>
      <c r="B892" s="1831">
        <f>'Expenditures 15-22'!F14</f>
        <v>10246</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51700</v>
      </c>
      <c r="C894" s="2" t="s">
        <v>567</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119</v>
      </c>
      <c r="D896" s="2" t="str">
        <f t="shared" si="13"/>
        <v>Error?</v>
      </c>
    </row>
    <row r="897" spans="1:4" x14ac:dyDescent="0.2">
      <c r="A897" s="5">
        <v>836</v>
      </c>
      <c r="B897" s="1831">
        <f>'Expenditures 15-22'!F38</f>
        <v>538</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135</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792</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2421</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2421</v>
      </c>
      <c r="C905" s="2" t="s">
        <v>567</v>
      </c>
      <c r="D905" s="2" t="str">
        <f t="shared" si="13"/>
        <v>Error?</v>
      </c>
    </row>
    <row r="906" spans="1:4" x14ac:dyDescent="0.2">
      <c r="A906" s="5">
        <v>845</v>
      </c>
      <c r="B906" s="1831">
        <f>'Expenditures 15-22'!F49</f>
        <v>5526</v>
      </c>
      <c r="D906" s="2" t="str">
        <f t="shared" si="13"/>
        <v>Error?</v>
      </c>
    </row>
    <row r="907" spans="1:4" x14ac:dyDescent="0.2">
      <c r="A907" s="5">
        <v>846</v>
      </c>
      <c r="B907" s="1831">
        <f>'Expenditures 15-22'!F50</f>
        <v>486</v>
      </c>
      <c r="D907" s="2" t="str">
        <f t="shared" si="13"/>
        <v>Error?</v>
      </c>
    </row>
    <row r="908" spans="1:4" x14ac:dyDescent="0.2">
      <c r="A908" s="5">
        <v>847</v>
      </c>
      <c r="B908" s="1831">
        <f>'Expenditures 15-22'!F53</f>
        <v>6012</v>
      </c>
      <c r="C908" s="2" t="s">
        <v>567</v>
      </c>
      <c r="D908" s="2" t="str">
        <f t="shared" si="13"/>
        <v>Error?</v>
      </c>
    </row>
    <row r="909" spans="1:4" x14ac:dyDescent="0.2">
      <c r="A909" s="5">
        <v>848</v>
      </c>
      <c r="B909" s="1831">
        <f>'Expenditures 15-22'!F55</f>
        <v>2085</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2085</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873</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162311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163184</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567</v>
      </c>
      <c r="D927" s="2" t="str">
        <f t="shared" si="13"/>
        <v>Error?</v>
      </c>
    </row>
    <row r="928" spans="1:4" x14ac:dyDescent="0.2">
      <c r="A928" s="5">
        <v>867</v>
      </c>
      <c r="B928" s="1831">
        <f>'Expenditures 15-22'!F73</f>
        <v>355</v>
      </c>
      <c r="D928" s="2" t="str">
        <f t="shared" si="13"/>
        <v>Error?</v>
      </c>
    </row>
    <row r="929" spans="1:4" x14ac:dyDescent="0.2">
      <c r="A929" s="5">
        <v>868</v>
      </c>
      <c r="B929" s="1831">
        <f>'Expenditures 15-22'!F74</f>
        <v>174849</v>
      </c>
      <c r="C929" s="2" t="s">
        <v>567</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226549</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2658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3173</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5831</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886</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886</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1945</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1945</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2831</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8662</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1014</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250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1264</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40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40</v>
      </c>
      <c r="C1017" s="2" t="s">
        <v>567</v>
      </c>
      <c r="D1017" s="2" t="str">
        <f t="shared" si="14"/>
        <v>Error?</v>
      </c>
    </row>
    <row r="1018" spans="1:4" x14ac:dyDescent="0.2">
      <c r="A1018" s="5">
        <v>957</v>
      </c>
      <c r="B1018" s="1831">
        <f>'Expenditures 15-22'!H44</f>
        <v>1620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1620</v>
      </c>
      <c r="C1021" s="2" t="s">
        <v>567</v>
      </c>
      <c r="D1021" s="2" t="str">
        <f t="shared" si="14"/>
        <v>Error?</v>
      </c>
    </row>
    <row r="1022" spans="1:4" x14ac:dyDescent="0.2">
      <c r="A1022" s="5">
        <v>961</v>
      </c>
      <c r="B1022" s="1831">
        <f>'Expenditures 15-22'!H49</f>
        <v>7610</v>
      </c>
      <c r="D1022" s="2" t="str">
        <f t="shared" si="14"/>
        <v>Error?</v>
      </c>
    </row>
    <row r="1023" spans="1:4" x14ac:dyDescent="0.2">
      <c r="A1023" s="5">
        <v>962</v>
      </c>
      <c r="B1023" s="1831">
        <f>'Expenditures 15-22'!H50</f>
        <v>464</v>
      </c>
      <c r="D1023" s="2" t="str">
        <f t="shared" ref="D1023:D1086" si="15">IF(ISBLANK(B1023),"OK",IF(A1023-B1023=0,"OK","Error?"))</f>
        <v>Error?</v>
      </c>
    </row>
    <row r="1024" spans="1:4" x14ac:dyDescent="0.2">
      <c r="A1024" s="5">
        <v>963</v>
      </c>
      <c r="B1024" s="1831">
        <f>'Expenditures 15-22'!H53</f>
        <v>8074</v>
      </c>
      <c r="C1024" s="2" t="s">
        <v>567</v>
      </c>
      <c r="D1024" s="2" t="str">
        <f t="shared" si="15"/>
        <v>Error?</v>
      </c>
    </row>
    <row r="1025" spans="1:4" x14ac:dyDescent="0.2">
      <c r="A1025" s="5">
        <v>964</v>
      </c>
      <c r="B1025" s="1831">
        <f>'Expenditures 15-22'!H55</f>
        <v>1089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1089</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195</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195</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11018</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72199</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84481</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1995</v>
      </c>
      <c r="E1056" s="4" t="s">
        <v>1994</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1728151</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130491</v>
      </c>
      <c r="C1105" s="2" t="s">
        <v>567</v>
      </c>
      <c r="D1105" s="2" t="str">
        <f t="shared" si="16"/>
        <v>Error?</v>
      </c>
    </row>
    <row r="1106" spans="1:4" x14ac:dyDescent="0.2">
      <c r="A1106" s="5">
        <v>1045</v>
      </c>
      <c r="B1106" s="1831">
        <f>'Expenditures 15-22'!K14</f>
        <v>69736</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2654196</v>
      </c>
      <c r="C1108" s="2" t="s">
        <v>567</v>
      </c>
      <c r="D1108" s="2" t="str">
        <f t="shared" si="16"/>
        <v>Error?</v>
      </c>
    </row>
    <row r="1109" spans="1:4" x14ac:dyDescent="0.2">
      <c r="A1109" s="5">
        <v>1048</v>
      </c>
      <c r="B1109" s="1831">
        <f>'Expenditures 15-22'!K36</f>
        <v>0</v>
      </c>
      <c r="C1109" s="2" t="s">
        <v>567</v>
      </c>
      <c r="D1109" s="2" t="str">
        <f t="shared" si="16"/>
        <v>Error?</v>
      </c>
    </row>
    <row r="1110" spans="1:4" x14ac:dyDescent="0.2">
      <c r="A1110" s="5">
        <v>1049</v>
      </c>
      <c r="B1110" s="1831">
        <f>'Expenditures 15-22'!K37</f>
        <v>45839</v>
      </c>
      <c r="C1110" s="2" t="s">
        <v>567</v>
      </c>
      <c r="D1110" s="2" t="str">
        <f t="shared" si="16"/>
        <v>Error?</v>
      </c>
    </row>
    <row r="1111" spans="1:4" x14ac:dyDescent="0.2">
      <c r="A1111" s="5">
        <v>1050</v>
      </c>
      <c r="B1111" s="1831">
        <f>'Expenditures 15-22'!K38</f>
        <v>31114</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65454</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142407</v>
      </c>
      <c r="C1115" s="2" t="s">
        <v>567</v>
      </c>
      <c r="D1115" s="2" t="str">
        <f t="shared" si="16"/>
        <v>Error?</v>
      </c>
    </row>
    <row r="1116" spans="1:4" x14ac:dyDescent="0.2">
      <c r="A1116" s="5">
        <v>1055</v>
      </c>
      <c r="B1116" s="1831">
        <f>'Expenditures 15-22'!K44</f>
        <v>75892</v>
      </c>
      <c r="C1116" s="2" t="s">
        <v>567</v>
      </c>
      <c r="D1116" s="2" t="str">
        <f t="shared" si="16"/>
        <v>Error?</v>
      </c>
    </row>
    <row r="1117" spans="1:4" x14ac:dyDescent="0.2">
      <c r="A1117" s="5">
        <v>1056</v>
      </c>
      <c r="B1117" s="1831">
        <f>'Expenditures 15-22'!K45</f>
        <v>12261</v>
      </c>
      <c r="C1117" s="2" t="s">
        <v>567</v>
      </c>
      <c r="D1117" s="2" t="str">
        <f t="shared" si="16"/>
        <v>Error?</v>
      </c>
    </row>
    <row r="1118" spans="1:4" x14ac:dyDescent="0.2">
      <c r="A1118" s="5">
        <v>1057</v>
      </c>
      <c r="B1118" s="1831">
        <f>'Expenditures 15-22'!K46</f>
        <v>8099</v>
      </c>
      <c r="C1118" s="2" t="s">
        <v>567</v>
      </c>
      <c r="D1118" s="2" t="str">
        <f t="shared" si="16"/>
        <v>Error?</v>
      </c>
    </row>
    <row r="1119" spans="1:4" x14ac:dyDescent="0.2">
      <c r="A1119" s="5">
        <v>1058</v>
      </c>
      <c r="B1119" s="1831">
        <f>'Expenditures 15-22'!K47</f>
        <v>96252</v>
      </c>
      <c r="C1119" s="2" t="s">
        <v>567</v>
      </c>
      <c r="D1119" s="2" t="str">
        <f t="shared" si="16"/>
        <v>Error?</v>
      </c>
    </row>
    <row r="1120" spans="1:4" x14ac:dyDescent="0.2">
      <c r="A1120" s="5">
        <v>1059</v>
      </c>
      <c r="B1120" s="1831">
        <f>'Expenditures 15-22'!K49</f>
        <v>20072</v>
      </c>
      <c r="C1120" s="2" t="s">
        <v>567</v>
      </c>
      <c r="D1120" s="2" t="str">
        <f t="shared" si="16"/>
        <v>Error?</v>
      </c>
    </row>
    <row r="1121" spans="1:4" x14ac:dyDescent="0.2">
      <c r="A1121" s="5">
        <v>1060</v>
      </c>
      <c r="B1121" s="1831">
        <f>'Expenditures 15-22'!K50</f>
        <v>141761</v>
      </c>
      <c r="C1121" s="2" t="s">
        <v>567</v>
      </c>
      <c r="D1121" s="2" t="str">
        <f t="shared" si="16"/>
        <v>Error?</v>
      </c>
    </row>
    <row r="1122" spans="1:4" x14ac:dyDescent="0.2">
      <c r="A1122" s="5">
        <v>1061</v>
      </c>
      <c r="B1122" s="1831">
        <f>'Expenditures 15-22'!K53</f>
        <v>161833</v>
      </c>
      <c r="C1122" s="2" t="s">
        <v>567</v>
      </c>
      <c r="D1122" s="2" t="str">
        <f t="shared" si="16"/>
        <v>Error?</v>
      </c>
    </row>
    <row r="1123" spans="1:4" x14ac:dyDescent="0.2">
      <c r="A1123" s="5">
        <v>1062</v>
      </c>
      <c r="B1123" s="1831">
        <f>'Expenditures 15-22'!K55</f>
        <v>281823</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281823</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63844</v>
      </c>
      <c r="C1127" s="2" t="s">
        <v>567</v>
      </c>
      <c r="D1127" s="2" t="str">
        <f t="shared" si="16"/>
        <v>Error?</v>
      </c>
    </row>
    <row r="1128" spans="1:4" x14ac:dyDescent="0.2">
      <c r="A1128" s="5">
        <v>1067</v>
      </c>
      <c r="B1128" s="1831">
        <f>'Expenditures 15-22'!K61</f>
        <v>208498</v>
      </c>
      <c r="C1128" s="2" t="s">
        <v>567</v>
      </c>
      <c r="D1128" s="2" t="str">
        <f t="shared" si="16"/>
        <v>Error?</v>
      </c>
    </row>
    <row r="1129" spans="1:4" x14ac:dyDescent="0.2">
      <c r="A1129" s="5">
        <v>1068</v>
      </c>
      <c r="B1129" s="1831">
        <f>'Expenditures 15-22'!K62</f>
        <v>0</v>
      </c>
      <c r="C1129" s="2" t="s">
        <v>567</v>
      </c>
      <c r="D1129" s="2" t="str">
        <f t="shared" si="16"/>
        <v>Error?</v>
      </c>
    </row>
    <row r="1130" spans="1:4" x14ac:dyDescent="0.2">
      <c r="A1130" s="5">
        <v>1069</v>
      </c>
      <c r="B1130" s="1831">
        <f>'Expenditures 15-22'!K63</f>
        <v>229907</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502249</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0</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567</v>
      </c>
      <c r="D1141" s="2" t="str">
        <f t="shared" si="16"/>
        <v>Error?</v>
      </c>
    </row>
    <row r="1142" spans="1:4" x14ac:dyDescent="0.2">
      <c r="A1142" s="5">
        <v>1081</v>
      </c>
      <c r="B1142" s="1831">
        <f>'Expenditures 15-22'!K73</f>
        <v>355</v>
      </c>
      <c r="C1142" s="2" t="s">
        <v>567</v>
      </c>
      <c r="D1142" s="2" t="str">
        <f t="shared" si="16"/>
        <v>Error?</v>
      </c>
    </row>
    <row r="1143" spans="1:4" x14ac:dyDescent="0.2">
      <c r="A1143" s="5">
        <v>1082</v>
      </c>
      <c r="B1143" s="1831">
        <f>'Expenditures 15-22'!K74</f>
        <v>1184919</v>
      </c>
      <c r="C1143" s="2" t="s">
        <v>567</v>
      </c>
      <c r="D1143" s="2" t="str">
        <f t="shared" si="16"/>
        <v>Error?</v>
      </c>
    </row>
    <row r="1144" spans="1:4" x14ac:dyDescent="0.2">
      <c r="A1144" s="5">
        <v>1083</v>
      </c>
      <c r="B1144" s="1831">
        <f>'Expenditures 15-22'!K75</f>
        <v>3829</v>
      </c>
      <c r="C1144" s="2" t="s">
        <v>567</v>
      </c>
      <c r="D1144" s="2" t="str">
        <f t="shared" si="16"/>
        <v>Error?</v>
      </c>
    </row>
    <row r="1145" spans="1:4" x14ac:dyDescent="0.2">
      <c r="A1145" s="5">
        <v>1084</v>
      </c>
      <c r="B1145" s="1831">
        <f>'Expenditures 15-22'!K102</f>
        <v>167720</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4010664</v>
      </c>
      <c r="C1152" s="2" t="s">
        <v>567</v>
      </c>
      <c r="D1152" s="2" t="str">
        <f t="shared" si="17"/>
        <v>Error?</v>
      </c>
    </row>
    <row r="1153" spans="1:4" x14ac:dyDescent="0.2">
      <c r="A1153" s="5">
        <v>1092</v>
      </c>
      <c r="B1153" s="1831">
        <f>'Expenditures 15-22'!K115</f>
        <v>156295</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59097</v>
      </c>
      <c r="D1237" s="2" t="str">
        <f t="shared" si="18"/>
        <v>Error?</v>
      </c>
    </row>
    <row r="1238" spans="1:4" x14ac:dyDescent="0.2">
      <c r="A1238" s="10">
        <v>1177</v>
      </c>
      <c r="B1238" s="1831"/>
      <c r="D1238" s="2" t="str">
        <f t="shared" si="18"/>
        <v>OK</v>
      </c>
    </row>
    <row r="1239" spans="1:4" x14ac:dyDescent="0.2">
      <c r="A1239" s="5">
        <v>1178</v>
      </c>
      <c r="B1239" s="1831">
        <f>'Expenditures 15-22'!E127</f>
        <v>59097</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59097</v>
      </c>
      <c r="C1241" s="2" t="s">
        <v>567</v>
      </c>
      <c r="D1241" s="2" t="str">
        <f t="shared" si="18"/>
        <v>Error?</v>
      </c>
    </row>
    <row r="1242" spans="1:4" x14ac:dyDescent="0.2">
      <c r="A1242" s="5">
        <v>1181</v>
      </c>
      <c r="B1242" s="1831">
        <f>'Expenditures 15-22'!E151</f>
        <v>59097</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156719</v>
      </c>
      <c r="D1245" s="2" t="str">
        <f t="shared" si="18"/>
        <v>Error?</v>
      </c>
    </row>
    <row r="1246" spans="1:4" x14ac:dyDescent="0.2">
      <c r="A1246" s="10">
        <v>1185</v>
      </c>
      <c r="B1246" s="1831"/>
      <c r="D1246" s="2" t="str">
        <f t="shared" si="18"/>
        <v>OK</v>
      </c>
    </row>
    <row r="1247" spans="1:4" x14ac:dyDescent="0.2">
      <c r="A1247" s="5">
        <v>1186</v>
      </c>
      <c r="B1247" s="1831">
        <f>'Expenditures 15-22'!F127</f>
        <v>156719</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156719</v>
      </c>
      <c r="C1249" s="2" t="s">
        <v>567</v>
      </c>
      <c r="D1249" s="2" t="str">
        <f t="shared" si="18"/>
        <v>Error?</v>
      </c>
    </row>
    <row r="1250" spans="1:4" x14ac:dyDescent="0.2">
      <c r="A1250" s="5">
        <v>1189</v>
      </c>
      <c r="B1250" s="1831">
        <f>'Expenditures 15-22'!F151</f>
        <v>156719</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23533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23533</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23533</v>
      </c>
      <c r="C1258" s="2" t="s">
        <v>567</v>
      </c>
      <c r="D1258" s="2" t="str">
        <f t="shared" si="18"/>
        <v>Error?</v>
      </c>
    </row>
    <row r="1259" spans="1:4" x14ac:dyDescent="0.2">
      <c r="A1259" s="5">
        <v>1198</v>
      </c>
      <c r="B1259" s="1831">
        <f>'Expenditures 15-22'!G151</f>
        <v>23533</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2500</v>
      </c>
      <c r="D1262" s="2" t="str">
        <f t="shared" si="18"/>
        <v>Error?</v>
      </c>
    </row>
    <row r="1263" spans="1:4" x14ac:dyDescent="0.2">
      <c r="A1263" s="10">
        <v>1202</v>
      </c>
      <c r="B1263" s="1831"/>
      <c r="D1263" s="2" t="str">
        <f t="shared" si="18"/>
        <v>OK</v>
      </c>
    </row>
    <row r="1264" spans="1:4" x14ac:dyDescent="0.2">
      <c r="A1264" s="5">
        <v>1203</v>
      </c>
      <c r="B1264" s="1831">
        <f>'Expenditures 15-22'!H127</f>
        <v>2500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2500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2500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241849</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241849</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241849</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241849</v>
      </c>
      <c r="C1288" s="2" t="s">
        <v>567</v>
      </c>
      <c r="D1288" s="2" t="str">
        <f t="shared" si="19"/>
        <v>Error?</v>
      </c>
    </row>
    <row r="1289" spans="1:4" x14ac:dyDescent="0.2">
      <c r="A1289" s="5">
        <v>1228</v>
      </c>
      <c r="B1289" s="1831">
        <f>'Expenditures 15-22'!K152</f>
        <v>97617</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567</v>
      </c>
      <c r="D1317" s="2" t="str">
        <f t="shared" si="19"/>
        <v>Error?</v>
      </c>
    </row>
    <row r="1318" spans="1:4" x14ac:dyDescent="0.2">
      <c r="A1318" s="5">
        <v>1257</v>
      </c>
      <c r="B1318" s="1831">
        <f>'Expenditures 15-22'!H174</f>
        <v>0</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0</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0</v>
      </c>
      <c r="C1329" s="2" t="s">
        <v>567</v>
      </c>
      <c r="D1329" s="2" t="str">
        <f t="shared" si="19"/>
        <v>Error?</v>
      </c>
    </row>
    <row r="1330" spans="1:4" x14ac:dyDescent="0.2">
      <c r="A1330" s="5">
        <v>1269</v>
      </c>
      <c r="B1330" s="1831">
        <f>'Expenditures 15-22'!K171</f>
        <v>0</v>
      </c>
      <c r="C1330" s="2" t="s">
        <v>567</v>
      </c>
      <c r="D1330" s="2" t="str">
        <f t="shared" si="19"/>
        <v>Error?</v>
      </c>
    </row>
    <row r="1331" spans="1:4" x14ac:dyDescent="0.2">
      <c r="A1331" s="5">
        <v>1270</v>
      </c>
      <c r="B1331" s="1831">
        <f>'Expenditures 15-22'!K172</f>
        <v>0</v>
      </c>
      <c r="C1331" s="2" t="s">
        <v>567</v>
      </c>
      <c r="D1331" s="2" t="str">
        <f t="shared" si="19"/>
        <v>Error?</v>
      </c>
    </row>
    <row r="1332" spans="1:4" x14ac:dyDescent="0.2">
      <c r="A1332" s="5">
        <v>1271</v>
      </c>
      <c r="B1332" s="1831">
        <f>'Expenditures 15-22'!K174</f>
        <v>0</v>
      </c>
      <c r="C1332" s="2" t="s">
        <v>567</v>
      </c>
      <c r="D1332" s="2" t="str">
        <f t="shared" si="19"/>
        <v>Error?</v>
      </c>
    </row>
    <row r="1333" spans="1:4" x14ac:dyDescent="0.2">
      <c r="A1333" s="5">
        <v>1272</v>
      </c>
      <c r="B1333" s="1831">
        <f>'Expenditures 15-22'!K175</f>
        <v>0</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232721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232721</v>
      </c>
      <c r="C1339" s="2" t="s">
        <v>567</v>
      </c>
      <c r="D1339" s="2" t="str">
        <f t="shared" si="19"/>
        <v>Error?</v>
      </c>
    </row>
    <row r="1340" spans="1:4" x14ac:dyDescent="0.2">
      <c r="A1340" s="5">
        <v>1279</v>
      </c>
      <c r="B1340" s="1831">
        <f>'Expenditures 15-22'!C210</f>
        <v>232721</v>
      </c>
      <c r="C1340" s="2" t="s">
        <v>567</v>
      </c>
      <c r="D1340" s="2" t="str">
        <f t="shared" si="19"/>
        <v>Error?</v>
      </c>
    </row>
    <row r="1341" spans="1:4" x14ac:dyDescent="0.2">
      <c r="A1341" s="5">
        <v>1280</v>
      </c>
      <c r="B1341" s="1831">
        <f>'Expenditures 15-22'!D182</f>
        <v>40763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40763</v>
      </c>
      <c r="C1345" s="2" t="s">
        <v>567</v>
      </c>
      <c r="D1345" s="2" t="str">
        <f t="shared" si="20"/>
        <v>Error?</v>
      </c>
    </row>
    <row r="1346" spans="1:4" x14ac:dyDescent="0.2">
      <c r="A1346" s="5">
        <v>1285</v>
      </c>
      <c r="B1346" s="1831">
        <f>'Expenditures 15-22'!D210</f>
        <v>40763</v>
      </c>
      <c r="C1346" s="2" t="s">
        <v>567</v>
      </c>
      <c r="D1346" s="2" t="str">
        <f t="shared" si="20"/>
        <v>Error?</v>
      </c>
    </row>
    <row r="1347" spans="1:4" x14ac:dyDescent="0.2">
      <c r="A1347" s="5">
        <v>1286</v>
      </c>
      <c r="B1347" s="1831">
        <f>'Expenditures 15-22'!E182</f>
        <v>13858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13858</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13858</v>
      </c>
      <c r="C1353" s="2" t="s">
        <v>567</v>
      </c>
      <c r="D1353" s="2" t="str">
        <f t="shared" si="20"/>
        <v>Error?</v>
      </c>
    </row>
    <row r="1354" spans="1:4" x14ac:dyDescent="0.2">
      <c r="A1354" s="5">
        <v>1293</v>
      </c>
      <c r="B1354" s="1831">
        <f>'Expenditures 15-22'!F182</f>
        <v>73807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73807</v>
      </c>
      <c r="C1358" s="2" t="s">
        <v>567</v>
      </c>
      <c r="D1358" s="2" t="str">
        <f t="shared" si="20"/>
        <v>Error?</v>
      </c>
    </row>
    <row r="1359" spans="1:4" x14ac:dyDescent="0.2">
      <c r="A1359" s="5">
        <v>1298</v>
      </c>
      <c r="B1359" s="1831">
        <f>'Expenditures 15-22'!F210</f>
        <v>73807</v>
      </c>
      <c r="C1359" s="2" t="s">
        <v>567</v>
      </c>
      <c r="D1359" s="2" t="str">
        <f t="shared" si="20"/>
        <v>Error?</v>
      </c>
    </row>
    <row r="1360" spans="1:4" x14ac:dyDescent="0.2">
      <c r="A1360" s="5">
        <v>1299</v>
      </c>
      <c r="B1360" s="1831">
        <f>'Expenditures 15-22'!G182</f>
        <v>55080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55080</v>
      </c>
      <c r="C1364" s="2" t="s">
        <v>567</v>
      </c>
      <c r="D1364" s="2" t="str">
        <f t="shared" si="20"/>
        <v>Error?</v>
      </c>
    </row>
    <row r="1365" spans="1:4" x14ac:dyDescent="0.2">
      <c r="A1365" s="5">
        <v>1304</v>
      </c>
      <c r="B1365" s="1831">
        <f>'Expenditures 15-22'!G210</f>
        <v>55080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567</v>
      </c>
      <c r="D1375" s="2" t="str">
        <f t="shared" si="20"/>
        <v>Error?</v>
      </c>
    </row>
    <row r="1376" spans="1:4" x14ac:dyDescent="0.2">
      <c r="A1376" s="5">
        <v>1315</v>
      </c>
      <c r="B1376" s="1831">
        <f>'Expenditures 15-22'!H210</f>
        <v>0</v>
      </c>
      <c r="C1376" s="2" t="s">
        <v>567</v>
      </c>
      <c r="D1376" s="2" t="str">
        <f t="shared" si="20"/>
        <v>Error?</v>
      </c>
    </row>
    <row r="1377" spans="1:4" x14ac:dyDescent="0.2">
      <c r="A1377" s="5">
        <v>1316</v>
      </c>
      <c r="B1377" s="1831">
        <f>'Expenditures 15-22'!K182</f>
        <v>416229</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416229</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567</v>
      </c>
      <c r="D1387" s="2" t="str">
        <f t="shared" si="20"/>
        <v>Error?</v>
      </c>
    </row>
    <row r="1388" spans="1:4" x14ac:dyDescent="0.2">
      <c r="A1388" s="5">
        <v>1327</v>
      </c>
      <c r="B1388" s="1831">
        <f>'Expenditures 15-22'!K210</f>
        <v>416229</v>
      </c>
      <c r="C1388" s="2" t="s">
        <v>567</v>
      </c>
      <c r="D1388" s="2" t="str">
        <f t="shared" si="20"/>
        <v>Error?</v>
      </c>
    </row>
    <row r="1389" spans="1:4" x14ac:dyDescent="0.2">
      <c r="A1389" s="5">
        <v>1328</v>
      </c>
      <c r="B1389" s="1831">
        <f>'Expenditures 15-22'!K211</f>
        <v>189</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1284</v>
      </c>
      <c r="D1407" s="2" t="str">
        <f t="shared" ref="D1407:D1470" si="21">IF(ISBLANK(B1407),"OK",IF(A1407-B1407=0,"OK","Error?"))</f>
        <v>Error?</v>
      </c>
    </row>
    <row r="1408" spans="1:4" x14ac:dyDescent="0.2">
      <c r="A1408" s="5">
        <v>1347</v>
      </c>
      <c r="B1408" s="1831">
        <f>'Expenditures 15-22'!D223</f>
        <v>1712</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55739</v>
      </c>
      <c r="C1410" s="2" t="s">
        <v>567</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593</v>
      </c>
      <c r="D1412" s="2" t="str">
        <f t="shared" si="21"/>
        <v>Error?</v>
      </c>
    </row>
    <row r="1413" spans="1:4" x14ac:dyDescent="0.2">
      <c r="A1413" s="5">
        <v>1352</v>
      </c>
      <c r="B1413" s="1831">
        <f>'Expenditures 15-22'!D234</f>
        <v>1670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666</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2929</v>
      </c>
      <c r="C1417" s="2" t="s">
        <v>567</v>
      </c>
      <c r="D1417" s="2" t="str">
        <f t="shared" si="21"/>
        <v>Error?</v>
      </c>
    </row>
    <row r="1418" spans="1:4" x14ac:dyDescent="0.2">
      <c r="A1418" s="5">
        <v>1357</v>
      </c>
      <c r="B1418" s="1831">
        <f>'Expenditures 15-22'!D240</f>
        <v>681</v>
      </c>
      <c r="D1418" s="2" t="str">
        <f t="shared" si="21"/>
        <v>Error?</v>
      </c>
    </row>
    <row r="1419" spans="1:4" x14ac:dyDescent="0.2">
      <c r="A1419" s="5">
        <v>1358</v>
      </c>
      <c r="B1419" s="1831">
        <f>'Expenditures 15-22'!D241</f>
        <v>141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822</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6206</v>
      </c>
      <c r="D1423" s="2" t="str">
        <f t="shared" si="21"/>
        <v>Error?</v>
      </c>
    </row>
    <row r="1424" spans="1:4" x14ac:dyDescent="0.2">
      <c r="A1424" s="5">
        <v>1363</v>
      </c>
      <c r="B1424" s="1831">
        <f>'Expenditures 15-22'!D257</f>
        <v>6206</v>
      </c>
      <c r="C1424" s="2" t="s">
        <v>567</v>
      </c>
      <c r="D1424" s="2" t="str">
        <f t="shared" si="21"/>
        <v>Error?</v>
      </c>
    </row>
    <row r="1425" spans="1:4" x14ac:dyDescent="0.2">
      <c r="A1425" s="5">
        <v>1364</v>
      </c>
      <c r="B1425" s="1831">
        <f>'Expenditures 15-22'!D259</f>
        <v>10485</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10485</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5950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22510</v>
      </c>
      <c r="D1431" s="2" t="str">
        <f t="shared" si="21"/>
        <v>Error?</v>
      </c>
    </row>
    <row r="1432" spans="1:4" x14ac:dyDescent="0.2">
      <c r="A1432" s="5">
        <v>1371</v>
      </c>
      <c r="B1432" s="1831">
        <f>'Expenditures 15-22'!D267</f>
        <v>30332</v>
      </c>
      <c r="D1432" s="2" t="str">
        <f t="shared" si="21"/>
        <v>Error?</v>
      </c>
    </row>
    <row r="1433" spans="1:4" x14ac:dyDescent="0.2">
      <c r="A1433" s="5">
        <v>1372</v>
      </c>
      <c r="B1433" s="1831">
        <f>'Expenditures 15-22'!D268</f>
        <v>7922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66714</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87156</v>
      </c>
      <c r="C1446" s="2" t="s">
        <v>567</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142895</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1284</v>
      </c>
      <c r="C1471" s="2" t="s">
        <v>567</v>
      </c>
      <c r="D1471" s="2" t="str">
        <f t="shared" ref="D1471:D1534" si="22">IF(ISBLANK(B1471),"OK",IF(A1471-B1471=0,"OK","Error?"))</f>
        <v>Error?</v>
      </c>
    </row>
    <row r="1472" spans="1:4" x14ac:dyDescent="0.2">
      <c r="A1472" s="5">
        <v>1411</v>
      </c>
      <c r="B1472" s="1831">
        <f>'Expenditures 15-22'!K223</f>
        <v>1712</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55739</v>
      </c>
      <c r="C1474" s="2" t="s">
        <v>567</v>
      </c>
      <c r="D1474" s="2" t="str">
        <f t="shared" si="22"/>
        <v>Error?</v>
      </c>
    </row>
    <row r="1475" spans="1:4" x14ac:dyDescent="0.2">
      <c r="A1475" s="5">
        <v>1414</v>
      </c>
      <c r="B1475" s="1831">
        <f>'Expenditures 15-22'!K232</f>
        <v>0</v>
      </c>
      <c r="C1475" s="2" t="s">
        <v>567</v>
      </c>
      <c r="D1475" s="2" t="str">
        <f t="shared" si="22"/>
        <v>Error?</v>
      </c>
    </row>
    <row r="1476" spans="1:4" x14ac:dyDescent="0.2">
      <c r="A1476" s="5">
        <v>1415</v>
      </c>
      <c r="B1476" s="1831">
        <f>'Expenditures 15-22'!K233</f>
        <v>593</v>
      </c>
      <c r="C1476" s="2" t="s">
        <v>567</v>
      </c>
      <c r="D1476" s="2" t="str">
        <f t="shared" si="22"/>
        <v>Error?</v>
      </c>
    </row>
    <row r="1477" spans="1:4" x14ac:dyDescent="0.2">
      <c r="A1477" s="5">
        <v>1416</v>
      </c>
      <c r="B1477" s="1831">
        <f>'Expenditures 15-22'!K234</f>
        <v>1670</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666</v>
      </c>
      <c r="C1479" s="2" t="s">
        <v>567</v>
      </c>
      <c r="D1479" s="2" t="str">
        <f t="shared" si="22"/>
        <v>Error?</v>
      </c>
    </row>
    <row r="1480" spans="1:4" x14ac:dyDescent="0.2">
      <c r="A1480" s="5">
        <v>1419</v>
      </c>
      <c r="B1480" s="1831">
        <f>'Expenditures 15-22'!K237</f>
        <v>0</v>
      </c>
      <c r="C1480" s="2" t="s">
        <v>567</v>
      </c>
      <c r="D1480" s="2" t="str">
        <f t="shared" si="22"/>
        <v>Error?</v>
      </c>
    </row>
    <row r="1481" spans="1:4" x14ac:dyDescent="0.2">
      <c r="A1481" s="5">
        <v>1420</v>
      </c>
      <c r="B1481" s="1831">
        <f>'Expenditures 15-22'!K238</f>
        <v>2929</v>
      </c>
      <c r="C1481" s="2" t="s">
        <v>567</v>
      </c>
      <c r="D1481" s="2" t="str">
        <f t="shared" si="22"/>
        <v>Error?</v>
      </c>
    </row>
    <row r="1482" spans="1:4" x14ac:dyDescent="0.2">
      <c r="A1482" s="5">
        <v>1421</v>
      </c>
      <c r="B1482" s="1831">
        <f>'Expenditures 15-22'!K240</f>
        <v>681</v>
      </c>
      <c r="C1482" s="2" t="s">
        <v>567</v>
      </c>
      <c r="D1482" s="2" t="str">
        <f t="shared" si="22"/>
        <v>Error?</v>
      </c>
    </row>
    <row r="1483" spans="1:4" x14ac:dyDescent="0.2">
      <c r="A1483" s="5">
        <v>1422</v>
      </c>
      <c r="B1483" s="1831">
        <f>'Expenditures 15-22'!K241</f>
        <v>141</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822</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6206</v>
      </c>
      <c r="C1487" s="2" t="s">
        <v>567</v>
      </c>
      <c r="D1487" s="2" t="str">
        <f t="shared" si="22"/>
        <v>Error?</v>
      </c>
    </row>
    <row r="1488" spans="1:4" x14ac:dyDescent="0.2">
      <c r="A1488" s="5">
        <v>1427</v>
      </c>
      <c r="B1488" s="1831">
        <f>'Expenditures 15-22'!K257</f>
        <v>6206</v>
      </c>
      <c r="C1488" s="2" t="s">
        <v>567</v>
      </c>
      <c r="D1488" s="2" t="str">
        <f t="shared" si="22"/>
        <v>Error?</v>
      </c>
    </row>
    <row r="1489" spans="1:4" x14ac:dyDescent="0.2">
      <c r="A1489" s="5">
        <v>1428</v>
      </c>
      <c r="B1489" s="1831">
        <f>'Expenditures 15-22'!K259</f>
        <v>10485</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10485</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5950</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22510</v>
      </c>
      <c r="C1495" s="2" t="s">
        <v>567</v>
      </c>
      <c r="D1495" s="2" t="str">
        <f t="shared" si="22"/>
        <v>Error?</v>
      </c>
    </row>
    <row r="1496" spans="1:4" x14ac:dyDescent="0.2">
      <c r="A1496" s="5">
        <v>1435</v>
      </c>
      <c r="B1496" s="1831">
        <f>'Expenditures 15-22'!K267</f>
        <v>30332</v>
      </c>
      <c r="C1496" s="2" t="s">
        <v>567</v>
      </c>
      <c r="D1496" s="2" t="str">
        <f t="shared" si="22"/>
        <v>Error?</v>
      </c>
    </row>
    <row r="1497" spans="1:4" x14ac:dyDescent="0.2">
      <c r="A1497" s="5">
        <v>1436</v>
      </c>
      <c r="B1497" s="1831">
        <f>'Expenditures 15-22'!K268</f>
        <v>7922</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66714</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87156</v>
      </c>
      <c r="C1510" s="2" t="s">
        <v>567</v>
      </c>
      <c r="D1510" s="2" t="str">
        <f t="shared" si="22"/>
        <v>Error?</v>
      </c>
    </row>
    <row r="1511" spans="1:4" x14ac:dyDescent="0.2">
      <c r="A1511" s="5">
        <v>1450</v>
      </c>
      <c r="B1511" s="1831">
        <f>'Expenditures 15-22'!K280</f>
        <v>0</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142895</v>
      </c>
      <c r="C1517" s="2" t="s">
        <v>567</v>
      </c>
      <c r="D1517" s="2" t="str">
        <f t="shared" si="22"/>
        <v>Error?</v>
      </c>
    </row>
    <row r="1518" spans="1:4" x14ac:dyDescent="0.2">
      <c r="A1518" s="5">
        <v>1457</v>
      </c>
      <c r="B1518" s="1831">
        <f>'Expenditures 15-22'!K296</f>
        <v>23681</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567</v>
      </c>
      <c r="D1535" s="2" t="str">
        <f t="shared" ref="D1535:D1598" si="23">IF(ISBLANK(B1535),"OK",IF(A1535-B1535=0,"OK","Error?"))</f>
        <v>Error?</v>
      </c>
    </row>
    <row r="1536" spans="1:4" x14ac:dyDescent="0.2">
      <c r="A1536" s="5">
        <v>1475</v>
      </c>
      <c r="B1536" s="1831">
        <f>'Expenditures 15-22'!E312</f>
        <v>0</v>
      </c>
      <c r="C1536" s="2" t="s">
        <v>567</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567</v>
      </c>
      <c r="D1541" s="2" t="str">
        <f t="shared" si="23"/>
        <v>Error?</v>
      </c>
    </row>
    <row r="1542" spans="1:4" x14ac:dyDescent="0.2">
      <c r="A1542" s="5">
        <v>1481</v>
      </c>
      <c r="B1542" s="1831">
        <f>'Expenditures 15-22'!F312</f>
        <v>0</v>
      </c>
      <c r="C1542" s="2" t="s">
        <v>567</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567</v>
      </c>
      <c r="D1547" s="2" t="str">
        <f t="shared" si="23"/>
        <v>Error?</v>
      </c>
    </row>
    <row r="1548" spans="1:4" x14ac:dyDescent="0.2">
      <c r="A1548" s="5">
        <v>1487</v>
      </c>
      <c r="B1548" s="1831">
        <f>'Expenditures 15-22'!G312</f>
        <v>0</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0</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0</v>
      </c>
      <c r="C1559" s="2" t="s">
        <v>567</v>
      </c>
      <c r="D1559" s="2" t="str">
        <f t="shared" si="23"/>
        <v>Error?</v>
      </c>
    </row>
    <row r="1560" spans="1:4" x14ac:dyDescent="0.2">
      <c r="A1560" s="5">
        <v>1499</v>
      </c>
      <c r="B1560" s="1831">
        <f>'Expenditures 15-22'!K312</f>
        <v>0</v>
      </c>
      <c r="C1560" s="2" t="s">
        <v>567</v>
      </c>
      <c r="D1560" s="2" t="str">
        <f t="shared" si="23"/>
        <v>Error?</v>
      </c>
    </row>
    <row r="1561" spans="1:4" x14ac:dyDescent="0.2">
      <c r="A1561" s="5">
        <v>1500</v>
      </c>
      <c r="B1561" s="1831">
        <f>'Expenditures 15-22'!K313</f>
        <v>0</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1419823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1576118</v>
      </c>
      <c r="C1630" s="2" t="s">
        <v>567</v>
      </c>
      <c r="D1630" s="2" t="str">
        <f t="shared" si="24"/>
        <v>Error?</v>
      </c>
    </row>
    <row r="1631" spans="1:4" x14ac:dyDescent="0.2">
      <c r="A1631" s="5">
        <v>1570</v>
      </c>
      <c r="B1631" s="1831">
        <f>'Acct Summary 7-8'!D79</f>
        <v>580497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678114</v>
      </c>
      <c r="C1644" s="2" t="s">
        <v>567</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567</v>
      </c>
      <c r="D1658" s="2" t="str">
        <f t="shared" si="24"/>
        <v>Error?</v>
      </c>
    </row>
    <row r="1659" spans="1:4" x14ac:dyDescent="0.2">
      <c r="A1659" s="5">
        <v>1598</v>
      </c>
      <c r="B1659" s="1831">
        <f>'Acct Summary 7-8'!F79</f>
        <v>162122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162311</v>
      </c>
      <c r="C1672" s="2" t="s">
        <v>567</v>
      </c>
      <c r="D1672" s="2" t="str">
        <f t="shared" si="25"/>
        <v>Error?</v>
      </c>
    </row>
    <row r="1673" spans="1:4" x14ac:dyDescent="0.2">
      <c r="A1673" s="5">
        <v>1612</v>
      </c>
      <c r="B1673" s="1831">
        <f>'Acct Summary 7-8'!G79</f>
        <v>394365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418046</v>
      </c>
      <c r="C1686" s="2" t="s">
        <v>567</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940856</v>
      </c>
      <c r="C1744" s="2" t="s">
        <v>567</v>
      </c>
      <c r="D1744" s="2" t="str">
        <f t="shared" si="26"/>
        <v>Error?</v>
      </c>
    </row>
    <row r="1745" spans="1:5" x14ac:dyDescent="0.2">
      <c r="A1745" s="5">
        <v>1684</v>
      </c>
      <c r="B1745" s="1831">
        <f>'Tax Sched 23'!B5</f>
        <v>255669</v>
      </c>
      <c r="C1745" s="2" t="s">
        <v>567</v>
      </c>
      <c r="D1745" s="2" t="str">
        <f t="shared" si="26"/>
        <v>Error?</v>
      </c>
    </row>
    <row r="1746" spans="1:5" x14ac:dyDescent="0.2">
      <c r="A1746" s="5">
        <v>1685</v>
      </c>
      <c r="B1746" s="1831">
        <f>'Tax Sched 23'!B6</f>
        <v>0</v>
      </c>
      <c r="C1746" s="2" t="s">
        <v>567</v>
      </c>
      <c r="D1746" s="2" t="str">
        <f t="shared" si="26"/>
        <v>Error?</v>
      </c>
    </row>
    <row r="1747" spans="1:5" x14ac:dyDescent="0.2">
      <c r="A1747" s="5">
        <v>1686</v>
      </c>
      <c r="B1747" s="1831">
        <f>'Tax Sched 23'!B7</f>
        <v>102270</v>
      </c>
      <c r="C1747" s="2" t="s">
        <v>567</v>
      </c>
      <c r="D1747" s="2" t="str">
        <f t="shared" si="26"/>
        <v>Error?</v>
      </c>
    </row>
    <row r="1748" spans="1:5" x14ac:dyDescent="0.2">
      <c r="A1748" s="5">
        <v>1687</v>
      </c>
      <c r="B1748" s="1831">
        <f>'Tax Sched 23'!B8</f>
        <v>62388</v>
      </c>
      <c r="C1748" s="2" t="s">
        <v>567</v>
      </c>
      <c r="D1748" s="2" t="str">
        <f t="shared" si="26"/>
        <v>Error?</v>
      </c>
    </row>
    <row r="1749" spans="1:5" x14ac:dyDescent="0.2">
      <c r="A1749" s="5">
        <v>1688</v>
      </c>
      <c r="B1749" s="1831">
        <f>'Tax Sched 23'!B10</f>
        <v>25567</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193203</v>
      </c>
      <c r="C1752" s="2" t="s">
        <v>567</v>
      </c>
      <c r="D1752" s="2" t="str">
        <f t="shared" si="26"/>
        <v>Error?</v>
      </c>
    </row>
    <row r="1753" spans="1:5" x14ac:dyDescent="0.2">
      <c r="A1753" s="5">
        <v>1692</v>
      </c>
      <c r="B1753" s="1831">
        <f>'Tax Sched 23'!B12</f>
        <v>25567</v>
      </c>
      <c r="C1753" s="2" t="s">
        <v>567</v>
      </c>
      <c r="D1753" s="2" t="str">
        <f t="shared" si="26"/>
        <v>Error?</v>
      </c>
    </row>
    <row r="1754" spans="1:5" x14ac:dyDescent="0.2">
      <c r="A1754" s="5">
        <v>1693</v>
      </c>
      <c r="B1754" s="1831">
        <f>'Tax Sched 23'!B14</f>
        <v>20455</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1748142</v>
      </c>
      <c r="C1759" s="2" t="s">
        <v>567</v>
      </c>
      <c r="D1759" s="2" t="str">
        <f t="shared" si="26"/>
        <v>Error?</v>
      </c>
    </row>
    <row r="1760" spans="1:5" x14ac:dyDescent="0.2">
      <c r="A1760" s="5">
        <v>1699</v>
      </c>
      <c r="B1760" s="1831">
        <f>'Tax Sched 23'!D4</f>
        <v>940856</v>
      </c>
      <c r="C1760" s="2" t="s">
        <v>567</v>
      </c>
      <c r="D1760" s="2" t="str">
        <f t="shared" si="26"/>
        <v>Error?</v>
      </c>
    </row>
    <row r="1761" spans="1:7" x14ac:dyDescent="0.2">
      <c r="A1761" s="5">
        <v>1700</v>
      </c>
      <c r="B1761" s="1831">
        <f>'Tax Sched 23'!D5</f>
        <v>255669</v>
      </c>
      <c r="C1761" s="2" t="s">
        <v>567</v>
      </c>
      <c r="D1761" s="2" t="str">
        <f t="shared" si="26"/>
        <v>Error?</v>
      </c>
    </row>
    <row r="1762" spans="1:7" s="8" customFormat="1" x14ac:dyDescent="0.2">
      <c r="A1762" s="5">
        <v>1701</v>
      </c>
      <c r="B1762" s="1831">
        <f>'Tax Sched 23'!D6</f>
        <v>0</v>
      </c>
      <c r="C1762" s="2" t="s">
        <v>567</v>
      </c>
      <c r="D1762" s="2" t="str">
        <f t="shared" si="26"/>
        <v>Error?</v>
      </c>
      <c r="E1762" s="9"/>
      <c r="G1762"/>
    </row>
    <row r="1763" spans="1:7" x14ac:dyDescent="0.2">
      <c r="A1763" s="5">
        <v>1702</v>
      </c>
      <c r="B1763" s="1831">
        <f>'Tax Sched 23'!D7</f>
        <v>102270</v>
      </c>
      <c r="C1763" s="2" t="s">
        <v>567</v>
      </c>
      <c r="D1763" s="2" t="str">
        <f t="shared" si="26"/>
        <v>Error?</v>
      </c>
    </row>
    <row r="1764" spans="1:7" x14ac:dyDescent="0.2">
      <c r="A1764" s="5">
        <v>1703</v>
      </c>
      <c r="B1764" s="1831">
        <f>'Tax Sched 23'!D8</f>
        <v>62388</v>
      </c>
      <c r="C1764" s="2" t="s">
        <v>567</v>
      </c>
      <c r="D1764" s="2" t="str">
        <f t="shared" si="26"/>
        <v>Error?</v>
      </c>
    </row>
    <row r="1765" spans="1:7" x14ac:dyDescent="0.2">
      <c r="A1765" s="5">
        <v>1704</v>
      </c>
      <c r="B1765" s="1831">
        <f>'Tax Sched 23'!D10</f>
        <v>25567</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193203</v>
      </c>
      <c r="C1768" s="2" t="s">
        <v>567</v>
      </c>
      <c r="D1768" s="2" t="str">
        <f t="shared" si="26"/>
        <v>Error?</v>
      </c>
    </row>
    <row r="1769" spans="1:7" x14ac:dyDescent="0.2">
      <c r="A1769" s="5">
        <v>1708</v>
      </c>
      <c r="B1769" s="1831">
        <f>'Tax Sched 23'!D12</f>
        <v>25567</v>
      </c>
      <c r="C1769" s="2" t="s">
        <v>567</v>
      </c>
      <c r="D1769" s="2" t="str">
        <f t="shared" si="26"/>
        <v>Error?</v>
      </c>
    </row>
    <row r="1770" spans="1:7" x14ac:dyDescent="0.2">
      <c r="A1770" s="5">
        <v>1709</v>
      </c>
      <c r="B1770" s="1831">
        <f>'Tax Sched 23'!D14</f>
        <v>20455</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1748142</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977153</v>
      </c>
      <c r="C1792" s="2" t="s">
        <v>567</v>
      </c>
      <c r="D1792" s="2" t="str">
        <f t="shared" si="27"/>
        <v>Error?</v>
      </c>
    </row>
    <row r="1793" spans="1:4" x14ac:dyDescent="0.2">
      <c r="A1793" s="5">
        <v>1732</v>
      </c>
      <c r="B1793" s="1831">
        <f>'Tax Sched 23'!F5</f>
        <v>265532</v>
      </c>
      <c r="C1793" s="2" t="s">
        <v>567</v>
      </c>
      <c r="D1793" s="2" t="str">
        <f t="shared" si="27"/>
        <v>Error?</v>
      </c>
    </row>
    <row r="1794" spans="1:4" x14ac:dyDescent="0.2">
      <c r="A1794" s="5">
        <v>1733</v>
      </c>
      <c r="B1794" s="1831">
        <f>'Tax Sched 23'!F6</f>
        <v>0</v>
      </c>
      <c r="C1794" s="2" t="s">
        <v>567</v>
      </c>
      <c r="D1794" s="2" t="str">
        <f t="shared" si="27"/>
        <v>Error?</v>
      </c>
    </row>
    <row r="1795" spans="1:4" x14ac:dyDescent="0.2">
      <c r="A1795" s="5">
        <v>1734</v>
      </c>
      <c r="B1795" s="1831">
        <f>'Tax Sched 23'!F7</f>
        <v>106212</v>
      </c>
      <c r="C1795" s="2" t="s">
        <v>567</v>
      </c>
      <c r="D1795" s="2" t="str">
        <f t="shared" si="27"/>
        <v>Error?</v>
      </c>
    </row>
    <row r="1796" spans="1:4" x14ac:dyDescent="0.2">
      <c r="A1796" s="5">
        <v>1735</v>
      </c>
      <c r="B1796" s="1831">
        <f>'Tax Sched 23'!F8</f>
        <v>87089</v>
      </c>
      <c r="C1796" s="2" t="s">
        <v>567</v>
      </c>
      <c r="D1796" s="2" t="str">
        <f t="shared" si="27"/>
        <v>Error?</v>
      </c>
    </row>
    <row r="1797" spans="1:4" x14ac:dyDescent="0.2">
      <c r="A1797" s="5">
        <v>1736</v>
      </c>
      <c r="B1797" s="1831">
        <f>'Tax Sched 23'!F10</f>
        <v>26554</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200000</v>
      </c>
      <c r="C1800" s="2" t="s">
        <v>567</v>
      </c>
      <c r="D1800" s="2" t="str">
        <f t="shared" si="27"/>
        <v>Error?</v>
      </c>
    </row>
    <row r="1801" spans="1:4" x14ac:dyDescent="0.2">
      <c r="A1801" s="5">
        <v>1740</v>
      </c>
      <c r="B1801" s="1831">
        <f>'Tax Sched 23'!F12</f>
        <v>26554</v>
      </c>
      <c r="C1801" s="2" t="s">
        <v>567</v>
      </c>
      <c r="D1801" s="2" t="str">
        <f t="shared" si="27"/>
        <v>Error?</v>
      </c>
    </row>
    <row r="1802" spans="1:4" x14ac:dyDescent="0.2">
      <c r="A1802" s="5">
        <v>1741</v>
      </c>
      <c r="B1802" s="1831">
        <f>'Tax Sched 23'!F14</f>
        <v>21244</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1823981</v>
      </c>
      <c r="C1807" s="2" t="s">
        <v>567</v>
      </c>
      <c r="D1807" s="2" t="str">
        <f t="shared" si="27"/>
        <v>Error?</v>
      </c>
    </row>
    <row r="1808" spans="1:4" x14ac:dyDescent="0.2">
      <c r="A1808" s="5">
        <v>1747</v>
      </c>
      <c r="B1808" s="1831">
        <f>'Tax Sched 23'!E4</f>
        <v>977153</v>
      </c>
      <c r="D1808" s="2" t="str">
        <f t="shared" si="27"/>
        <v>Error?</v>
      </c>
    </row>
    <row r="1809" spans="1:4" x14ac:dyDescent="0.2">
      <c r="A1809" s="5">
        <v>1748</v>
      </c>
      <c r="B1809" s="1831">
        <f>'Tax Sched 23'!E5</f>
        <v>265532</v>
      </c>
      <c r="D1809" s="2" t="str">
        <f t="shared" si="27"/>
        <v>Error?</v>
      </c>
    </row>
    <row r="1810" spans="1:4" x14ac:dyDescent="0.2">
      <c r="A1810" s="5">
        <v>1749</v>
      </c>
      <c r="B1810" s="1831">
        <f>'Tax Sched 23'!E6</f>
        <v>0</v>
      </c>
      <c r="D1810" s="2" t="str">
        <f t="shared" si="27"/>
        <v>Error?</v>
      </c>
    </row>
    <row r="1811" spans="1:4" x14ac:dyDescent="0.2">
      <c r="A1811" s="5">
        <v>1750</v>
      </c>
      <c r="B1811" s="1831">
        <f>'Tax Sched 23'!E7</f>
        <v>106212</v>
      </c>
      <c r="D1811" s="2" t="str">
        <f t="shared" si="27"/>
        <v>Error?</v>
      </c>
    </row>
    <row r="1812" spans="1:4" x14ac:dyDescent="0.2">
      <c r="A1812" s="5">
        <v>1751</v>
      </c>
      <c r="B1812" s="1831">
        <f>'Tax Sched 23'!E8</f>
        <v>87089</v>
      </c>
      <c r="D1812" s="2" t="str">
        <f t="shared" si="27"/>
        <v>Error?</v>
      </c>
    </row>
    <row r="1813" spans="1:4" x14ac:dyDescent="0.2">
      <c r="A1813" s="5">
        <v>1752</v>
      </c>
      <c r="B1813" s="1831">
        <f>'Tax Sched 23'!E10</f>
        <v>26554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200000</v>
      </c>
      <c r="D1816" s="2" t="str">
        <f t="shared" si="27"/>
        <v>Error?</v>
      </c>
    </row>
    <row r="1817" spans="1:4" x14ac:dyDescent="0.2">
      <c r="A1817" s="5">
        <v>1756</v>
      </c>
      <c r="B1817" s="1831">
        <f>'Tax Sched 23'!E12</f>
        <v>26554</v>
      </c>
      <c r="D1817" s="2" t="str">
        <f t="shared" si="27"/>
        <v>Error?</v>
      </c>
    </row>
    <row r="1818" spans="1:4" x14ac:dyDescent="0.2">
      <c r="A1818" s="5">
        <v>1757</v>
      </c>
      <c r="B1818" s="1831">
        <f>'Tax Sched 23'!E14</f>
        <v>21244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1823981</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155570</v>
      </c>
      <c r="C1939" s="2" t="s">
        <v>567</v>
      </c>
      <c r="D1939" s="2" t="str">
        <f t="shared" si="29"/>
        <v>Error?</v>
      </c>
    </row>
    <row r="1940" spans="1:5" x14ac:dyDescent="0.2">
      <c r="A1940" s="5">
        <v>1879</v>
      </c>
      <c r="B1940" s="1831">
        <f>'Short-Term Long-Term Debt 24'!F49</f>
        <v>89134</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20455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20455</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20455</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7036</v>
      </c>
      <c r="D2008" s="2" t="str">
        <f t="shared" si="30"/>
        <v>Error?</v>
      </c>
    </row>
    <row r="2009" spans="1:4" x14ac:dyDescent="0.2">
      <c r="A2009" s="5">
        <v>1948</v>
      </c>
      <c r="B2009" s="1831">
        <f>'Cap Outlay Deprec 26'!C8</f>
        <v>3876026</v>
      </c>
      <c r="D2009" s="2" t="str">
        <f t="shared" si="30"/>
        <v>Error?</v>
      </c>
    </row>
    <row r="2010" spans="1:4" x14ac:dyDescent="0.2">
      <c r="A2010" s="5">
        <v>1949</v>
      </c>
      <c r="B2010" s="1831">
        <f>'Cap Outlay Deprec 26'!C10</f>
        <v>531909</v>
      </c>
      <c r="D2010" s="2" t="str">
        <f t="shared" si="30"/>
        <v>Error?</v>
      </c>
    </row>
    <row r="2011" spans="1:4" x14ac:dyDescent="0.2">
      <c r="A2011" s="5">
        <v>1950</v>
      </c>
      <c r="B2011" s="1831">
        <f>'Cap Outlay Deprec 26'!C12</f>
        <v>1092908</v>
      </c>
      <c r="D2011" s="2" t="str">
        <f t="shared" si="30"/>
        <v>Error?</v>
      </c>
    </row>
    <row r="2012" spans="1:4" x14ac:dyDescent="0.2">
      <c r="A2012" s="5">
        <v>1951</v>
      </c>
      <c r="B2012" s="1831">
        <f>'Cap Outlay Deprec 26'!C13</f>
        <v>1388316</v>
      </c>
      <c r="D2012" s="2" t="str">
        <f t="shared" si="30"/>
        <v>Error?</v>
      </c>
    </row>
    <row r="2013" spans="1:4" x14ac:dyDescent="0.2">
      <c r="A2013" s="5">
        <v>1952</v>
      </c>
      <c r="B2013" s="1831">
        <f>'Cap Outlay Deprec 26'!C16</f>
        <v>6896195</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48253</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109378</v>
      </c>
      <c r="D2018" s="2" t="str">
        <f t="shared" si="30"/>
        <v>Error?</v>
      </c>
    </row>
    <row r="2019" spans="1:4" x14ac:dyDescent="0.2">
      <c r="A2019" s="5">
        <v>1958</v>
      </c>
      <c r="B2019" s="1831">
        <f>'Cap Outlay Deprec 26'!D16</f>
        <v>157631</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77785</v>
      </c>
      <c r="D2024" s="2" t="str">
        <f t="shared" si="30"/>
        <v>Error?</v>
      </c>
    </row>
    <row r="2025" spans="1:4" x14ac:dyDescent="0.2">
      <c r="A2025" s="5">
        <v>1964</v>
      </c>
      <c r="B2025" s="1831">
        <f>'Cap Outlay Deprec 26'!E16</f>
        <v>77785</v>
      </c>
      <c r="C2025" s="2" t="s">
        <v>567</v>
      </c>
      <c r="D2025" s="2" t="str">
        <f t="shared" si="30"/>
        <v>Error?</v>
      </c>
    </row>
    <row r="2026" spans="1:4" x14ac:dyDescent="0.2">
      <c r="A2026" s="5">
        <v>1965</v>
      </c>
      <c r="B2026" s="1831">
        <f>'Cap Outlay Deprec 26'!F5</f>
        <v>7036</v>
      </c>
      <c r="C2026" s="2" t="s">
        <v>567</v>
      </c>
      <c r="D2026" s="2" t="str">
        <f t="shared" si="30"/>
        <v>Error?</v>
      </c>
    </row>
    <row r="2027" spans="1:4" x14ac:dyDescent="0.2">
      <c r="A2027" s="5">
        <v>1966</v>
      </c>
      <c r="B2027" s="1831">
        <f>'Cap Outlay Deprec 26'!F8</f>
        <v>3924279</v>
      </c>
      <c r="C2027" s="2" t="s">
        <v>567</v>
      </c>
      <c r="D2027" s="2" t="str">
        <f t="shared" si="30"/>
        <v>Error?</v>
      </c>
    </row>
    <row r="2028" spans="1:4" x14ac:dyDescent="0.2">
      <c r="A2028" s="5">
        <v>1967</v>
      </c>
      <c r="B2028" s="1831">
        <f>'Cap Outlay Deprec 26'!F10</f>
        <v>531909</v>
      </c>
      <c r="C2028" s="2" t="s">
        <v>567</v>
      </c>
      <c r="D2028" s="2" t="str">
        <f t="shared" si="30"/>
        <v>Error?</v>
      </c>
    </row>
    <row r="2029" spans="1:4" x14ac:dyDescent="0.2">
      <c r="A2029" s="5">
        <v>1968</v>
      </c>
      <c r="B2029" s="1831">
        <f>'Cap Outlay Deprec 26'!F12</f>
        <v>1092908</v>
      </c>
      <c r="C2029" s="2" t="s">
        <v>567</v>
      </c>
      <c r="D2029" s="2" t="str">
        <f t="shared" si="30"/>
        <v>Error?</v>
      </c>
    </row>
    <row r="2030" spans="1:4" x14ac:dyDescent="0.2">
      <c r="A2030" s="5">
        <v>1969</v>
      </c>
      <c r="B2030" s="1831">
        <f>'Cap Outlay Deprec 26'!F13</f>
        <v>1419909</v>
      </c>
      <c r="C2030" s="2" t="s">
        <v>567</v>
      </c>
      <c r="D2030" s="2" t="str">
        <f t="shared" si="30"/>
        <v>Error?</v>
      </c>
    </row>
    <row r="2031" spans="1:4" x14ac:dyDescent="0.2">
      <c r="A2031" s="5">
        <v>1970</v>
      </c>
      <c r="B2031" s="1831">
        <f>'Cap Outlay Deprec 26'!F16</f>
        <v>6976041</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2745130</v>
      </c>
      <c r="D2033" s="2" t="str">
        <f t="shared" si="30"/>
        <v>Error?</v>
      </c>
    </row>
    <row r="2034" spans="1:4" x14ac:dyDescent="0.2">
      <c r="A2034" s="5">
        <v>1973</v>
      </c>
      <c r="B2034" s="1831">
        <f>'Cap Outlay Deprec 26'!H10</f>
        <v>527142</v>
      </c>
      <c r="D2034" s="2" t="str">
        <f t="shared" si="30"/>
        <v>Error?</v>
      </c>
    </row>
    <row r="2035" spans="1:4" x14ac:dyDescent="0.2">
      <c r="A2035" s="5">
        <v>1974</v>
      </c>
      <c r="B2035" s="1831">
        <f>'Cap Outlay Deprec 26'!H12</f>
        <v>1055355</v>
      </c>
      <c r="D2035" s="2" t="str">
        <f t="shared" si="30"/>
        <v>Error?</v>
      </c>
    </row>
    <row r="2036" spans="1:4" x14ac:dyDescent="0.2">
      <c r="A2036" s="5">
        <v>1975</v>
      </c>
      <c r="B2036" s="1831">
        <f>'Cap Outlay Deprec 26'!H13</f>
        <v>1109644</v>
      </c>
      <c r="D2036" s="2" t="str">
        <f t="shared" si="30"/>
        <v>Error?</v>
      </c>
    </row>
    <row r="2037" spans="1:4" x14ac:dyDescent="0.2">
      <c r="A2037" s="5">
        <v>1976</v>
      </c>
      <c r="B2037" s="1831">
        <f>'Cap Outlay Deprec 26'!H16</f>
        <v>5437271</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35664</v>
      </c>
      <c r="D2039" s="2" t="str">
        <f t="shared" si="30"/>
        <v>Error?</v>
      </c>
    </row>
    <row r="2040" spans="1:4" x14ac:dyDescent="0.2">
      <c r="A2040" s="5">
        <v>1979</v>
      </c>
      <c r="B2040" s="1831">
        <f>'Cap Outlay Deprec 26'!I10</f>
        <v>3364</v>
      </c>
      <c r="D2040" s="2" t="str">
        <f t="shared" si="30"/>
        <v>Error?</v>
      </c>
    </row>
    <row r="2041" spans="1:4" x14ac:dyDescent="0.2">
      <c r="A2041" s="5">
        <v>1980</v>
      </c>
      <c r="B2041" s="1831">
        <f>'Cap Outlay Deprec 26'!I12</f>
        <v>6968</v>
      </c>
      <c r="D2041" s="2" t="str">
        <f t="shared" si="30"/>
        <v>Error?</v>
      </c>
    </row>
    <row r="2042" spans="1:4" x14ac:dyDescent="0.2">
      <c r="A2042" s="5">
        <v>1981</v>
      </c>
      <c r="B2042" s="1831">
        <f>'Cap Outlay Deprec 26'!I13</f>
        <v>61433</v>
      </c>
      <c r="D2042" s="2" t="str">
        <f t="shared" si="30"/>
        <v>Error?</v>
      </c>
    </row>
    <row r="2043" spans="1:4" x14ac:dyDescent="0.2">
      <c r="A2043" s="5">
        <v>1982</v>
      </c>
      <c r="B2043" s="1831">
        <f>'Cap Outlay Deprec 26'!I16</f>
        <v>107429</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15557</v>
      </c>
      <c r="D2048" s="2" t="str">
        <f t="shared" si="31"/>
        <v>Error?</v>
      </c>
    </row>
    <row r="2049" spans="1:4" x14ac:dyDescent="0.2">
      <c r="A2049" s="5">
        <v>1988</v>
      </c>
      <c r="B2049" s="1831">
        <f>'Cap Outlay Deprec 26'!J16</f>
        <v>15557</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2780794</v>
      </c>
      <c r="C2051" s="2" t="s">
        <v>567</v>
      </c>
      <c r="D2051" s="2" t="str">
        <f t="shared" si="31"/>
        <v>Error?</v>
      </c>
    </row>
    <row r="2052" spans="1:4" x14ac:dyDescent="0.2">
      <c r="A2052" s="5">
        <v>1991</v>
      </c>
      <c r="B2052" s="1831">
        <f>'Cap Outlay Deprec 26'!K10</f>
        <v>530506</v>
      </c>
      <c r="C2052" s="2" t="s">
        <v>567</v>
      </c>
      <c r="D2052" s="2" t="str">
        <f t="shared" si="31"/>
        <v>Error?</v>
      </c>
    </row>
    <row r="2053" spans="1:4" x14ac:dyDescent="0.2">
      <c r="A2053" s="5">
        <v>1992</v>
      </c>
      <c r="B2053" s="1831">
        <f>'Cap Outlay Deprec 26'!K12</f>
        <v>1062323</v>
      </c>
      <c r="C2053" s="2" t="s">
        <v>567</v>
      </c>
      <c r="D2053" s="2" t="str">
        <f t="shared" si="31"/>
        <v>Error?</v>
      </c>
    </row>
    <row r="2054" spans="1:4" x14ac:dyDescent="0.2">
      <c r="A2054" s="5">
        <v>1993</v>
      </c>
      <c r="B2054" s="1831">
        <f>'Cap Outlay Deprec 26'!K13</f>
        <v>1155520</v>
      </c>
      <c r="C2054" s="2" t="s">
        <v>567</v>
      </c>
      <c r="D2054" s="2" t="str">
        <f t="shared" si="31"/>
        <v>Error?</v>
      </c>
    </row>
    <row r="2055" spans="1:4" x14ac:dyDescent="0.2">
      <c r="A2055" s="5">
        <v>1994</v>
      </c>
      <c r="B2055" s="1831">
        <f>'Cap Outlay Deprec 26'!K16</f>
        <v>5529143</v>
      </c>
      <c r="C2055" s="2" t="s">
        <v>567</v>
      </c>
      <c r="D2055" s="2" t="str">
        <f t="shared" si="31"/>
        <v>Error?</v>
      </c>
    </row>
    <row r="2056" spans="1:4" x14ac:dyDescent="0.2">
      <c r="A2056" s="5">
        <v>1995</v>
      </c>
      <c r="B2056" s="1831">
        <f>'Cap Outlay Deprec 26'!L5</f>
        <v>7036</v>
      </c>
      <c r="C2056" s="2" t="s">
        <v>567</v>
      </c>
      <c r="D2056" s="2" t="str">
        <f t="shared" si="31"/>
        <v>Error?</v>
      </c>
    </row>
    <row r="2057" spans="1:4" x14ac:dyDescent="0.2">
      <c r="A2057" s="5">
        <v>1996</v>
      </c>
      <c r="B2057" s="1831">
        <f>'Cap Outlay Deprec 26'!L8</f>
        <v>1143485</v>
      </c>
      <c r="C2057" s="2" t="s">
        <v>567</v>
      </c>
      <c r="D2057" s="2" t="str">
        <f t="shared" si="31"/>
        <v>Error?</v>
      </c>
    </row>
    <row r="2058" spans="1:4" x14ac:dyDescent="0.2">
      <c r="A2058" s="5">
        <v>1997</v>
      </c>
      <c r="B2058" s="1831">
        <f>'Cap Outlay Deprec 26'!L10</f>
        <v>1403</v>
      </c>
      <c r="C2058" s="2" t="s">
        <v>567</v>
      </c>
      <c r="D2058" s="2" t="str">
        <f t="shared" si="31"/>
        <v>Error?</v>
      </c>
    </row>
    <row r="2059" spans="1:4" x14ac:dyDescent="0.2">
      <c r="A2059" s="5">
        <v>1998</v>
      </c>
      <c r="B2059" s="1831">
        <f>'Cap Outlay Deprec 26'!L12</f>
        <v>30585</v>
      </c>
      <c r="C2059" s="2" t="s">
        <v>567</v>
      </c>
      <c r="D2059" s="2" t="str">
        <f t="shared" si="31"/>
        <v>Error?</v>
      </c>
    </row>
    <row r="2060" spans="1:4" x14ac:dyDescent="0.2">
      <c r="A2060" s="5">
        <v>1999</v>
      </c>
      <c r="B2060" s="1831">
        <f>'Cap Outlay Deprec 26'!L13</f>
        <v>264389</v>
      </c>
      <c r="C2060" s="2" t="s">
        <v>567</v>
      </c>
      <c r="D2060" s="2" t="str">
        <f t="shared" si="31"/>
        <v>Error?</v>
      </c>
    </row>
    <row r="2061" spans="1:4" x14ac:dyDescent="0.2">
      <c r="A2061" s="5">
        <v>2000</v>
      </c>
      <c r="B2061" s="1831">
        <f>'Cap Outlay Deprec 26'!L16</f>
        <v>1446898</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94</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95615</v>
      </c>
      <c r="C2088" s="2" t="s">
        <v>567</v>
      </c>
      <c r="D2088" s="2" t="str">
        <f t="shared" si="31"/>
        <v>Error?</v>
      </c>
    </row>
    <row r="2089" spans="1:4" x14ac:dyDescent="0.2">
      <c r="A2089" s="5">
        <v>2028</v>
      </c>
      <c r="B2089" s="1831">
        <f>'Expenditures 15-22'!K92</f>
        <v>72105</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1130982</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2496635</v>
      </c>
      <c r="C2553" s="2" t="s">
        <v>567</v>
      </c>
      <c r="D2553" s="2" t="str">
        <f t="shared" si="38"/>
        <v>Error?</v>
      </c>
    </row>
    <row r="2554" spans="1:4" x14ac:dyDescent="0.2">
      <c r="A2554" s="5">
        <v>2493</v>
      </c>
      <c r="B2554" s="1831">
        <f>'Acct Summary 7-8'!C7</f>
        <v>539342</v>
      </c>
      <c r="C2554" s="2" t="s">
        <v>567</v>
      </c>
      <c r="D2554" s="2" t="str">
        <f t="shared" si="38"/>
        <v>Error?</v>
      </c>
    </row>
    <row r="2555" spans="1:4" x14ac:dyDescent="0.2">
      <c r="A2555" s="5">
        <v>2494</v>
      </c>
      <c r="B2555" s="1831">
        <f>'Acct Summary 7-8'!C8</f>
        <v>4166959</v>
      </c>
      <c r="C2555" s="2" t="s">
        <v>567</v>
      </c>
      <c r="D2555" s="2" t="str">
        <f t="shared" si="38"/>
        <v>Error?</v>
      </c>
    </row>
    <row r="2556" spans="1:4" x14ac:dyDescent="0.2">
      <c r="A2556" s="5">
        <v>2495</v>
      </c>
      <c r="B2556" s="1831">
        <f>'Acct Summary 7-8'!C12</f>
        <v>2654196</v>
      </c>
      <c r="C2556" s="2" t="s">
        <v>567</v>
      </c>
      <c r="D2556" s="2" t="str">
        <f t="shared" si="38"/>
        <v>Error?</v>
      </c>
    </row>
    <row r="2557" spans="1:4" x14ac:dyDescent="0.2">
      <c r="A2557" s="5">
        <v>2496</v>
      </c>
      <c r="B2557" s="1831">
        <f>'Acct Summary 7-8'!C13</f>
        <v>1184919</v>
      </c>
      <c r="C2557" s="2" t="s">
        <v>567</v>
      </c>
      <c r="D2557" s="2" t="str">
        <f t="shared" si="38"/>
        <v>Error?</v>
      </c>
    </row>
    <row r="2558" spans="1:4" x14ac:dyDescent="0.2">
      <c r="A2558" s="5">
        <v>2497</v>
      </c>
      <c r="B2558" s="1831">
        <f>'Acct Summary 7-8'!C14</f>
        <v>3829</v>
      </c>
      <c r="C2558" s="2" t="s">
        <v>567</v>
      </c>
      <c r="D2558" s="2" t="str">
        <f t="shared" si="38"/>
        <v>Error?</v>
      </c>
    </row>
    <row r="2559" spans="1:4" x14ac:dyDescent="0.2">
      <c r="A2559" s="5">
        <v>2498</v>
      </c>
      <c r="B2559" s="1831">
        <f>'Acct Summary 7-8'!C15</f>
        <v>167720</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4010664</v>
      </c>
      <c r="C2561" s="2" t="s">
        <v>567</v>
      </c>
      <c r="D2561" s="2" t="str">
        <f t="shared" si="39"/>
        <v>Error?</v>
      </c>
    </row>
    <row r="2562" spans="1:4" x14ac:dyDescent="0.2">
      <c r="A2562" s="5">
        <v>2501</v>
      </c>
      <c r="B2562" s="1831">
        <f>'Acct Summary 7-8'!C20</f>
        <v>156295</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289466</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339466</v>
      </c>
      <c r="C2568" s="2" t="s">
        <v>567</v>
      </c>
      <c r="D2568" s="2" t="str">
        <f t="shared" si="39"/>
        <v>Error?</v>
      </c>
    </row>
    <row r="2569" spans="1:4" x14ac:dyDescent="0.2">
      <c r="A2569" s="5">
        <v>2508</v>
      </c>
      <c r="B2569" s="1831">
        <f>'Acct Summary 7-8'!D13</f>
        <v>241849</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241849</v>
      </c>
      <c r="C2573" s="2" t="s">
        <v>567</v>
      </c>
      <c r="D2573" s="2" t="str">
        <f t="shared" si="39"/>
        <v>Error?</v>
      </c>
    </row>
    <row r="2574" spans="1:4" x14ac:dyDescent="0.2">
      <c r="A2574" s="5">
        <v>2513</v>
      </c>
      <c r="B2574" s="1831">
        <f>'Acct Summary 7-8'!D20</f>
        <v>97617</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126414</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290004</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416418</v>
      </c>
      <c r="C2595" s="2" t="s">
        <v>567</v>
      </c>
      <c r="D2595" s="2" t="str">
        <f t="shared" si="39"/>
        <v>Error?</v>
      </c>
    </row>
    <row r="2596" spans="1:4" x14ac:dyDescent="0.2">
      <c r="A2596" s="5">
        <v>2535</v>
      </c>
      <c r="B2596" s="1831">
        <f>'Acct Summary 7-8'!F13</f>
        <v>416229</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0</v>
      </c>
      <c r="C2599" s="2" t="s">
        <v>567</v>
      </c>
      <c r="D2599" s="2" t="str">
        <f t="shared" si="39"/>
        <v>Error?</v>
      </c>
    </row>
    <row r="2600" spans="1:4" x14ac:dyDescent="0.2">
      <c r="A2600" s="5">
        <v>2539</v>
      </c>
      <c r="B2600" s="1831">
        <f>'Acct Summary 7-8'!F17</f>
        <v>416229</v>
      </c>
      <c r="C2600" s="2" t="s">
        <v>567</v>
      </c>
      <c r="D2600" s="2" t="str">
        <f t="shared" si="39"/>
        <v>Error?</v>
      </c>
    </row>
    <row r="2601" spans="1:4" x14ac:dyDescent="0.2">
      <c r="A2601" s="5">
        <v>2540</v>
      </c>
      <c r="B2601" s="1831">
        <f>'Acct Summary 7-8'!F20</f>
        <v>189</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166576</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166576</v>
      </c>
      <c r="C2606" s="2" t="s">
        <v>567</v>
      </c>
      <c r="D2606" s="2" t="str">
        <f t="shared" si="39"/>
        <v>Error?</v>
      </c>
    </row>
    <row r="2607" spans="1:4" x14ac:dyDescent="0.2">
      <c r="A2607" s="5">
        <v>2546</v>
      </c>
      <c r="B2607" s="1831">
        <f>'Acct Summary 7-8'!G12</f>
        <v>55739</v>
      </c>
      <c r="C2607" s="2" t="s">
        <v>567</v>
      </c>
      <c r="D2607" s="2" t="str">
        <f t="shared" si="39"/>
        <v>Error?</v>
      </c>
    </row>
    <row r="2608" spans="1:4" x14ac:dyDescent="0.2">
      <c r="A2608" s="5">
        <v>2547</v>
      </c>
      <c r="B2608" s="1831">
        <f>'Acct Summary 7-8'!G13</f>
        <v>87156</v>
      </c>
      <c r="C2608" s="2" t="s">
        <v>567</v>
      </c>
      <c r="D2608" s="2" t="str">
        <f t="shared" si="39"/>
        <v>Error?</v>
      </c>
    </row>
    <row r="2609" spans="1:4" x14ac:dyDescent="0.2">
      <c r="A2609" s="5">
        <v>2548</v>
      </c>
      <c r="B2609" s="1831">
        <f>'Acct Summary 7-8'!G14</f>
        <v>0</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142895</v>
      </c>
      <c r="C2612" s="2" t="s">
        <v>567</v>
      </c>
      <c r="D2612" s="2" t="str">
        <f t="shared" si="39"/>
        <v>Error?</v>
      </c>
    </row>
    <row r="2613" spans="1:4" x14ac:dyDescent="0.2">
      <c r="A2613" s="5">
        <v>2552</v>
      </c>
      <c r="B2613" s="1831">
        <f>'Acct Summary 7-8'!G20</f>
        <v>23681</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0</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0</v>
      </c>
      <c r="C2634" s="2" t="s">
        <v>567</v>
      </c>
      <c r="D2634" s="2" t="str">
        <f t="shared" si="40"/>
        <v>Error?</v>
      </c>
    </row>
    <row r="2635" spans="1:4" x14ac:dyDescent="0.2">
      <c r="A2635" s="5">
        <v>2574</v>
      </c>
      <c r="B2635" s="1831">
        <f>'Acct Summary 7-8'!E17</f>
        <v>0</v>
      </c>
      <c r="C2635" s="2" t="s">
        <v>567</v>
      </c>
      <c r="D2635" s="2" t="str">
        <f t="shared" si="40"/>
        <v>Error?</v>
      </c>
    </row>
    <row r="2636" spans="1:4" x14ac:dyDescent="0.2">
      <c r="A2636" s="5">
        <v>2575</v>
      </c>
      <c r="B2636" s="1831">
        <f>'Acct Summary 7-8'!E20</f>
        <v>0</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0</v>
      </c>
      <c r="C2658" s="2" t="s">
        <v>567</v>
      </c>
      <c r="D2658" s="2" t="str">
        <f t="shared" si="40"/>
        <v>Error?</v>
      </c>
    </row>
    <row r="2659" spans="1:4" x14ac:dyDescent="0.2">
      <c r="A2659" s="5">
        <v>2598</v>
      </c>
      <c r="B2659" s="1831">
        <f>'Acct Summary 7-8'!H13</f>
        <v>0</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0</v>
      </c>
      <c r="C2661" s="2" t="s">
        <v>567</v>
      </c>
      <c r="D2661" s="2" t="str">
        <f t="shared" si="40"/>
        <v>Error?</v>
      </c>
    </row>
    <row r="2662" spans="1:4" x14ac:dyDescent="0.2">
      <c r="A2662" s="5">
        <v>2601</v>
      </c>
      <c r="B2662" s="1831">
        <f>'Acct Summary 7-8'!H20</f>
        <v>0</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567</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95521</v>
      </c>
      <c r="C2789" s="2" t="s">
        <v>567</v>
      </c>
      <c r="D2789" s="2" t="str">
        <f t="shared" si="42"/>
        <v>Error?</v>
      </c>
    </row>
    <row r="2790" spans="1:4" x14ac:dyDescent="0.2">
      <c r="A2790" s="5">
        <v>2729</v>
      </c>
      <c r="B2790" s="1831">
        <f>'Expenditures 15-22'!E102</f>
        <v>95521</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278053</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278053</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566507</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621171</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278053</v>
      </c>
      <c r="D2912" s="2" t="str">
        <f t="shared" si="44"/>
        <v>Error?</v>
      </c>
    </row>
    <row r="2913" spans="1:4" x14ac:dyDescent="0.2">
      <c r="A2913" s="5">
        <v>2852</v>
      </c>
      <c r="B2913" s="1831">
        <f>'Assets-Liab 5-6'!I41</f>
        <v>278053</v>
      </c>
      <c r="C2913" s="2" t="s">
        <v>567</v>
      </c>
      <c r="D2913" s="2" t="str">
        <f t="shared" si="44"/>
        <v>Error?</v>
      </c>
    </row>
    <row r="2914" spans="1:4" x14ac:dyDescent="0.2">
      <c r="A2914" s="5">
        <v>2853</v>
      </c>
      <c r="B2914" s="1831">
        <f>'Assets-Liab 5-6'!L33</f>
        <v>621171</v>
      </c>
      <c r="D2914" s="2" t="str">
        <f t="shared" si="44"/>
        <v>Error?</v>
      </c>
    </row>
    <row r="2915" spans="1:4" x14ac:dyDescent="0.2">
      <c r="A2915" s="10">
        <v>2854</v>
      </c>
      <c r="B2915" s="1831"/>
      <c r="D2915" s="2" t="str">
        <f t="shared" si="44"/>
        <v>OK</v>
      </c>
    </row>
    <row r="2916" spans="1:4" x14ac:dyDescent="0.2">
      <c r="A2916" s="5">
        <v>2855</v>
      </c>
      <c r="B2916" s="1831">
        <f>'Assets-Liab 5-6'!L34</f>
        <v>621171</v>
      </c>
      <c r="C2916" s="2" t="s">
        <v>567</v>
      </c>
      <c r="D2916" s="2" t="str">
        <f t="shared" si="44"/>
        <v>Error?</v>
      </c>
    </row>
    <row r="2917" spans="1:4" x14ac:dyDescent="0.2">
      <c r="A2917" s="5">
        <v>2856</v>
      </c>
      <c r="B2917" s="1831">
        <f>'Assets-Liab 5-6'!L41</f>
        <v>621171</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95521</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94</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95521</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94</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56454</v>
      </c>
      <c r="D3055" s="2" t="str">
        <f t="shared" si="46"/>
        <v>Error?</v>
      </c>
    </row>
    <row r="3056" spans="1:4" x14ac:dyDescent="0.2">
      <c r="A3056" s="5">
        <v>2995</v>
      </c>
      <c r="B3056" s="1831">
        <f>'Expenditures 15-22'!D10</f>
        <v>2417</v>
      </c>
      <c r="D3056" s="2" t="str">
        <f t="shared" si="46"/>
        <v>Error?</v>
      </c>
    </row>
    <row r="3057" spans="1:4" x14ac:dyDescent="0.2">
      <c r="A3057" s="5">
        <v>2996</v>
      </c>
      <c r="B3057" s="1831">
        <f>'Expenditures 15-22'!E10</f>
        <v>47600</v>
      </c>
      <c r="D3057" s="2" t="str">
        <f t="shared" si="46"/>
        <v>Error?</v>
      </c>
    </row>
    <row r="3058" spans="1:4" x14ac:dyDescent="0.2">
      <c r="A3058" s="5">
        <v>2997</v>
      </c>
      <c r="B3058" s="1831">
        <f>'Expenditures 15-22'!F10</f>
        <v>31140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137611</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7115</v>
      </c>
      <c r="D3064" s="2" t="str">
        <f t="shared" si="46"/>
        <v>Error?</v>
      </c>
    </row>
    <row r="3065" spans="1:4" x14ac:dyDescent="0.2">
      <c r="A3065" s="5">
        <v>3004</v>
      </c>
      <c r="B3065" s="1831">
        <f>'Expenditures 15-22'!K219</f>
        <v>7115</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27209</v>
      </c>
      <c r="C3225" s="2" t="s">
        <v>567</v>
      </c>
      <c r="D3225" s="2" t="str">
        <f t="shared" si="49"/>
        <v>Error?</v>
      </c>
    </row>
    <row r="3226" spans="1:4" x14ac:dyDescent="0.2">
      <c r="A3226" s="5">
        <v>3165</v>
      </c>
      <c r="B3226" s="1831">
        <f>'Acct Summary 7-8'!I8</f>
        <v>27209</v>
      </c>
      <c r="C3226" s="2" t="s">
        <v>567</v>
      </c>
      <c r="D3226" s="2" t="str">
        <f t="shared" si="49"/>
        <v>Error?</v>
      </c>
    </row>
    <row r="3227" spans="1:4" x14ac:dyDescent="0.2">
      <c r="A3227" s="5">
        <v>3166</v>
      </c>
      <c r="B3227" s="1831">
        <f>'Acct Summary 7-8'!I20</f>
        <v>27209</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567</v>
      </c>
      <c r="D3231" s="2" t="str">
        <f t="shared" si="49"/>
        <v>Error?</v>
      </c>
    </row>
    <row r="3232" spans="1:4" x14ac:dyDescent="0.2">
      <c r="A3232" s="5">
        <v>3171</v>
      </c>
      <c r="B3232" s="1831">
        <f>'Acct Summary 7-8'!C77</f>
        <v>0</v>
      </c>
      <c r="C3232" s="2" t="s">
        <v>567</v>
      </c>
      <c r="D3232" s="2" t="str">
        <f t="shared" si="49"/>
        <v>Error?</v>
      </c>
    </row>
    <row r="3233" spans="1:4" x14ac:dyDescent="0.2">
      <c r="A3233" s="5">
        <v>3172</v>
      </c>
      <c r="B3233" s="1831">
        <f>'Acct Summary 7-8'!C78</f>
        <v>156295</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97617</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189</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23681</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0</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0</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27209</v>
      </c>
      <c r="C3320" s="2" t="s">
        <v>567</v>
      </c>
      <c r="D3320" s="2" t="str">
        <f t="shared" si="50"/>
        <v>Error?</v>
      </c>
    </row>
    <row r="3321" spans="1:4" x14ac:dyDescent="0.2">
      <c r="A3321" s="5">
        <v>3260</v>
      </c>
      <c r="B3321" s="1831">
        <f>'Acct Summary 7-8'!I79</f>
        <v>250844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278053</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348078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80596</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2082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1216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431972</v>
      </c>
      <c r="C3380" s="2" t="s">
        <v>567</v>
      </c>
      <c r="D3380" s="2" t="str">
        <f t="shared" si="51"/>
        <v>Error?</v>
      </c>
    </row>
    <row r="3381" spans="1:4" x14ac:dyDescent="0.2">
      <c r="A3381" s="5">
        <v>3320</v>
      </c>
      <c r="B3381" s="1831">
        <f>'Expenditures 15-22'!K19</f>
        <v>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20215</v>
      </c>
      <c r="D3387" s="2" t="str">
        <f t="shared" si="51"/>
        <v>Error?</v>
      </c>
    </row>
    <row r="3388" spans="1:4" x14ac:dyDescent="0.2">
      <c r="A3388" s="5">
        <v>3327</v>
      </c>
      <c r="B3388" s="1831">
        <f>'Expenditures 15-22'!D217</f>
        <v>20027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20215</v>
      </c>
      <c r="C3390" s="2" t="s">
        <v>567</v>
      </c>
      <c r="D3390" s="2" t="str">
        <f t="shared" si="51"/>
        <v>Error?</v>
      </c>
    </row>
    <row r="3391" spans="1:4" x14ac:dyDescent="0.2">
      <c r="A3391" s="5">
        <v>3330</v>
      </c>
      <c r="B3391" s="1831">
        <f>'Expenditures 15-22'!K217</f>
        <v>20027</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6516</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889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5376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363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54664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96600</v>
      </c>
      <c r="C3446" s="2" t="s">
        <v>567</v>
      </c>
      <c r="D3446" s="2" t="str">
        <f t="shared" si="52"/>
        <v>Error?</v>
      </c>
    </row>
    <row r="3447" spans="1:4" x14ac:dyDescent="0.2">
      <c r="A3447" s="5">
        <v>3386</v>
      </c>
      <c r="B3447" s="1831">
        <f>'Tax Sched 23'!D16</f>
        <v>96600</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87089</v>
      </c>
      <c r="C3449" s="2" t="s">
        <v>567</v>
      </c>
      <c r="D3449" s="2" t="str">
        <f t="shared" si="52"/>
        <v>Error?</v>
      </c>
    </row>
    <row r="3450" spans="1:4" x14ac:dyDescent="0.2">
      <c r="A3450" s="5">
        <v>3389</v>
      </c>
      <c r="B3450" s="1831">
        <f>'Tax Sched 23'!E16</f>
        <v>87089</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100945</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100945</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100945</v>
      </c>
      <c r="D3567" s="2" t="str">
        <f t="shared" si="54"/>
        <v>Error?</v>
      </c>
    </row>
    <row r="3568" spans="1:4" x14ac:dyDescent="0.2">
      <c r="A3568" s="5">
        <v>3507</v>
      </c>
      <c r="B3568" s="1831">
        <f>'Assets-Liab 5-6'!K41</f>
        <v>100945</v>
      </c>
      <c r="C3568" s="2" t="s">
        <v>567</v>
      </c>
      <c r="D3568" s="2" t="str">
        <f t="shared" si="54"/>
        <v>Error?</v>
      </c>
    </row>
    <row r="3569" spans="1:4" x14ac:dyDescent="0.2">
      <c r="A3569" s="5">
        <v>3508</v>
      </c>
      <c r="B3569" s="1831">
        <f>'Acct Summary 7-8'!K4</f>
        <v>26183</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26183</v>
      </c>
      <c r="C3571" s="2" t="s">
        <v>567</v>
      </c>
      <c r="D3571" s="2" t="str">
        <f t="shared" si="54"/>
        <v>Error?</v>
      </c>
    </row>
    <row r="3572" spans="1:4" x14ac:dyDescent="0.2">
      <c r="A3572" s="5">
        <v>3511</v>
      </c>
      <c r="B3572" s="1831">
        <f>'Acct Summary 7-8'!K13</f>
        <v>3689</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3689</v>
      </c>
      <c r="C3575" s="2" t="s">
        <v>567</v>
      </c>
      <c r="D3575" s="2" t="str">
        <f t="shared" si="54"/>
        <v>Error?</v>
      </c>
    </row>
    <row r="3576" spans="1:4" x14ac:dyDescent="0.2">
      <c r="A3576" s="5">
        <v>3515</v>
      </c>
      <c r="B3576" s="1831">
        <f>'Acct Summary 7-8'!K20</f>
        <v>22494</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22494</v>
      </c>
      <c r="C3588" s="2" t="s">
        <v>567</v>
      </c>
      <c r="D3588" s="2" t="str">
        <f t="shared" si="55"/>
        <v>Error?</v>
      </c>
    </row>
    <row r="3589" spans="1:4" x14ac:dyDescent="0.2">
      <c r="A3589" s="5">
        <v>3528</v>
      </c>
      <c r="B3589" s="1831">
        <f>'Acct Summary 7-8'!K79</f>
        <v>78451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100945</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1132</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1132</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1132</v>
      </c>
      <c r="C3635" s="2" t="s">
        <v>567</v>
      </c>
      <c r="D3635" s="2" t="str">
        <f t="shared" si="55"/>
        <v>Error?</v>
      </c>
    </row>
    <row r="3636" spans="1:4" x14ac:dyDescent="0.2">
      <c r="A3636" s="5">
        <v>3575</v>
      </c>
      <c r="B3636" s="1831">
        <f>'Expenditures 15-22'!E367</f>
        <v>1132</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2557</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2557</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2557</v>
      </c>
      <c r="C3642" s="2" t="s">
        <v>567</v>
      </c>
      <c r="D3642" s="2" t="str">
        <f t="shared" si="55"/>
        <v>Error?</v>
      </c>
    </row>
    <row r="3643" spans="1:4" x14ac:dyDescent="0.2">
      <c r="A3643" s="5">
        <v>3582</v>
      </c>
      <c r="B3643" s="1831">
        <f>'Expenditures 15-22'!F367</f>
        <v>2557</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3689</v>
      </c>
      <c r="C3668" s="2" t="s">
        <v>567</v>
      </c>
      <c r="D3668" s="2" t="str">
        <f t="shared" si="56"/>
        <v>Error?</v>
      </c>
    </row>
    <row r="3669" spans="1:4" x14ac:dyDescent="0.2">
      <c r="A3669" s="5">
        <v>3608</v>
      </c>
      <c r="B3669" s="1831">
        <f>'Expenditures 15-22'!K349</f>
        <v>0</v>
      </c>
      <c r="C3669" s="2" t="s">
        <v>567</v>
      </c>
      <c r="D3669" s="2" t="str">
        <f t="shared" si="56"/>
        <v>Error?</v>
      </c>
    </row>
    <row r="3670" spans="1:4" x14ac:dyDescent="0.2">
      <c r="A3670" s="5">
        <v>3609</v>
      </c>
      <c r="B3670" s="1831">
        <f>'Expenditures 15-22'!K350</f>
        <v>3689</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3689</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3689</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22494</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25567</v>
      </c>
      <c r="C3725" s="2" t="s">
        <v>567</v>
      </c>
      <c r="D3725" s="2" t="str">
        <f t="shared" si="57"/>
        <v>Error?</v>
      </c>
    </row>
    <row r="3726" spans="1:4" x14ac:dyDescent="0.2">
      <c r="A3726" s="5">
        <v>3665</v>
      </c>
      <c r="B3726" s="1831">
        <f>'Tax Sched 23'!D13</f>
        <v>25567</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26554</v>
      </c>
      <c r="C3728" s="2" t="s">
        <v>567</v>
      </c>
      <c r="D3728" s="2" t="str">
        <f t="shared" si="57"/>
        <v>Error?</v>
      </c>
    </row>
    <row r="3729" spans="1:4" x14ac:dyDescent="0.2">
      <c r="A3729" s="5">
        <v>3668</v>
      </c>
      <c r="B3729" s="1831">
        <f>'Tax Sched 23'!E13</f>
        <v>26554</v>
      </c>
      <c r="D3729" s="2" t="str">
        <f t="shared" si="57"/>
        <v>Error?</v>
      </c>
    </row>
    <row r="3730" spans="1:4" x14ac:dyDescent="0.2">
      <c r="A3730" s="5">
        <v>3669</v>
      </c>
      <c r="B3730" s="1831">
        <f>'ICR Computation 30'!E10</f>
        <v>169423</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1847867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6014826</v>
      </c>
      <c r="C4122" s="2" t="s">
        <v>567</v>
      </c>
      <c r="D4122" s="2" t="str">
        <f t="shared" si="63"/>
        <v>Error?</v>
      </c>
    </row>
    <row r="4123" spans="1:4" x14ac:dyDescent="0.2">
      <c r="A4123" s="5">
        <v>4062</v>
      </c>
      <c r="B4123" s="1831">
        <f>'Acct Summary 7-8'!D10</f>
        <v>339466</v>
      </c>
      <c r="C4123" s="2" t="s">
        <v>567</v>
      </c>
      <c r="D4123" s="2" t="str">
        <f t="shared" si="63"/>
        <v>Error?</v>
      </c>
    </row>
    <row r="4124" spans="1:4" x14ac:dyDescent="0.2">
      <c r="A4124" s="5">
        <v>4063</v>
      </c>
      <c r="B4124" s="1831">
        <f>'Acct Summary 7-8'!E10</f>
        <v>0</v>
      </c>
      <c r="C4124" s="2" t="s">
        <v>567</v>
      </c>
      <c r="D4124" s="2" t="str">
        <f t="shared" si="63"/>
        <v>Error?</v>
      </c>
    </row>
    <row r="4125" spans="1:4" x14ac:dyDescent="0.2">
      <c r="A4125" s="5">
        <v>4064</v>
      </c>
      <c r="B4125" s="1831">
        <f>'Acct Summary 7-8'!F10</f>
        <v>416418</v>
      </c>
      <c r="C4125" s="2" t="s">
        <v>567</v>
      </c>
      <c r="D4125" s="2" t="str">
        <f t="shared" si="63"/>
        <v>Error?</v>
      </c>
    </row>
    <row r="4126" spans="1:4" x14ac:dyDescent="0.2">
      <c r="A4126" s="5">
        <v>4065</v>
      </c>
      <c r="B4126" s="1831">
        <f>'Acct Summary 7-8'!G10</f>
        <v>166576</v>
      </c>
      <c r="C4126" s="2" t="s">
        <v>567</v>
      </c>
      <c r="D4126" s="2" t="str">
        <f t="shared" si="63"/>
        <v>Error?</v>
      </c>
    </row>
    <row r="4127" spans="1:4" x14ac:dyDescent="0.2">
      <c r="A4127" s="5">
        <v>4066</v>
      </c>
      <c r="B4127" s="1831">
        <f>'Acct Summary 7-8'!H10</f>
        <v>0</v>
      </c>
      <c r="C4127" s="2" t="s">
        <v>567</v>
      </c>
      <c r="D4127" s="2" t="str">
        <f t="shared" si="63"/>
        <v>Error?</v>
      </c>
    </row>
    <row r="4128" spans="1:4" x14ac:dyDescent="0.2">
      <c r="A4128" s="5">
        <v>4067</v>
      </c>
      <c r="B4128" s="1831">
        <f>'Acct Summary 7-8'!I10</f>
        <v>27209</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26183</v>
      </c>
      <c r="C4130" s="2" t="s">
        <v>567</v>
      </c>
      <c r="D4130" s="2" t="str">
        <f t="shared" si="63"/>
        <v>Error?</v>
      </c>
    </row>
    <row r="4131" spans="1:4" x14ac:dyDescent="0.2">
      <c r="A4131" s="5">
        <v>4070</v>
      </c>
      <c r="B4131" s="1831">
        <f>'Acct Summary 7-8'!C18</f>
        <v>1847867</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5858531</v>
      </c>
      <c r="C4136" s="2" t="s">
        <v>567</v>
      </c>
      <c r="D4136" s="2" t="str">
        <f t="shared" si="63"/>
        <v>Error?</v>
      </c>
    </row>
    <row r="4137" spans="1:4" x14ac:dyDescent="0.2">
      <c r="A4137" s="5">
        <v>4076</v>
      </c>
      <c r="B4137" s="1831">
        <f>'Acct Summary 7-8'!D19</f>
        <v>241849</v>
      </c>
      <c r="C4137" s="2" t="s">
        <v>567</v>
      </c>
      <c r="D4137" s="2" t="str">
        <f t="shared" si="63"/>
        <v>Error?</v>
      </c>
    </row>
    <row r="4138" spans="1:4" x14ac:dyDescent="0.2">
      <c r="A4138" s="5">
        <v>4077</v>
      </c>
      <c r="B4138" s="1831">
        <f>'Acct Summary 7-8'!E19</f>
        <v>0</v>
      </c>
      <c r="C4138" s="2" t="s">
        <v>567</v>
      </c>
      <c r="D4138" s="2" t="str">
        <f t="shared" si="63"/>
        <v>Error?</v>
      </c>
    </row>
    <row r="4139" spans="1:4" x14ac:dyDescent="0.2">
      <c r="A4139" s="5">
        <v>4078</v>
      </c>
      <c r="B4139" s="1831">
        <f>'Acct Summary 7-8'!F19</f>
        <v>416229</v>
      </c>
      <c r="C4139" s="2" t="s">
        <v>567</v>
      </c>
      <c r="D4139" s="2" t="str">
        <f t="shared" si="63"/>
        <v>Error?</v>
      </c>
    </row>
    <row r="4140" spans="1:4" x14ac:dyDescent="0.2">
      <c r="A4140" s="5">
        <v>4079</v>
      </c>
      <c r="B4140" s="1831">
        <f>'Acct Summary 7-8'!G19</f>
        <v>142895</v>
      </c>
      <c r="C4140" s="2" t="s">
        <v>567</v>
      </c>
      <c r="D4140" s="2" t="str">
        <f t="shared" si="63"/>
        <v>Error?</v>
      </c>
    </row>
    <row r="4141" spans="1:4" x14ac:dyDescent="0.2">
      <c r="A4141" s="5">
        <v>4080</v>
      </c>
      <c r="B4141" s="1831">
        <f>'Acct Summary 7-8'!H19</f>
        <v>0</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3689</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216196</v>
      </c>
      <c r="C4171" s="2" t="s">
        <v>567</v>
      </c>
      <c r="D4171" s="2" t="str">
        <f t="shared" si="64"/>
        <v>Error?</v>
      </c>
    </row>
    <row r="4172" spans="1:4" x14ac:dyDescent="0.2">
      <c r="A4172" s="5">
        <v>4111</v>
      </c>
      <c r="B4172" s="1831">
        <f>'Short-Term Long-Term Debt 24'!J49</f>
        <v>216196</v>
      </c>
      <c r="C4172" s="2" t="s">
        <v>567</v>
      </c>
      <c r="D4172" s="2" t="str">
        <f t="shared" si="64"/>
        <v>Error?</v>
      </c>
    </row>
    <row r="4173" spans="1:4" x14ac:dyDescent="0.2">
      <c r="A4173" s="5">
        <v>4112</v>
      </c>
      <c r="B4173" s="1831">
        <f>'Short-Term Long-Term Debt 24'!H49</f>
        <v>28508</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1795.06</v>
      </c>
      <c r="C4265" s="2" t="s">
        <v>567</v>
      </c>
      <c r="D4265" s="2" t="str">
        <f t="shared" si="65"/>
        <v>Error?</v>
      </c>
      <c r="E4265" s="125"/>
    </row>
    <row r="4266" spans="1:5" x14ac:dyDescent="0.2">
      <c r="A4266" s="12">
        <v>4205</v>
      </c>
      <c r="B4266" s="1831">
        <f>('FP Info 3'!F10)*100000</f>
        <v>487.79</v>
      </c>
      <c r="C4266" s="2" t="s">
        <v>567</v>
      </c>
      <c r="D4266" s="2" t="str">
        <f t="shared" si="65"/>
        <v>Error?</v>
      </c>
      <c r="E4266" s="125"/>
    </row>
    <row r="4267" spans="1:5" x14ac:dyDescent="0.2">
      <c r="A4267" s="12">
        <v>4206</v>
      </c>
      <c r="B4267" s="1831">
        <f>('FP Info 3'!H10)*100000</f>
        <v>195.11</v>
      </c>
      <c r="C4267" s="2" t="s">
        <v>567</v>
      </c>
      <c r="D4267" s="2" t="str">
        <f t="shared" si="65"/>
        <v>Error?</v>
      </c>
      <c r="E4267" s="125"/>
    </row>
    <row r="4268" spans="1:5" x14ac:dyDescent="0.2">
      <c r="A4268" s="12">
        <v>4207</v>
      </c>
      <c r="B4268" s="1831">
        <f>('FP Info 3'!J10)*100000</f>
        <v>2478</v>
      </c>
      <c r="C4268" s="2" t="s">
        <v>567</v>
      </c>
      <c r="D4268" s="2" t="str">
        <f t="shared" si="65"/>
        <v>Error?</v>
      </c>
    </row>
    <row r="4269" spans="1:5" x14ac:dyDescent="0.2">
      <c r="A4269" s="12">
        <v>4208</v>
      </c>
      <c r="B4269" s="1831">
        <f>'FP Info 3'!J16</f>
        <v>2694596</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6584</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3982</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17115</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13748</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13748</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27079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48.78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1324</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54435739</v>
      </c>
      <c r="D4995" s="2" t="str">
        <f t="shared" si="77"/>
        <v>Error?</v>
      </c>
    </row>
    <row r="4996" spans="1:4" x14ac:dyDescent="0.2">
      <c r="A4996" s="12">
        <v>4935</v>
      </c>
      <c r="B4996" s="1831">
        <f>'FP Info 3'!H31</f>
        <v>7512131.9820000008</v>
      </c>
      <c r="D4996" s="2" t="str">
        <f t="shared" si="77"/>
        <v>Error?</v>
      </c>
    </row>
    <row r="4997" spans="1:4" x14ac:dyDescent="0.2">
      <c r="A4997" s="12">
        <v>4936</v>
      </c>
      <c r="B4997" s="1831">
        <f>'FP Info 3'!H37</f>
        <v>216196</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940856</v>
      </c>
      <c r="D5061" s="2" t="str">
        <f t="shared" si="78"/>
        <v>Error?</v>
      </c>
    </row>
    <row r="5062" spans="1:4" x14ac:dyDescent="0.2">
      <c r="A5062" s="10">
        <v>5001</v>
      </c>
      <c r="B5062" s="1831"/>
      <c r="D5062" s="2" t="str">
        <f t="shared" si="78"/>
        <v>OK</v>
      </c>
    </row>
    <row r="5063" spans="1:4" x14ac:dyDescent="0.2">
      <c r="A5063" s="5">
        <v>5002</v>
      </c>
      <c r="B5063" s="1831">
        <f>'Revenues 9-14'!C7</f>
        <v>20455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961311</v>
      </c>
      <c r="C5066" s="2" t="s">
        <v>567</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64838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64838</v>
      </c>
      <c r="C5071" s="2" t="s">
        <v>567</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567</v>
      </c>
      <c r="D5087" s="2" t="str">
        <f t="shared" si="78"/>
        <v>Error?</v>
      </c>
    </row>
    <row r="5088" spans="1:4" x14ac:dyDescent="0.2">
      <c r="A5088" s="5">
        <v>5027</v>
      </c>
      <c r="B5088" s="1831">
        <f>'Revenues 9-14'!C65</f>
        <v>9486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9486</v>
      </c>
      <c r="C5090" s="2" t="s">
        <v>567</v>
      </c>
      <c r="D5090" s="2" t="str">
        <f t="shared" si="78"/>
        <v>Error?</v>
      </c>
    </row>
    <row r="5091" spans="1:4" x14ac:dyDescent="0.2">
      <c r="A5091" s="5">
        <v>5030</v>
      </c>
      <c r="B5091" s="1831">
        <f>'Revenues 9-14'!C70</f>
        <v>10573</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6134</v>
      </c>
      <c r="D5094" s="2" t="str">
        <f t="shared" si="78"/>
        <v>Error?</v>
      </c>
    </row>
    <row r="5095" spans="1:4" x14ac:dyDescent="0.2">
      <c r="A5095" s="5">
        <v>5034</v>
      </c>
      <c r="B5095" s="1831">
        <f>'Revenues 9-14'!C74</f>
        <v>10446</v>
      </c>
      <c r="D5095" s="2" t="str">
        <f t="shared" si="78"/>
        <v>Error?</v>
      </c>
    </row>
    <row r="5096" spans="1:4" x14ac:dyDescent="0.2">
      <c r="A5096" s="5">
        <v>5035</v>
      </c>
      <c r="B5096" s="1831">
        <f>'Revenues 9-14'!C75</f>
        <v>49434</v>
      </c>
      <c r="C5096" s="2" t="s">
        <v>567</v>
      </c>
      <c r="D5096" s="2" t="str">
        <f t="shared" si="78"/>
        <v>Error?</v>
      </c>
    </row>
    <row r="5097" spans="1:4" x14ac:dyDescent="0.2">
      <c r="A5097" s="5">
        <v>5036</v>
      </c>
      <c r="B5097" s="1831">
        <f>'Revenues 9-14'!C77</f>
        <v>10783</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10783</v>
      </c>
      <c r="C5102" s="2" t="s">
        <v>567</v>
      </c>
      <c r="D5102" s="2" t="str">
        <f t="shared" si="78"/>
        <v>Error?</v>
      </c>
    </row>
    <row r="5103" spans="1:4" x14ac:dyDescent="0.2">
      <c r="A5103" s="5">
        <v>5042</v>
      </c>
      <c r="B5103" s="1831">
        <f>'Revenues 9-14'!C84</f>
        <v>10114</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10114</v>
      </c>
      <c r="C5112" s="2" t="s">
        <v>567</v>
      </c>
      <c r="D5112" s="2" t="str">
        <f t="shared" si="78"/>
        <v>Error?</v>
      </c>
    </row>
    <row r="5113" spans="1:4" x14ac:dyDescent="0.2">
      <c r="A5113" s="5">
        <v>5052</v>
      </c>
      <c r="B5113" s="1831">
        <f>'Revenues 9-14'!C95</f>
        <v>6000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5670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11471</v>
      </c>
      <c r="D5119" s="2" t="str">
        <f t="shared" ref="D5119:D5182" si="79">IF(ISBLANK(B5119),"OK",IF(A5119-B5119=0,"OK","Error?"))</f>
        <v>Error?</v>
      </c>
    </row>
    <row r="5120" spans="1:4" x14ac:dyDescent="0.2">
      <c r="A5120" s="5">
        <v>5059</v>
      </c>
      <c r="B5120" s="1831">
        <f>'Revenues 9-14'!C108</f>
        <v>25016</v>
      </c>
      <c r="C5120" s="2" t="s">
        <v>567</v>
      </c>
      <c r="D5120" s="2" t="str">
        <f t="shared" si="79"/>
        <v>Error?</v>
      </c>
    </row>
    <row r="5121" spans="1:4" x14ac:dyDescent="0.2">
      <c r="A5121" s="5">
        <v>5060</v>
      </c>
      <c r="B5121" s="1831">
        <f>'Revenues 9-14'!C109</f>
        <v>1130982</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2305844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2305844</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31957</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31957</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11259</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25406</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1857</v>
      </c>
      <c r="D5167" s="2" t="str">
        <f t="shared" si="79"/>
        <v>Error?</v>
      </c>
    </row>
    <row r="5168" spans="1:4" x14ac:dyDescent="0.2">
      <c r="A5168" s="5">
        <v>5107</v>
      </c>
      <c r="B5168" s="1831">
        <f>'Revenues 9-14'!C148</f>
        <v>5087</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125160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190791</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2496635</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85929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41122</v>
      </c>
      <c r="D5241" s="2" t="str">
        <f t="shared" si="80"/>
        <v>Error?</v>
      </c>
    </row>
    <row r="5242" spans="1:4" x14ac:dyDescent="0.2">
      <c r="A5242" s="5">
        <v>5181</v>
      </c>
      <c r="B5242" s="1831">
        <f>'Revenues 9-14'!C194</f>
        <v>66450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193501</v>
      </c>
      <c r="C5246" s="2" t="s">
        <v>567</v>
      </c>
      <c r="D5246" s="2" t="str">
        <f t="shared" si="80"/>
        <v>Error?</v>
      </c>
    </row>
    <row r="5247" spans="1:4" x14ac:dyDescent="0.2">
      <c r="A5247" s="5">
        <v>5186</v>
      </c>
      <c r="B5247" s="1831">
        <f>'Revenues 9-14'!C200</f>
        <v>216704</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223288</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2859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57770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60629</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539342</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539342</v>
      </c>
      <c r="C5326" s="2" t="s">
        <v>567</v>
      </c>
      <c r="D5326" s="2" t="str">
        <f t="shared" si="82"/>
        <v>Error?</v>
      </c>
    </row>
    <row r="5327" spans="1:5" x14ac:dyDescent="0.2">
      <c r="A5327" s="5">
        <v>5266</v>
      </c>
      <c r="B5327" s="1831">
        <f>'Revenues 9-14'!C268</f>
        <v>4166959</v>
      </c>
      <c r="C5327" s="2" t="s">
        <v>567</v>
      </c>
      <c r="D5327" s="2" t="str">
        <f t="shared" si="82"/>
        <v>Error?</v>
      </c>
    </row>
    <row r="5328" spans="1:5" x14ac:dyDescent="0.2">
      <c r="A5328" s="5">
        <v>5267</v>
      </c>
      <c r="B5328" s="1831">
        <f>'Revenues 9-14'!D5</f>
        <v>255669</v>
      </c>
      <c r="D5328" s="2" t="str">
        <f t="shared" si="82"/>
        <v>Error?</v>
      </c>
    </row>
    <row r="5329" spans="1:4" x14ac:dyDescent="0.2">
      <c r="A5329" s="10">
        <v>5268</v>
      </c>
      <c r="B5329" s="1831"/>
      <c r="D5329" s="2" t="str">
        <f t="shared" si="82"/>
        <v>OK</v>
      </c>
    </row>
    <row r="5330" spans="1:4" x14ac:dyDescent="0.2">
      <c r="A5330" s="5">
        <v>5269</v>
      </c>
      <c r="B5330" s="1831">
        <f>'Revenues 9-14'!D6</f>
        <v>25567</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281236</v>
      </c>
      <c r="C5334" s="2" t="s">
        <v>567</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567</v>
      </c>
      <c r="D5339" s="2" t="str">
        <f t="shared" si="82"/>
        <v>Error?</v>
      </c>
    </row>
    <row r="5340" spans="1:4" x14ac:dyDescent="0.2">
      <c r="A5340" s="5">
        <v>5279</v>
      </c>
      <c r="B5340" s="1831">
        <f>'Revenues 9-14'!D65</f>
        <v>4235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4235</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40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3955</v>
      </c>
      <c r="D5354" s="2" t="str">
        <f t="shared" si="82"/>
        <v>Error?</v>
      </c>
    </row>
    <row r="5355" spans="1:4" x14ac:dyDescent="0.2">
      <c r="A5355" s="5">
        <v>5294</v>
      </c>
      <c r="B5355" s="1831">
        <f>'Revenues 9-14'!D108</f>
        <v>3995</v>
      </c>
      <c r="C5355" s="2" t="s">
        <v>567</v>
      </c>
      <c r="D5355" s="2" t="str">
        <f t="shared" si="82"/>
        <v>Error?</v>
      </c>
    </row>
    <row r="5356" spans="1:4" x14ac:dyDescent="0.2">
      <c r="A5356" s="5">
        <v>5295</v>
      </c>
      <c r="B5356" s="1831">
        <f>'Revenues 9-14'!D109</f>
        <v>289466</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339466</v>
      </c>
      <c r="C5508" s="2" t="s">
        <v>567</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567</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567</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0</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567</v>
      </c>
      <c r="D5552" s="2" t="str">
        <f t="shared" si="85"/>
        <v>Error?</v>
      </c>
    </row>
    <row r="5553" spans="1:4" x14ac:dyDescent="0.2">
      <c r="A5553" s="5">
        <v>5492</v>
      </c>
      <c r="B5553" s="1831">
        <f>'Revenues 9-14'!F5</f>
        <v>102270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102270</v>
      </c>
      <c r="C5557" s="2" t="s">
        <v>567</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749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749</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23395</v>
      </c>
      <c r="D5586" s="2" t="str">
        <f t="shared" si="86"/>
        <v>Error?</v>
      </c>
    </row>
    <row r="5587" spans="1:4" x14ac:dyDescent="0.2">
      <c r="A5587" s="5">
        <v>5526</v>
      </c>
      <c r="B5587" s="1831">
        <f>'Revenues 9-14'!F108</f>
        <v>23395</v>
      </c>
      <c r="C5587" s="2" t="s">
        <v>567</v>
      </c>
      <c r="D5587" s="2" t="str">
        <f t="shared" si="86"/>
        <v>Error?</v>
      </c>
    </row>
    <row r="5588" spans="1:4" x14ac:dyDescent="0.2">
      <c r="A5588" s="5">
        <v>5527</v>
      </c>
      <c r="B5588" s="1831">
        <f>'Revenues 9-14'!F109</f>
        <v>126414</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239143</v>
      </c>
      <c r="D5615" s="2" t="str">
        <f t="shared" si="86"/>
        <v>Error?</v>
      </c>
    </row>
    <row r="5616" spans="1:4" x14ac:dyDescent="0.2">
      <c r="A5616" s="10">
        <v>5555</v>
      </c>
      <c r="B5616" s="1831"/>
      <c r="D5616" s="2" t="str">
        <f t="shared" si="86"/>
        <v>OK</v>
      </c>
    </row>
    <row r="5617" spans="1:5" x14ac:dyDescent="0.2">
      <c r="A5617" s="5">
        <v>5556</v>
      </c>
      <c r="B5617" s="1831">
        <f>'Revenues 9-14'!F153</f>
        <v>50861</v>
      </c>
      <c r="D5617" s="2" t="str">
        <f t="shared" si="86"/>
        <v>Error?</v>
      </c>
    </row>
    <row r="5618" spans="1:5" x14ac:dyDescent="0.2">
      <c r="A5618" s="5">
        <v>5557</v>
      </c>
      <c r="B5618" s="1831">
        <f>'Revenues 9-14'!F155</f>
        <v>290004</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290004</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290004</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416418</v>
      </c>
      <c r="C5720" s="2" t="s">
        <v>567</v>
      </c>
      <c r="D5720" s="2" t="str">
        <f t="shared" si="88"/>
        <v>Error?</v>
      </c>
    </row>
    <row r="5721" spans="1:4" x14ac:dyDescent="0.2">
      <c r="A5721" s="5">
        <v>5660</v>
      </c>
      <c r="B5721" s="1831">
        <f>'Revenues 9-14'!G5</f>
        <v>62388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96600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158988</v>
      </c>
      <c r="C5725" s="2" t="s">
        <v>567</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5000</v>
      </c>
      <c r="C5730" s="2" t="s">
        <v>567</v>
      </c>
      <c r="D5730" s="2" t="str">
        <f t="shared" si="88"/>
        <v>Error?</v>
      </c>
    </row>
    <row r="5731" spans="1:4" x14ac:dyDescent="0.2">
      <c r="A5731" s="5">
        <v>5670</v>
      </c>
      <c r="B5731" s="1831">
        <f>'Revenues 9-14'!G65</f>
        <v>2588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2588</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166576</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0</v>
      </c>
      <c r="C5915" s="2" t="s">
        <v>567</v>
      </c>
      <c r="D5915" s="2" t="str">
        <f t="shared" si="91"/>
        <v>Error?</v>
      </c>
    </row>
    <row r="5916" spans="1:4" x14ac:dyDescent="0.2">
      <c r="A5916" s="5">
        <v>5855</v>
      </c>
      <c r="B5916" s="1831">
        <f>'Revenues 9-14'!I5</f>
        <v>25567</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25567</v>
      </c>
      <c r="C5918" s="2" t="s">
        <v>567</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567</v>
      </c>
      <c r="D5923" s="2" t="str">
        <f t="shared" si="91"/>
        <v>Error?</v>
      </c>
    </row>
    <row r="5924" spans="1:4" x14ac:dyDescent="0.2">
      <c r="A5924" s="5">
        <v>5863</v>
      </c>
      <c r="B5924" s="1831">
        <f>'Revenues 9-14'!I65</f>
        <v>1642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1642</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27209</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25567</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25567</v>
      </c>
      <c r="C5987" s="2" t="s">
        <v>567</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567</v>
      </c>
      <c r="D5992" s="2" t="str">
        <f t="shared" si="92"/>
        <v>Error?</v>
      </c>
    </row>
    <row r="5993" spans="1:4" x14ac:dyDescent="0.2">
      <c r="A5993" s="5">
        <v>5932</v>
      </c>
      <c r="B5993" s="1831">
        <f>'Revenues 9-14'!K65</f>
        <v>616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616</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26183</v>
      </c>
      <c r="C6023" s="2" t="s">
        <v>567</v>
      </c>
      <c r="D6023" s="2" t="str">
        <f t="shared" si="93"/>
        <v>Error?</v>
      </c>
    </row>
    <row r="6024" spans="1:5" x14ac:dyDescent="0.2">
      <c r="A6024" s="5">
        <v>5963</v>
      </c>
      <c r="B6024" s="1831">
        <f>'Revenues 9-14'!G109</f>
        <v>166576</v>
      </c>
      <c r="C6024" s="2" t="s">
        <v>567</v>
      </c>
      <c r="D6024" s="2" t="str">
        <f t="shared" si="93"/>
        <v>Error?</v>
      </c>
    </row>
    <row r="6025" spans="1:5" x14ac:dyDescent="0.2">
      <c r="A6025" s="5">
        <v>5964</v>
      </c>
      <c r="B6025" s="1831">
        <f>'Revenues 9-14'!H109</f>
        <v>0</v>
      </c>
      <c r="C6025" s="2" t="s">
        <v>567</v>
      </c>
      <c r="D6025" s="2" t="str">
        <f t="shared" si="93"/>
        <v>Error?</v>
      </c>
    </row>
    <row r="6026" spans="1:5" x14ac:dyDescent="0.2">
      <c r="A6026" s="5">
        <v>5965</v>
      </c>
      <c r="B6026" s="1831">
        <f>'Revenues 9-14'!I109</f>
        <v>27209</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26183</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22281</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20713</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449.4</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107613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107613</v>
      </c>
      <c r="D6215" s="2" t="str">
        <f t="shared" si="96"/>
        <v>Error?</v>
      </c>
      <c r="E6215" s="2" t="s">
        <v>189</v>
      </c>
    </row>
    <row r="6216" spans="1:5" x14ac:dyDescent="0.2">
      <c r="A6216">
        <v>6155</v>
      </c>
      <c r="B6216" s="1831">
        <f>'Assets-Liab 5-6'!J41</f>
        <v>107613</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107613</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204072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204072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204072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193098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193098</v>
      </c>
      <c r="D6229" s="2" t="str">
        <f t="shared" si="96"/>
        <v>Error?</v>
      </c>
      <c r="E6229" s="2" t="s">
        <v>189</v>
      </c>
    </row>
    <row r="6230" spans="1:5" x14ac:dyDescent="0.2">
      <c r="A6230">
        <v>6169</v>
      </c>
      <c r="B6230" s="1831">
        <f>'Acct Summary 7-8'!J20</f>
        <v>10974</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10974</v>
      </c>
      <c r="D6263" s="2" t="str">
        <f t="shared" si="96"/>
        <v>Error?</v>
      </c>
      <c r="E6263" s="2" t="s">
        <v>189</v>
      </c>
    </row>
    <row r="6264" spans="1:5" x14ac:dyDescent="0.2">
      <c r="A6264">
        <v>6203</v>
      </c>
      <c r="B6264" s="1831">
        <f>'Acct Summary 7-8'!J79</f>
        <v>96639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107613</v>
      </c>
      <c r="D6266" s="2" t="str">
        <f t="shared" si="96"/>
        <v>Error?</v>
      </c>
      <c r="E6266" s="2" t="s">
        <v>189</v>
      </c>
    </row>
    <row r="6267" spans="1:5" x14ac:dyDescent="0.2">
      <c r="A6267">
        <v>6206</v>
      </c>
      <c r="B6267" s="1831">
        <f>'Acct Summary 7-8'!C82</f>
        <v>156295</v>
      </c>
      <c r="D6267" s="2" t="str">
        <f t="shared" si="96"/>
        <v>Error?</v>
      </c>
      <c r="E6267" s="2" t="s">
        <v>189</v>
      </c>
    </row>
    <row r="6268" spans="1:5" x14ac:dyDescent="0.2">
      <c r="A6268">
        <v>6207</v>
      </c>
      <c r="B6268" s="1831">
        <f>'Acct Summary 7-8'!D82</f>
        <v>97617</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189</v>
      </c>
      <c r="D6270" s="2" t="str">
        <f t="shared" si="96"/>
        <v>Error?</v>
      </c>
      <c r="E6270" s="2" t="s">
        <v>189</v>
      </c>
    </row>
    <row r="6271" spans="1:5" x14ac:dyDescent="0.2">
      <c r="A6271">
        <v>6210</v>
      </c>
      <c r="B6271" s="1831">
        <f>'Acct Summary 7-8'!G82</f>
        <v>23681</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27209</v>
      </c>
      <c r="D6273" s="2" t="str">
        <f t="shared" si="97"/>
        <v>Error?</v>
      </c>
      <c r="E6273" s="2" t="s">
        <v>189</v>
      </c>
    </row>
    <row r="6274" spans="1:5" x14ac:dyDescent="0.2">
      <c r="A6274">
        <v>6213</v>
      </c>
      <c r="B6274" s="1831">
        <f>'Acct Summary 7-8'!J82</f>
        <v>10974</v>
      </c>
      <c r="D6274" s="2" t="str">
        <f t="shared" si="97"/>
        <v>Error?</v>
      </c>
      <c r="E6274" s="2" t="s">
        <v>189</v>
      </c>
    </row>
    <row r="6275" spans="1:5" x14ac:dyDescent="0.2">
      <c r="A6275">
        <v>6214</v>
      </c>
      <c r="B6275" s="1831">
        <f>'Acct Summary 7-8'!K82</f>
        <v>22494</v>
      </c>
      <c r="D6275" s="2" t="str">
        <f t="shared" si="97"/>
        <v>Error?</v>
      </c>
      <c r="E6275" s="2" t="s">
        <v>189</v>
      </c>
    </row>
    <row r="6276" spans="1:5" x14ac:dyDescent="0.2">
      <c r="A6276">
        <v>6215</v>
      </c>
      <c r="B6276" s="1831">
        <f>'Acct Summary 7-8'!C83</f>
        <v>9.9164529559335024E-2</v>
      </c>
      <c r="D6276" s="2" t="str">
        <f t="shared" si="97"/>
        <v>Error?</v>
      </c>
      <c r="E6276" s="2" t="s">
        <v>189</v>
      </c>
    </row>
    <row r="6277" spans="1:5" x14ac:dyDescent="0.2">
      <c r="A6277">
        <v>6216</v>
      </c>
      <c r="B6277" s="1831">
        <f>'Acct Summary 7-8'!D83</f>
        <v>0.14395367150656085</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1.164431246187874E-3</v>
      </c>
      <c r="D6279" s="2" t="str">
        <f t="shared" si="97"/>
        <v>Error?</v>
      </c>
      <c r="E6279" s="2" t="s">
        <v>189</v>
      </c>
    </row>
    <row r="6280" spans="1:5" x14ac:dyDescent="0.2">
      <c r="A6280">
        <v>6219</v>
      </c>
      <c r="B6280" s="1831">
        <f>'Acct Summary 7-8'!G83</f>
        <v>5.6646876181090121E-2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9.7855444825267132E-2</v>
      </c>
      <c r="D6282" s="2" t="str">
        <f t="shared" si="97"/>
        <v>Error?</v>
      </c>
      <c r="E6282" s="2" t="s">
        <v>189</v>
      </c>
    </row>
    <row r="6283" spans="1:5" x14ac:dyDescent="0.2">
      <c r="A6283">
        <v>6222</v>
      </c>
      <c r="B6283" s="1831">
        <f>'Acct Summary 7-8'!J83</f>
        <v>0.10197652699952608</v>
      </c>
      <c r="D6283" s="2" t="str">
        <f t="shared" si="97"/>
        <v>Error?</v>
      </c>
      <c r="E6283" s="2" t="s">
        <v>189</v>
      </c>
    </row>
    <row r="6284" spans="1:5" x14ac:dyDescent="0.2">
      <c r="A6284">
        <v>6223</v>
      </c>
      <c r="B6284" s="1831">
        <f>'Acct Summary 7-8'!K83</f>
        <v>0.22283421665263262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193203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193203</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1394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1394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9475</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1875</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9475</v>
      </c>
      <c r="D6351" s="2" t="str">
        <f t="shared" si="98"/>
        <v>Error?</v>
      </c>
      <c r="E6351" s="2" t="s">
        <v>189</v>
      </c>
    </row>
    <row r="6352" spans="1:5" x14ac:dyDescent="0.2">
      <c r="A6352">
        <v>6291</v>
      </c>
      <c r="B6352" s="1831">
        <f>'Revenues 9-14'!J109</f>
        <v>204072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14147</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82698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105945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50290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70707</v>
      </c>
      <c r="D6983" s="2" t="str">
        <f t="shared" si="108"/>
        <v>Error?</v>
      </c>
    </row>
    <row r="6984" spans="1:4" x14ac:dyDescent="0.2">
      <c r="A6984">
        <v>6923</v>
      </c>
      <c r="B6984" s="1831">
        <f>'Expenditures 15-22'!K86</f>
        <v>70707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824</v>
      </c>
      <c r="D6987" s="2" t="str">
        <f t="shared" si="108"/>
        <v>Error?</v>
      </c>
    </row>
    <row r="6988" spans="1:4" x14ac:dyDescent="0.2">
      <c r="A6988">
        <v>6927</v>
      </c>
      <c r="B6988" s="1831">
        <f>'Expenditures 15-22'!K88</f>
        <v>824</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574</v>
      </c>
      <c r="D6991" s="2" t="str">
        <f t="shared" si="108"/>
        <v>Error?</v>
      </c>
    </row>
    <row r="6992" spans="1:4" x14ac:dyDescent="0.2">
      <c r="A6992">
        <v>6931</v>
      </c>
      <c r="B6992" s="1831">
        <f>'Expenditures 15-22'!K90</f>
        <v>574</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72105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193098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204072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4732</v>
      </c>
      <c r="D7073" s="2" t="str">
        <f t="shared" si="109"/>
        <v>Error?</v>
      </c>
    </row>
    <row r="7074" spans="1:4" x14ac:dyDescent="0.2">
      <c r="A7074">
        <v>7013</v>
      </c>
      <c r="B7074" s="1831">
        <f>'Expenditures 15-22'!K216</f>
        <v>4732</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654</v>
      </c>
      <c r="D7079" s="2" t="str">
        <f t="shared" si="109"/>
        <v>Error?</v>
      </c>
    </row>
    <row r="7080" spans="1:4" x14ac:dyDescent="0.2">
      <c r="A7080">
        <v>7019</v>
      </c>
      <c r="B7080" s="1831">
        <f>'Expenditures 15-22'!K226</f>
        <v>654</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121494</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121494</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750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750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53174</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53174</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3504</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3504</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14176</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14176</v>
      </c>
      <c r="D7198" s="2" t="str">
        <f t="shared" si="111"/>
        <v>Error?</v>
      </c>
    </row>
    <row r="7199" spans="1:4" x14ac:dyDescent="0.2">
      <c r="A7199">
        <v>7138</v>
      </c>
      <c r="B7199" s="1831">
        <f>'Expenditures 15-22'!C330</f>
        <v>3504</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189594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193098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3504</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189594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193098</v>
      </c>
      <c r="D7224" s="2" t="str">
        <f t="shared" si="111"/>
        <v>Error?</v>
      </c>
    </row>
    <row r="7225" spans="1:4" x14ac:dyDescent="0.2">
      <c r="A7225">
        <v>7164</v>
      </c>
      <c r="B7225" s="1831">
        <f>'Expenditures 15-22'!K343</f>
        <v>10974</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19548</v>
      </c>
      <c r="D7246" s="2" t="str">
        <f t="shared" si="112"/>
        <v>Error?</v>
      </c>
    </row>
    <row r="7247" spans="1:4" x14ac:dyDescent="0.2">
      <c r="A7247">
        <f t="shared" si="113"/>
        <v>7186</v>
      </c>
      <c r="B7247" s="1831">
        <f>'Expenditures 15-22'!E7</f>
        <v>1200</v>
      </c>
      <c r="D7247" s="2" t="str">
        <f t="shared" si="112"/>
        <v>Error?</v>
      </c>
    </row>
    <row r="7248" spans="1:4" x14ac:dyDescent="0.2">
      <c r="A7248">
        <f t="shared" si="113"/>
        <v>7187</v>
      </c>
      <c r="B7248" s="1831">
        <f>'Expenditures 15-22'!F7</f>
        <v>2499</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45095</v>
      </c>
      <c r="D7263" s="2" t="str">
        <f t="shared" si="112"/>
        <v>Error?</v>
      </c>
    </row>
    <row r="7264" spans="1:4" x14ac:dyDescent="0.2">
      <c r="A7264">
        <f t="shared" si="113"/>
        <v>7203</v>
      </c>
      <c r="B7264" s="1831">
        <f>'Expenditures 15-22'!D17</f>
        <v>5163</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32</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107429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0</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1875</v>
      </c>
      <c r="D7712" s="2" t="str">
        <f t="shared" si="126"/>
        <v>Error?</v>
      </c>
      <c r="E7712" s="2" t="s">
        <v>820</v>
      </c>
    </row>
    <row r="7713" spans="1:6" x14ac:dyDescent="0.2">
      <c r="A7713">
        <v>7652</v>
      </c>
      <c r="B7713" s="1831">
        <f>'Rest Tax Levies-Tort Im 25'!J8</f>
        <v>0</v>
      </c>
      <c r="D7713" s="2" t="str">
        <f t="shared" si="126"/>
        <v>Error?</v>
      </c>
      <c r="E7713" s="2" t="s">
        <v>820</v>
      </c>
    </row>
    <row r="7714" spans="1:6" x14ac:dyDescent="0.2">
      <c r="A7714">
        <v>7653</v>
      </c>
      <c r="B7714" s="1831">
        <f>'Rest Tax Levies-Tort Im 25'!K9</f>
        <v>5087</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0</v>
      </c>
      <c r="D7718" s="2" t="str">
        <f t="shared" si="126"/>
        <v>Error?</v>
      </c>
      <c r="E7718" s="2" t="s">
        <v>820</v>
      </c>
    </row>
    <row r="7719" spans="1:6" x14ac:dyDescent="0.2">
      <c r="A7719">
        <v>7658</v>
      </c>
      <c r="B7719" s="1831">
        <f>'Rest Tax Levies-Tort Im 25'!K12</f>
        <v>6962</v>
      </c>
      <c r="D7719" s="2" t="str">
        <f t="shared" si="126"/>
        <v>Error?</v>
      </c>
      <c r="E7719" s="2" t="s">
        <v>820</v>
      </c>
    </row>
    <row r="7720" spans="1:6" x14ac:dyDescent="0.2">
      <c r="A7720">
        <v>7659</v>
      </c>
      <c r="B7720" s="1831">
        <f>'Rest Tax Levies-Tort Im 25'!H14</f>
        <v>20455</v>
      </c>
      <c r="D7720" s="2" t="str">
        <f t="shared" si="126"/>
        <v>Error?</v>
      </c>
      <c r="E7720" s="2" t="s">
        <v>820</v>
      </c>
    </row>
    <row r="7721" spans="1:6" x14ac:dyDescent="0.2">
      <c r="A7721">
        <v>7660</v>
      </c>
      <c r="B7721" s="1831">
        <f>'Rest Tax Levies-Tort Im 25'!K14</f>
        <v>6962</v>
      </c>
      <c r="D7721" s="2" t="str">
        <f t="shared" si="126"/>
        <v>Error?</v>
      </c>
      <c r="E7721" s="2" t="s">
        <v>820</v>
      </c>
    </row>
    <row r="7722" spans="1:6" x14ac:dyDescent="0.2">
      <c r="A7722">
        <v>7661</v>
      </c>
      <c r="B7722" s="1831">
        <f>'Rest Tax Levies-Tort Im 25'!J15</f>
        <v>0</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0</v>
      </c>
      <c r="D7730" s="2" t="str">
        <f t="shared" si="126"/>
        <v>Error?</v>
      </c>
      <c r="E7730" s="2" t="s">
        <v>820</v>
      </c>
    </row>
    <row r="7731" spans="1:6" x14ac:dyDescent="0.2">
      <c r="A7731">
        <v>7670</v>
      </c>
      <c r="B7731" s="1831">
        <f>'Revenues 9-14'!H103</f>
        <v>0</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1995</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6962</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244704</v>
      </c>
      <c r="D7817" s="2" t="str">
        <f t="shared" si="128"/>
        <v>Error?</v>
      </c>
      <c r="E7817" s="4" t="s">
        <v>1964</v>
      </c>
    </row>
    <row r="7818" spans="1:5" x14ac:dyDescent="0.2">
      <c r="A7818">
        <v>7757</v>
      </c>
      <c r="B7818" s="1831">
        <f>'PCTC-OEPP 27-28'!F172</f>
        <v>165054</v>
      </c>
      <c r="D7818" s="2" t="str">
        <f t="shared" si="128"/>
        <v>Error?</v>
      </c>
      <c r="E7818" s="4" t="s">
        <v>1978</v>
      </c>
    </row>
    <row r="7819" spans="1:5" x14ac:dyDescent="0.2">
      <c r="A7819">
        <v>7758</v>
      </c>
      <c r="B7819" s="1831">
        <f>'PCTC-OEPP 27-28'!F173</f>
        <v>0</v>
      </c>
      <c r="D7819" s="2" t="str">
        <f t="shared" si="128"/>
        <v>Error?</v>
      </c>
      <c r="E7819" s="4" t="s">
        <v>1978</v>
      </c>
    </row>
    <row r="7820" spans="1:5" x14ac:dyDescent="0.2">
      <c r="A7820">
        <v>7759</v>
      </c>
      <c r="B7820" s="1831">
        <f>'ICR Computation 30'!E40</f>
        <v>-149668</v>
      </c>
      <c r="D7820" s="2" t="str">
        <f t="shared" si="128"/>
        <v>Error?</v>
      </c>
    </row>
    <row r="7821" spans="1:5" x14ac:dyDescent="0.2">
      <c r="A7821">
        <v>7760</v>
      </c>
      <c r="B7821" s="1831">
        <f>'ICR Computation 30'!G40</f>
        <v>-149668</v>
      </c>
      <c r="D7821" s="2" t="str">
        <f t="shared" si="128"/>
        <v>Error?</v>
      </c>
    </row>
    <row r="7822" spans="1:5" x14ac:dyDescent="0.2">
      <c r="A7822" s="1">
        <v>7761</v>
      </c>
      <c r="B7822" s="1831">
        <f>'PCTC-OEPP 27-28'!F14</f>
        <v>5004735</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105945</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3829</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369501</v>
      </c>
      <c r="D7834" s="2" t="str">
        <f t="shared" si="129"/>
        <v>Error?</v>
      </c>
      <c r="E7834" s="4" t="s">
        <v>1996</v>
      </c>
    </row>
    <row r="7835" spans="1:5" x14ac:dyDescent="0.2">
      <c r="A7835">
        <v>7774</v>
      </c>
      <c r="B7835" s="1831">
        <f>'PCTC-OEPP 27-28'!F78</f>
        <v>4635234</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10314.272363150869</v>
      </c>
      <c r="D7837" s="2" t="str">
        <f t="shared" si="129"/>
        <v>Error?</v>
      </c>
      <c r="E7837" s="4" t="s">
        <v>1996</v>
      </c>
    </row>
    <row r="7838" spans="1:5" x14ac:dyDescent="0.2">
      <c r="A7838">
        <v>7777</v>
      </c>
      <c r="B7838" s="1831">
        <f>'PCTC-OEPP 27-28'!F96</f>
        <v>10783</v>
      </c>
      <c r="D7838" s="2" t="str">
        <f t="shared" si="129"/>
        <v>Error?</v>
      </c>
      <c r="E7838" s="4" t="s">
        <v>1996</v>
      </c>
    </row>
    <row r="7839" spans="1:5" x14ac:dyDescent="0.2">
      <c r="A7839">
        <v>7778</v>
      </c>
      <c r="B7839" s="1831">
        <f>'PCTC-OEPP 27-28'!F102</f>
        <v>6040</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31957</v>
      </c>
      <c r="D7842" s="2" t="str">
        <f t="shared" si="129"/>
        <v>Error?</v>
      </c>
      <c r="E7842" s="4" t="s">
        <v>1996</v>
      </c>
    </row>
    <row r="7843" spans="1:5" x14ac:dyDescent="0.2">
      <c r="A7843">
        <v>7782</v>
      </c>
      <c r="B7843" s="1831">
        <f>'PCTC-OEPP 27-28'!F107</f>
        <v>25406</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5087</v>
      </c>
      <c r="D7846" s="2" t="str">
        <f t="shared" si="129"/>
        <v>Error?</v>
      </c>
      <c r="E7846" s="4" t="s">
        <v>1996</v>
      </c>
    </row>
    <row r="7847" spans="1:5" x14ac:dyDescent="0.2">
      <c r="A7847">
        <v>7786</v>
      </c>
      <c r="B7847" s="1831">
        <f>'PCTC-OEPP 27-28'!F112</f>
        <v>290004</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1324</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13748</v>
      </c>
      <c r="D7857" s="2" t="str">
        <f t="shared" si="129"/>
        <v>Error?</v>
      </c>
      <c r="E7857" s="4" t="s">
        <v>1996</v>
      </c>
    </row>
    <row r="7858" spans="1:5" x14ac:dyDescent="0.2">
      <c r="A7858">
        <v>7797</v>
      </c>
      <c r="B7858" s="1831">
        <f>'PCTC-OEPP 27-28'!F126</f>
        <v>193501</v>
      </c>
      <c r="D7858" s="2" t="str">
        <f t="shared" si="129"/>
        <v>Error?</v>
      </c>
      <c r="E7858" s="4" t="s">
        <v>1996</v>
      </c>
    </row>
    <row r="7859" spans="1:5" x14ac:dyDescent="0.2">
      <c r="A7859">
        <v>7798</v>
      </c>
      <c r="B7859" s="1831">
        <f>'PCTC-OEPP 27-28'!F127</f>
        <v>223288</v>
      </c>
      <c r="D7859" s="2" t="str">
        <f t="shared" si="129"/>
        <v>Error?</v>
      </c>
      <c r="E7859" s="4" t="s">
        <v>1996</v>
      </c>
    </row>
    <row r="7860" spans="1:5" x14ac:dyDescent="0.2">
      <c r="A7860">
        <v>7799</v>
      </c>
      <c r="B7860" s="1831">
        <f>'PCTC-OEPP 27-28'!F128</f>
        <v>0</v>
      </c>
      <c r="D7860" s="2" t="str">
        <f t="shared" si="129"/>
        <v>Error?</v>
      </c>
      <c r="E7860" s="4" t="s">
        <v>1996</v>
      </c>
    </row>
    <row r="7861" spans="1:5" x14ac:dyDescent="0.2">
      <c r="A7861">
        <v>7800</v>
      </c>
      <c r="B7861" s="1831">
        <f>'PCTC-OEPP 27-28'!F129</f>
        <v>57770</v>
      </c>
      <c r="D7861" s="2" t="str">
        <f t="shared" si="129"/>
        <v>Error?</v>
      </c>
      <c r="E7861" s="4" t="s">
        <v>1996</v>
      </c>
    </row>
    <row r="7862" spans="1:5" x14ac:dyDescent="0.2">
      <c r="A7862">
        <v>7801</v>
      </c>
      <c r="B7862" s="1831">
        <f>'PCTC-OEPP 27-28'!F130</f>
        <v>0</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27079</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3982</v>
      </c>
      <c r="D7874" s="2" t="str">
        <f t="shared" si="129"/>
        <v>Error?</v>
      </c>
      <c r="E7874" s="4" t="s">
        <v>1996</v>
      </c>
    </row>
    <row r="7875" spans="1:5" x14ac:dyDescent="0.2">
      <c r="A7875">
        <v>7814</v>
      </c>
      <c r="B7875" s="1831">
        <f>'PCTC-OEPP 27-28'!F170</f>
        <v>17115</v>
      </c>
      <c r="D7875" s="2" t="str">
        <f t="shared" si="129"/>
        <v>Error?</v>
      </c>
      <c r="E7875" s="4" t="s">
        <v>1996</v>
      </c>
    </row>
    <row r="7876" spans="1:5" x14ac:dyDescent="0.2">
      <c r="A7876">
        <v>7815</v>
      </c>
      <c r="B7876" s="1831">
        <f>'PCTC-OEPP 27-28'!F171</f>
        <v>0</v>
      </c>
      <c r="D7876" s="2" t="str">
        <f t="shared" si="129"/>
        <v>Error?</v>
      </c>
      <c r="E7876" s="4" t="s">
        <v>1996</v>
      </c>
    </row>
    <row r="7877" spans="1:5" x14ac:dyDescent="0.2">
      <c r="A7877">
        <v>7816</v>
      </c>
      <c r="B7877" s="1831">
        <f>'PCTC-OEPP 27-28'!F175</f>
        <v>1183543</v>
      </c>
      <c r="D7877" s="2" t="str">
        <f t="shared" si="129"/>
        <v>Error?</v>
      </c>
      <c r="E7877" s="4" t="s">
        <v>1996</v>
      </c>
    </row>
    <row r="7878" spans="1:5" x14ac:dyDescent="0.2">
      <c r="A7878">
        <v>7817</v>
      </c>
      <c r="B7878" s="1831">
        <f>'PCTC-OEPP 27-28'!F176</f>
        <v>3451691</v>
      </c>
      <c r="D7878" s="2" t="str">
        <f t="shared" si="129"/>
        <v>Error?</v>
      </c>
      <c r="E7878" s="4" t="s">
        <v>1996</v>
      </c>
    </row>
    <row r="7879" spans="1:5" x14ac:dyDescent="0.2">
      <c r="A7879">
        <v>7818</v>
      </c>
      <c r="B7879" s="1831">
        <f>'PCTC-OEPP 27-28'!F178</f>
        <v>3559120</v>
      </c>
      <c r="D7879" s="2" t="str">
        <f t="shared" si="129"/>
        <v>Error?</v>
      </c>
      <c r="E7879" s="4" t="s">
        <v>1996</v>
      </c>
    </row>
    <row r="7880" spans="1:5" x14ac:dyDescent="0.2">
      <c r="A7880">
        <v>7819</v>
      </c>
      <c r="B7880" s="1831">
        <f>'PCTC-OEPP 27-28'!F180</f>
        <v>7919.7151757899428</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1179</v>
      </c>
      <c r="B2" s="2511"/>
      <c r="C2" s="2511"/>
      <c r="D2" s="2511"/>
      <c r="E2" s="2511"/>
      <c r="F2" s="2511"/>
      <c r="G2" s="2511"/>
      <c r="H2" s="2511"/>
      <c r="I2" s="2511"/>
      <c r="J2" s="2511"/>
      <c r="K2" s="2511"/>
      <c r="L2" s="2511"/>
    </row>
    <row r="3" spans="1:29" ht="13.5" customHeight="1" x14ac:dyDescent="0.2">
      <c r="A3" s="2543" t="s">
        <v>1178</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34" t="str">
        <f>COVER!A17</f>
        <v xml:space="preserve">  Pope County CUSD 1</v>
      </c>
      <c r="B7" s="2535"/>
      <c r="C7" s="2535"/>
      <c r="D7" s="2536"/>
      <c r="E7" s="2537">
        <f>COVER!A13</f>
        <v>20076001026</v>
      </c>
      <c r="F7" s="2538"/>
      <c r="G7" s="2544" t="str">
        <f>COVER!T23</f>
        <v>065.033282</v>
      </c>
      <c r="H7" s="2545"/>
      <c r="I7" s="2545"/>
      <c r="J7" s="2545"/>
      <c r="K7" s="2545"/>
      <c r="L7" s="2546"/>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47"/>
      <c r="B9" s="2548"/>
      <c r="C9" s="2548"/>
      <c r="D9" s="2548"/>
      <c r="E9" s="2548"/>
      <c r="F9" s="2549"/>
      <c r="G9" s="2517" t="str">
        <f>COVER!T13</f>
        <v>Greg M. McCalley &amp; Associates, PC</v>
      </c>
      <c r="H9" s="2550"/>
      <c r="I9" s="2550"/>
      <c r="J9" s="2550"/>
      <c r="K9" s="2550"/>
      <c r="L9" s="2551"/>
    </row>
    <row r="10" spans="1:29" ht="13.5" customHeight="1" x14ac:dyDescent="0.2">
      <c r="A10" s="2523" t="str">
        <f>COVER!A38</f>
        <v>Ryan Fritch</v>
      </c>
      <c r="B10" s="2524"/>
      <c r="C10" s="2524"/>
      <c r="D10" s="2524"/>
      <c r="E10" s="2524"/>
      <c r="F10" s="2525"/>
      <c r="G10" s="2517" t="str">
        <f>COVER!T17</f>
        <v>855 E. Ferguson Avenue</v>
      </c>
      <c r="H10" s="2518"/>
      <c r="I10" s="2518"/>
      <c r="J10" s="2518"/>
      <c r="K10" s="2518"/>
      <c r="L10" s="2519"/>
    </row>
    <row r="11" spans="1:29" ht="13.5" customHeight="1" x14ac:dyDescent="0.2">
      <c r="A11" s="962" t="s">
        <v>1500</v>
      </c>
      <c r="B11" s="963"/>
      <c r="C11" s="964"/>
      <c r="D11" s="969"/>
      <c r="E11" s="964"/>
      <c r="F11" s="968"/>
      <c r="G11" s="2517" t="str">
        <f>COVER!T19</f>
        <v>Wood River</v>
      </c>
      <c r="H11" s="2518"/>
      <c r="I11" s="2518"/>
      <c r="J11" s="2518"/>
      <c r="K11" s="2518"/>
      <c r="L11" s="2519"/>
    </row>
    <row r="12" spans="1:29" ht="13.5" customHeight="1" x14ac:dyDescent="0.2">
      <c r="A12" s="2526" t="s">
        <v>1499</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1501</v>
      </c>
      <c r="H13" s="2513"/>
      <c r="I13" s="2529" t="str">
        <f>COVER!T25</f>
        <v>greg@dmacpa.com</v>
      </c>
      <c r="J13" s="2530"/>
      <c r="K13" s="2530"/>
      <c r="L13" s="2531"/>
    </row>
    <row r="14" spans="1:29" ht="13.5" customHeight="1" x14ac:dyDescent="0.2">
      <c r="A14" s="2517" t="str">
        <f>COVER!A19</f>
        <v>125 State Highway 146W</v>
      </c>
      <c r="B14" s="2518"/>
      <c r="C14" s="2518"/>
      <c r="D14" s="2518"/>
      <c r="E14" s="2518"/>
      <c r="F14" s="2519"/>
      <c r="G14" s="973" t="s">
        <v>1173</v>
      </c>
      <c r="H14" s="971"/>
      <c r="I14" s="971"/>
      <c r="J14" s="971"/>
      <c r="K14" s="971"/>
      <c r="L14" s="972"/>
    </row>
    <row r="15" spans="1:29" ht="13.5" customHeight="1" x14ac:dyDescent="0.2">
      <c r="A15" s="2517" t="str">
        <f>COVER!A21</f>
        <v>Golconda</v>
      </c>
      <c r="B15" s="2518"/>
      <c r="C15" s="2518"/>
      <c r="D15" s="2518"/>
      <c r="E15" s="2518"/>
      <c r="F15" s="2519"/>
      <c r="G15" s="2514" t="str">
        <f>COVER!T15</f>
        <v>Robert J. Tolliver</v>
      </c>
      <c r="H15" s="2515"/>
      <c r="I15" s="2515"/>
      <c r="J15" s="2515"/>
      <c r="K15" s="2515"/>
      <c r="L15" s="2516"/>
    </row>
    <row r="16" spans="1:29" ht="12.2" customHeight="1" x14ac:dyDescent="0.2">
      <c r="A16" s="2540">
        <f>COVER!A25</f>
        <v>62928</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1172</v>
      </c>
      <c r="H17" s="971"/>
      <c r="I17" s="971"/>
      <c r="J17" s="971"/>
      <c r="K17" s="975" t="s">
        <v>1171</v>
      </c>
      <c r="L17" s="968"/>
      <c r="M17" s="961"/>
    </row>
    <row r="18" spans="1:13" ht="12.2" customHeight="1" x14ac:dyDescent="0.2">
      <c r="A18" s="2523"/>
      <c r="B18" s="2524"/>
      <c r="C18" s="2524"/>
      <c r="D18" s="2524"/>
      <c r="E18" s="2524"/>
      <c r="F18" s="2525"/>
      <c r="G18" s="2534" t="str">
        <f>COVER!T21</f>
        <v>618-254-8188</v>
      </c>
      <c r="H18" s="2535"/>
      <c r="I18" s="2535"/>
      <c r="J18" s="2535"/>
      <c r="K18" s="2534" t="str">
        <f>COVER!X21</f>
        <v>618-254-8680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1675</v>
      </c>
    </row>
    <row r="27" spans="1:13" s="976" customFormat="1" ht="9" customHeight="1" x14ac:dyDescent="0.2">
      <c r="B27" s="981"/>
      <c r="C27" s="980"/>
    </row>
    <row r="28" spans="1:13" s="976" customFormat="1" ht="12.2" customHeight="1" x14ac:dyDescent="0.2">
      <c r="A28" s="983"/>
      <c r="B28" s="979"/>
      <c r="C28" s="980" t="s">
        <v>1676</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Pope County CUSD 1</v>
      </c>
      <c r="B1" s="2557"/>
      <c r="C1" s="2557"/>
      <c r="D1" s="2557"/>
    </row>
    <row r="2" spans="1:11" s="990" customFormat="1" ht="12.75" x14ac:dyDescent="0.2">
      <c r="A2" s="2558">
        <f>'Single Audit Cover'!E7</f>
        <v>20076001026</v>
      </c>
      <c r="B2" s="2559"/>
      <c r="C2" s="2559"/>
      <c r="D2" s="2559"/>
    </row>
    <row r="3" spans="1:11" s="990" customFormat="1" ht="12.75" x14ac:dyDescent="0.2">
      <c r="A3" s="2556" t="s">
        <v>1494</v>
      </c>
      <c r="B3" s="2557"/>
      <c r="C3" s="2557"/>
      <c r="D3" s="2557"/>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1967</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Pope County CUSD 1</v>
      </c>
      <c r="B1" s="2561"/>
      <c r="C1" s="2561"/>
      <c r="D1" s="2561"/>
      <c r="E1" s="2561"/>
    </row>
    <row r="2" spans="1:5" x14ac:dyDescent="0.2">
      <c r="A2" s="2562">
        <f>'Single Audit Cover'!E7</f>
        <v>20076001026</v>
      </c>
      <c r="B2" s="2562"/>
      <c r="C2" s="2562"/>
      <c r="D2" s="2562"/>
      <c r="E2" s="2562"/>
    </row>
    <row r="3" spans="1:5" ht="4.5" customHeight="1" x14ac:dyDescent="0.2"/>
    <row r="4" spans="1:5" x14ac:dyDescent="0.2">
      <c r="A4" s="2561" t="s">
        <v>1232</v>
      </c>
      <c r="B4" s="2561"/>
      <c r="C4" s="2561"/>
      <c r="D4" s="2561"/>
      <c r="E4" s="2561"/>
    </row>
    <row r="5" spans="1:5" x14ac:dyDescent="0.2">
      <c r="A5" s="2564" t="str">
        <f>'Single Audit Cover'!A4</f>
        <v>Year Ending June 30, 2020</v>
      </c>
      <c r="B5" s="2564"/>
      <c r="C5" s="2564"/>
      <c r="D5" s="2564"/>
      <c r="E5" s="2564"/>
    </row>
    <row r="6" spans="1:5" x14ac:dyDescent="0.2">
      <c r="A6" s="2561" t="s">
        <v>1231</v>
      </c>
      <c r="B6" s="2561"/>
      <c r="C6" s="2561"/>
      <c r="D6" s="2561"/>
      <c r="E6" s="2561"/>
    </row>
    <row r="8" spans="1:5" x14ac:dyDescent="0.2">
      <c r="A8" s="1035" t="s">
        <v>1230</v>
      </c>
    </row>
    <row r="10" spans="1:5" x14ac:dyDescent="0.2">
      <c r="A10" s="1036" t="s">
        <v>1229</v>
      </c>
      <c r="B10" s="1037" t="s">
        <v>1228</v>
      </c>
      <c r="C10" s="1037"/>
      <c r="D10" s="1038">
        <f>SUM('Acct Summary 7-8'!C7:K7)</f>
        <v>539342</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2002</v>
      </c>
      <c r="B14" s="1037"/>
      <c r="C14" s="1037"/>
      <c r="D14" s="1039">
        <f>'ICR Computation 30'!E11</f>
        <v>20713</v>
      </c>
    </row>
    <row r="15" spans="1:5" x14ac:dyDescent="0.2">
      <c r="A15" s="1036"/>
      <c r="B15" s="1037"/>
      <c r="C15" s="1037"/>
    </row>
    <row r="16" spans="1:5" x14ac:dyDescent="0.2">
      <c r="A16" s="1036" t="s">
        <v>1813</v>
      </c>
      <c r="B16" s="1037"/>
      <c r="C16" s="1037"/>
    </row>
    <row r="17" spans="1:4" x14ac:dyDescent="0.2">
      <c r="A17" s="1036" t="s">
        <v>1962</v>
      </c>
      <c r="B17" s="1037" t="s">
        <v>1223</v>
      </c>
      <c r="C17" s="1037"/>
      <c r="D17" s="1039">
        <f>-SUM('Revenues 9-14'!C264:D264,'Revenues 9-14'!F264:G264)</f>
        <v>-17115</v>
      </c>
    </row>
    <row r="19" spans="1:4" ht="13.5" thickBot="1" x14ac:dyDescent="0.25">
      <c r="A19" s="1040" t="s">
        <v>1222</v>
      </c>
      <c r="D19" s="1041">
        <f>SUM(D10:D17)</f>
        <v>542940</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1220</v>
      </c>
      <c r="D32" s="1038">
        <f>SUM(D19:D30)</f>
        <v>542940</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1214</v>
      </c>
      <c r="C47" s="1047"/>
      <c r="D47" s="1048">
        <f>SUM(D35:D45)</f>
        <v>0</v>
      </c>
    </row>
    <row r="49" spans="2:4" x14ac:dyDescent="0.2">
      <c r="B49" s="1047" t="s">
        <v>1213</v>
      </c>
      <c r="C49" s="1047"/>
      <c r="D49" s="1048">
        <f>D32-D47</f>
        <v>542940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Pope County CUSD 1</v>
      </c>
      <c r="C1" s="2565"/>
      <c r="D1" s="2565"/>
      <c r="E1" s="2565"/>
      <c r="F1" s="2565"/>
      <c r="G1" s="2565"/>
      <c r="H1" s="2565"/>
      <c r="I1" s="2565"/>
      <c r="J1" s="2565"/>
      <c r="K1" s="2565"/>
      <c r="L1" s="2565"/>
      <c r="M1" s="2565"/>
    </row>
    <row r="2" spans="2:14" ht="15" x14ac:dyDescent="0.2">
      <c r="B2" s="2566">
        <f>'Single Audit Cover'!E7</f>
        <v>20076001026</v>
      </c>
      <c r="C2" s="2566"/>
      <c r="D2" s="2566"/>
      <c r="E2" s="2566"/>
      <c r="F2" s="2566"/>
      <c r="G2" s="2566"/>
      <c r="H2" s="2566"/>
      <c r="I2" s="2566"/>
      <c r="J2" s="2566"/>
      <c r="K2" s="2566"/>
      <c r="L2" s="2566"/>
      <c r="M2" s="2566"/>
      <c r="N2" s="1077"/>
    </row>
    <row r="3" spans="2:14" ht="15" x14ac:dyDescent="0.2">
      <c r="B3" s="2567" t="s">
        <v>1206</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4"/>
      <c r="J5" s="1914"/>
    </row>
    <row r="6" spans="2:14" x14ac:dyDescent="0.2">
      <c r="B6" s="1078"/>
      <c r="C6" s="1079"/>
      <c r="D6" s="1080" t="s">
        <v>1252</v>
      </c>
      <c r="E6" s="1081" t="s">
        <v>522</v>
      </c>
      <c r="F6" s="1082"/>
      <c r="G6" s="1083" t="s">
        <v>1709</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1710</v>
      </c>
      <c r="D9" s="1089" t="s">
        <v>1711</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1157</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1565</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1566</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1567</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Pope County CUSD 1</v>
      </c>
      <c r="B1" s="2578"/>
      <c r="C1" s="2578"/>
      <c r="D1" s="2578"/>
      <c r="E1" s="2578"/>
      <c r="F1" s="2578"/>
    </row>
    <row r="2" spans="1:7" ht="13.5" customHeight="1" x14ac:dyDescent="0.2">
      <c r="A2" s="2566">
        <f>'Single Audit Cover'!E7</f>
        <v>20076001026</v>
      </c>
      <c r="B2" s="2566"/>
      <c r="C2" s="2566"/>
      <c r="D2" s="2566"/>
      <c r="E2" s="2566"/>
      <c r="F2" s="2566"/>
      <c r="G2" s="1050"/>
    </row>
    <row r="3" spans="1:7" ht="15.75" customHeight="1" x14ac:dyDescent="0.2">
      <c r="A3" s="2579" t="s">
        <v>1258</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1" t="s">
        <v>1703</v>
      </c>
      <c r="C6" s="295"/>
      <c r="D6" s="295"/>
    </row>
    <row r="7" spans="1:7" ht="60.95" customHeight="1" x14ac:dyDescent="0.2">
      <c r="A7" s="2577" t="s">
        <v>1704</v>
      </c>
      <c r="B7" s="2577"/>
      <c r="C7" s="2577"/>
      <c r="D7" s="2577"/>
      <c r="E7" s="2577"/>
      <c r="F7" s="2577"/>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1528</v>
      </c>
      <c r="B10" s="1055"/>
      <c r="C10" s="1056"/>
      <c r="D10" s="1055" t="s">
        <v>1529</v>
      </c>
      <c r="E10" s="1056"/>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77" t="s">
        <v>1706</v>
      </c>
      <c r="B13" s="2577"/>
      <c r="C13" s="2577"/>
      <c r="D13" s="2577"/>
      <c r="E13" s="2577"/>
      <c r="F13" s="2577"/>
    </row>
    <row r="14" spans="1:7" ht="9.75" customHeight="1" x14ac:dyDescent="0.2">
      <c r="C14" s="1035"/>
      <c r="D14" s="1035"/>
    </row>
    <row r="15" spans="1:7" ht="13.5" customHeight="1" x14ac:dyDescent="0.2">
      <c r="C15" s="1475" t="s">
        <v>1257</v>
      </c>
      <c r="D15" s="2575" t="s">
        <v>1256</v>
      </c>
      <c r="E15" s="2575"/>
      <c r="F15" s="2575"/>
    </row>
    <row r="16" spans="1:7" ht="13.5" customHeight="1" x14ac:dyDescent="0.2">
      <c r="A16" s="1057"/>
      <c r="B16" s="1051" t="s">
        <v>1255</v>
      </c>
      <c r="C16" s="1475" t="s">
        <v>1254</v>
      </c>
      <c r="D16" s="2576" t="s">
        <v>1569</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71" t="s">
        <v>1707</v>
      </c>
      <c r="B32" s="2571"/>
      <c r="C32" s="2571"/>
      <c r="D32" s="2571"/>
      <c r="E32" s="2571"/>
      <c r="F32" s="2571"/>
    </row>
    <row r="33" spans="1:6" ht="13.5" customHeight="1" x14ac:dyDescent="0.2">
      <c r="A33" s="306" t="s">
        <v>1415</v>
      </c>
      <c r="B33" s="306"/>
      <c r="C33" s="1063">
        <v>0</v>
      </c>
      <c r="D33" s="1525"/>
      <c r="E33" s="1061"/>
    </row>
    <row r="34" spans="1:6" ht="13.5" customHeight="1" x14ac:dyDescent="0.2">
      <c r="A34" s="306" t="s">
        <v>1809</v>
      </c>
      <c r="B34" s="306"/>
      <c r="C34" s="1064">
        <v>0</v>
      </c>
      <c r="D34" s="1525" t="s">
        <v>1570</v>
      </c>
      <c r="E34" s="2572">
        <f>+C33+C34</f>
        <v>0</v>
      </c>
      <c r="F34" s="2573"/>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c r="D38" s="1525"/>
      <c r="E38" s="1061"/>
    </row>
    <row r="39" spans="1:6" ht="14.25" customHeight="1" x14ac:dyDescent="0.2">
      <c r="A39" s="306"/>
      <c r="B39" s="306" t="s">
        <v>1417</v>
      </c>
      <c r="C39" s="1067"/>
      <c r="D39" s="1525"/>
      <c r="E39" s="1061"/>
    </row>
    <row r="40" spans="1:6" ht="14.25" customHeight="1" x14ac:dyDescent="0.2">
      <c r="A40" s="306"/>
      <c r="B40" s="306" t="s">
        <v>1418</v>
      </c>
      <c r="C40" s="1067"/>
      <c r="D40" s="1525"/>
      <c r="E40" s="1061"/>
    </row>
    <row r="41" spans="1:6" ht="14.25" customHeight="1" x14ac:dyDescent="0.2">
      <c r="A41" s="306"/>
      <c r="B41" s="306" t="s">
        <v>1419</v>
      </c>
      <c r="C41" s="1067"/>
      <c r="D41" s="1525"/>
      <c r="E41" s="1061"/>
    </row>
    <row r="42" spans="1:6" ht="14.25" customHeight="1" x14ac:dyDescent="0.2">
      <c r="A42" s="306" t="s">
        <v>1420</v>
      </c>
      <c r="B42" s="306"/>
      <c r="C42" s="1523"/>
      <c r="D42" s="1525"/>
      <c r="E42" s="1061"/>
    </row>
    <row r="43" spans="1:6" ht="14.25" customHeight="1" x14ac:dyDescent="0.2">
      <c r="A43" s="306" t="s">
        <v>1421</v>
      </c>
      <c r="B43" s="306"/>
      <c r="C43" s="1068"/>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1708</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4" t="s">
        <v>1571</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1532</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1156</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67" t="s">
        <v>1614</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308</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1310</v>
      </c>
      <c r="B70" s="2170"/>
      <c r="C70" s="2170"/>
      <c r="D70" s="2170"/>
      <c r="E70" s="2171"/>
      <c r="F70" s="2171"/>
      <c r="G70" s="2171"/>
      <c r="H70" s="2171"/>
      <c r="I70" s="2171"/>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1307</v>
      </c>
      <c r="B83" s="2172"/>
      <c r="C83" s="2172"/>
      <c r="D83" s="2173"/>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3" t="s">
        <v>1987</v>
      </c>
      <c r="B85" s="2183"/>
      <c r="C85" s="2183"/>
      <c r="D85" s="2184"/>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185" t="s">
        <v>1987</v>
      </c>
      <c r="B88" s="2186"/>
      <c r="C88" s="2186"/>
      <c r="D88" s="2187"/>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2050</v>
      </c>
      <c r="D114" s="2163"/>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1317</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78" orientation="portrait" useFirstPageNumber="1" r:id="rId1"/>
  <headerFooter differentOddEven="1" alignWithMargins="0">
    <oddHeader xml:space="preserve">&amp;C </oddHeader>
    <oddFooter>&amp;C&amp;11&amp;P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Pope County CUSD 1</v>
      </c>
      <c r="C1" s="2593"/>
      <c r="D1" s="2593"/>
      <c r="E1" s="2593"/>
      <c r="F1" s="2593"/>
      <c r="G1" s="2593"/>
      <c r="H1" s="2593"/>
      <c r="I1" s="2593"/>
      <c r="J1" s="1177"/>
    </row>
    <row r="2" spans="2:10" s="295" customFormat="1" ht="12.75" customHeight="1" x14ac:dyDescent="0.2">
      <c r="B2" s="2594">
        <f>'Single Audit Cover'!E7</f>
        <v>20076001026</v>
      </c>
      <c r="C2" s="2595"/>
      <c r="D2" s="2595"/>
      <c r="E2" s="2595"/>
      <c r="F2" s="2595"/>
      <c r="G2" s="2595"/>
      <c r="H2" s="2595"/>
      <c r="I2" s="2595"/>
      <c r="J2" s="1177"/>
    </row>
    <row r="3" spans="2:10" s="295" customFormat="1" ht="12.75" customHeight="1" x14ac:dyDescent="0.2">
      <c r="B3" s="2596" t="s">
        <v>1272</v>
      </c>
      <c r="C3" s="2597"/>
      <c r="D3" s="2597"/>
      <c r="E3" s="2597"/>
      <c r="F3" s="2597"/>
      <c r="G3" s="2597"/>
      <c r="H3" s="2597"/>
      <c r="I3" s="2597"/>
      <c r="J3" s="1178"/>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6" t="s">
        <v>1271</v>
      </c>
      <c r="C7" s="2597"/>
      <c r="D7" s="2597"/>
      <c r="E7" s="2597"/>
      <c r="F7" s="2597"/>
      <c r="G7" s="2597"/>
      <c r="H7" s="2597"/>
      <c r="I7" s="2597"/>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98"/>
      <c r="D11" s="2598"/>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599"/>
      <c r="E29" s="2599"/>
      <c r="F29" s="2599"/>
      <c r="G29" s="2599"/>
      <c r="H29" s="2599"/>
      <c r="I29" s="2599"/>
    </row>
    <row r="30" spans="2:9" s="295" customFormat="1" x14ac:dyDescent="0.2">
      <c r="B30" s="1137"/>
      <c r="C30" s="300"/>
      <c r="D30" s="1188" t="s">
        <v>1723</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600" t="s">
        <v>1726</v>
      </c>
      <c r="D37" s="2601"/>
      <c r="E37" s="2601"/>
      <c r="F37" s="2602"/>
      <c r="G37" s="2600" t="s">
        <v>1573</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1574</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0"/>
      <c r="D46" s="1201"/>
      <c r="E46" s="1202"/>
    </row>
    <row r="47" spans="2:9" ht="12.75" customHeight="1" x14ac:dyDescent="0.2">
      <c r="B47" s="1075" t="s">
        <v>1575</v>
      </c>
      <c r="C47" s="1075"/>
      <c r="D47" s="1203" t="e">
        <f>+G43/D45</f>
        <v>#DIV/0!</v>
      </c>
      <c r="E47" s="1204"/>
      <c r="F47" s="1205"/>
      <c r="I47" s="1206"/>
    </row>
    <row r="48" spans="2:9" ht="9.9499999999999993" customHeight="1" x14ac:dyDescent="0.2"/>
    <row r="49" spans="1:9" x14ac:dyDescent="0.2">
      <c r="B49" s="1137" t="s">
        <v>1260</v>
      </c>
      <c r="C49" s="1057"/>
      <c r="D49" s="1057"/>
      <c r="E49" s="2587"/>
      <c r="F49" s="2587"/>
      <c r="G49" s="2587"/>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1578</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Pope County CUSD 1</v>
      </c>
      <c r="C1" s="2592"/>
      <c r="D1" s="2592"/>
      <c r="E1" s="2592"/>
      <c r="F1" s="2592"/>
      <c r="G1" s="2592"/>
      <c r="H1" s="2592"/>
      <c r="I1" s="2592"/>
      <c r="J1" s="2592"/>
      <c r="K1" s="2592"/>
      <c r="L1" s="1143"/>
      <c r="M1" s="1143"/>
    </row>
    <row r="2" spans="1:13" ht="12" customHeight="1" x14ac:dyDescent="0.2">
      <c r="B2" s="2594">
        <f>'Single Audit Cover'!E7</f>
        <v>20076001026</v>
      </c>
      <c r="C2" s="2594"/>
      <c r="D2" s="2594"/>
      <c r="E2" s="2594"/>
      <c r="F2" s="2594"/>
      <c r="G2" s="2594"/>
      <c r="H2" s="2594"/>
      <c r="I2" s="2594"/>
      <c r="J2" s="2594"/>
      <c r="K2" s="2594"/>
      <c r="L2" s="1144"/>
      <c r="M2" s="1145"/>
    </row>
    <row r="3" spans="1:13" ht="10.35" customHeight="1" x14ac:dyDescent="0.2">
      <c r="B3" s="2608" t="s">
        <v>1272</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1283</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918" t="str">
        <f>'AFR20'!$E$2&amp;"-"</f>
        <v>2020-</v>
      </c>
      <c r="D10" s="1154"/>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1719</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300"/>
      <c r="E35" s="300"/>
      <c r="F35" s="300"/>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1273</v>
      </c>
      <c r="C39" s="1075"/>
      <c r="M39" s="1176"/>
    </row>
    <row r="40" spans="1:13" ht="12.6" customHeight="1" x14ac:dyDescent="0.2">
      <c r="B40" s="1175" t="s">
        <v>1722</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Pope County CUSD 1</v>
      </c>
      <c r="C1" s="2615"/>
      <c r="D1" s="2615"/>
      <c r="E1" s="2615"/>
      <c r="F1" s="2615"/>
      <c r="G1" s="2615"/>
      <c r="H1" s="2615"/>
      <c r="I1" s="2615"/>
      <c r="J1" s="2615"/>
      <c r="K1" s="2615"/>
      <c r="L1" s="1220"/>
    </row>
    <row r="2" spans="1:12" ht="12.75" customHeight="1" x14ac:dyDescent="0.2">
      <c r="B2" s="2616">
        <f>'Single Audit Cover'!E7</f>
        <v>20076001026</v>
      </c>
      <c r="C2" s="2616"/>
      <c r="D2" s="2616"/>
      <c r="E2" s="2616"/>
      <c r="F2" s="2616"/>
      <c r="G2" s="2616"/>
      <c r="H2" s="2616"/>
      <c r="I2" s="2616"/>
      <c r="J2" s="2616"/>
      <c r="K2" s="2616"/>
      <c r="L2" s="1221"/>
    </row>
    <row r="3" spans="1:12" ht="12.75" customHeight="1" x14ac:dyDescent="0.2">
      <c r="B3" s="2608" t="s">
        <v>1272</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1157</v>
      </c>
      <c r="C5" s="1035"/>
      <c r="L5" s="300"/>
    </row>
    <row r="6" spans="1:12" ht="30.75" customHeight="1" x14ac:dyDescent="0.2">
      <c r="A6" s="300"/>
      <c r="B6" s="2617" t="s">
        <v>1295</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1731</v>
      </c>
      <c r="C8" s="1918"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599"/>
      <c r="G12" s="2599"/>
      <c r="H12" s="2599"/>
      <c r="I12" s="2599"/>
      <c r="J12" s="2599"/>
      <c r="K12" s="2599"/>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12"/>
      <c r="E14" s="2612"/>
      <c r="F14" s="2612"/>
      <c r="H14" s="1229" t="s">
        <v>1290</v>
      </c>
      <c r="I14" s="2613"/>
      <c r="J14" s="2613"/>
      <c r="K14" s="2613"/>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13"/>
      <c r="E16" s="2613"/>
      <c r="F16" s="2613"/>
      <c r="G16" s="2613"/>
      <c r="H16" s="2613"/>
      <c r="I16" s="2613"/>
      <c r="J16" s="2613"/>
      <c r="K16" s="2613"/>
      <c r="L16" s="300"/>
    </row>
    <row r="17" spans="2:12" ht="13.5" customHeight="1" x14ac:dyDescent="0.2">
      <c r="B17" s="1155" t="s">
        <v>1288</v>
      </c>
      <c r="C17" s="1155"/>
      <c r="D17" s="2614"/>
      <c r="E17" s="2614"/>
      <c r="F17" s="2614"/>
      <c r="G17" s="2614"/>
      <c r="H17" s="2614"/>
      <c r="I17" s="2614"/>
      <c r="J17" s="2614"/>
      <c r="K17" s="261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1733</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1734</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1735</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300"/>
      <c r="E44" s="300"/>
      <c r="F44" s="300"/>
    </row>
    <row r="45" spans="2:12" ht="10.5" customHeight="1" x14ac:dyDescent="0.2">
      <c r="B45" s="1175" t="s">
        <v>1737</v>
      </c>
      <c r="C45" s="1175"/>
      <c r="G45" s="295"/>
      <c r="I45" s="295"/>
    </row>
    <row r="46" spans="2:12" ht="11.1" customHeight="1" x14ac:dyDescent="0.2">
      <c r="B46" s="1175" t="s">
        <v>1738</v>
      </c>
      <c r="C46" s="1175"/>
      <c r="G46" s="295"/>
      <c r="I46" s="295"/>
    </row>
    <row r="47" spans="2:12" ht="11.1" customHeight="1" x14ac:dyDescent="0.2">
      <c r="B47" s="1175" t="s">
        <v>1739</v>
      </c>
      <c r="C47" s="1175"/>
      <c r="G47" s="295"/>
      <c r="I47" s="295"/>
    </row>
    <row r="48" spans="2:12" ht="11.1" customHeight="1" x14ac:dyDescent="0.2">
      <c r="B48" s="1175" t="s">
        <v>1740</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Pope County CUSD 1</v>
      </c>
      <c r="C1" s="2592"/>
      <c r="D1" s="2592"/>
      <c r="E1" s="1239"/>
    </row>
    <row r="2" spans="2:5" s="1057" customFormat="1" ht="12.75" customHeight="1" x14ac:dyDescent="0.2">
      <c r="B2" s="2594">
        <f>'Single Audit Cover'!E7</f>
        <v>20076001026</v>
      </c>
      <c r="C2" s="2594"/>
      <c r="D2" s="2594"/>
      <c r="E2" s="1240"/>
    </row>
    <row r="3" spans="2:5" ht="12.75" customHeight="1" x14ac:dyDescent="0.2">
      <c r="B3" s="2608" t="s">
        <v>1741</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1742</v>
      </c>
      <c r="C5" s="306"/>
      <c r="D5" s="306"/>
      <c r="E5" s="306"/>
    </row>
    <row r="6" spans="2:5" s="1057" customFormat="1" ht="13.5" customHeight="1" x14ac:dyDescent="0.2">
      <c r="B6" s="1243" t="s">
        <v>1302</v>
      </c>
      <c r="C6" s="1243" t="s">
        <v>1301</v>
      </c>
      <c r="D6" s="1243" t="s">
        <v>1743</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1744</v>
      </c>
    </row>
    <row r="46" spans="2:5" ht="12.2" customHeight="1" x14ac:dyDescent="0.2">
      <c r="B46" s="1253" t="s">
        <v>1745</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381</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54435739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1.7950600000000001E-2</v>
      </c>
      <c r="E10" s="333" t="s">
        <v>996</v>
      </c>
      <c r="F10" s="332">
        <v>4.8779000000000001E-3</v>
      </c>
      <c r="G10" s="333" t="s">
        <v>996</v>
      </c>
      <c r="H10" s="332">
        <v>1.9511000000000001E-3</v>
      </c>
      <c r="I10" s="333" t="s">
        <v>997</v>
      </c>
      <c r="J10" s="1423">
        <f>ROUND(D10+F10+H10,5)</f>
        <v>2.478E-2</v>
      </c>
      <c r="K10" s="217"/>
      <c r="L10" s="332">
        <v>4.8779999999999998E-4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4950052</v>
      </c>
      <c r="E16" s="1546"/>
      <c r="F16" s="1545">
        <f>SUM('Acct Summary 7-8'!C17,'Acct Summary 7-8'!D17,'Acct Summary 7-8'!F17)</f>
        <v>4668742</v>
      </c>
      <c r="G16" s="1546"/>
      <c r="H16" s="1545">
        <f>SUM(D16-F16)</f>
        <v>281310</v>
      </c>
      <c r="I16" s="1547"/>
      <c r="J16" s="1545">
        <f>SUM('Acct Summary 7-8'!C81,'Acct Summary 7-8'!D81,'Acct Summary 7-8'!F81,'Acct Summary 7-8'!I81)</f>
        <v>2694596</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7512131.9820000008</v>
      </c>
      <c r="I31" s="345"/>
      <c r="J31" s="217"/>
      <c r="K31" s="217"/>
      <c r="L31" s="217"/>
      <c r="M31" s="217"/>
    </row>
    <row r="32" spans="1:13" ht="13.35" customHeight="1" x14ac:dyDescent="0.2">
      <c r="B32" s="346" t="s">
        <v>2049</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216196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 80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550</v>
      </c>
      <c r="B2" s="2207"/>
      <c r="C2" s="2207"/>
      <c r="D2" s="2207"/>
      <c r="E2" s="2207"/>
      <c r="F2" s="2207"/>
      <c r="G2" s="2207"/>
      <c r="H2" s="2207"/>
      <c r="I2" s="2207"/>
      <c r="J2" s="2207"/>
      <c r="K2" s="2207"/>
      <c r="L2" s="2207"/>
      <c r="M2" s="2207"/>
      <c r="N2" s="2207"/>
      <c r="O2" s="2207"/>
      <c r="P2" s="2207"/>
      <c r="Q2" s="2207"/>
      <c r="R2" s="2207"/>
    </row>
    <row r="3" spans="1:18" ht="12.75" x14ac:dyDescent="0.2">
      <c r="A3" s="2208" t="s">
        <v>1394</v>
      </c>
      <c r="B3" s="2208"/>
      <c r="C3" s="2208"/>
      <c r="D3" s="2208"/>
      <c r="E3" s="2208"/>
      <c r="F3" s="2208"/>
      <c r="G3" s="2208"/>
      <c r="H3" s="2208"/>
      <c r="I3" s="2208"/>
      <c r="J3" s="2208"/>
      <c r="K3" s="2208"/>
      <c r="L3" s="2208"/>
      <c r="M3" s="2208"/>
      <c r="N3" s="2208"/>
      <c r="O3" s="2208"/>
      <c r="P3" s="2208"/>
      <c r="Q3" s="2208"/>
      <c r="R3" s="2208"/>
    </row>
    <row r="4" spans="1:18" x14ac:dyDescent="0.2">
      <c r="A4" s="2209" t="s">
        <v>1535</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Pope County CUSD 1</v>
      </c>
      <c r="E7" s="368"/>
      <c r="G7" s="247"/>
      <c r="H7" s="364"/>
      <c r="I7" s="364"/>
      <c r="J7" s="364"/>
      <c r="K7" s="364"/>
      <c r="L7" s="307"/>
      <c r="M7" s="307"/>
      <c r="N7" s="307"/>
      <c r="O7" s="307"/>
      <c r="P7" s="307"/>
    </row>
    <row r="8" spans="1:18" ht="12.75" x14ac:dyDescent="0.2">
      <c r="A8" s="307"/>
      <c r="B8" s="307"/>
      <c r="C8" s="366" t="s">
        <v>1113</v>
      </c>
      <c r="D8" s="369">
        <f>COVER!A13</f>
        <v>20076001026</v>
      </c>
      <c r="E8" s="370"/>
      <c r="G8" s="307"/>
      <c r="H8" s="307"/>
      <c r="I8" s="307"/>
      <c r="J8" s="307"/>
      <c r="K8" s="307"/>
      <c r="L8" s="307"/>
      <c r="M8" s="307"/>
      <c r="N8" s="307"/>
      <c r="O8" s="307"/>
      <c r="P8" s="307"/>
    </row>
    <row r="9" spans="1:18" ht="12.75" x14ac:dyDescent="0.2">
      <c r="A9" s="307"/>
      <c r="B9" s="307"/>
      <c r="C9" s="366" t="s">
        <v>706</v>
      </c>
      <c r="D9" s="371" t="str">
        <f>COVER!A15</f>
        <v>Pope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2694596</v>
      </c>
      <c r="I12" s="380"/>
      <c r="J12" s="380"/>
      <c r="K12" s="1558">
        <f>TRUNC((H12/H13*100000),5)/100000</f>
        <v>0.54435710969999995</v>
      </c>
      <c r="L12" s="381"/>
      <c r="M12" s="337" t="s">
        <v>1132</v>
      </c>
      <c r="N12" s="337"/>
      <c r="O12" s="1561">
        <v>0.35</v>
      </c>
      <c r="P12" s="213"/>
      <c r="Q12" s="213"/>
    </row>
    <row r="13" spans="1:18" s="382" customFormat="1" ht="12.75" x14ac:dyDescent="0.2">
      <c r="A13" s="213"/>
      <c r="B13" s="377"/>
      <c r="C13" s="2205" t="s">
        <v>1311</v>
      </c>
      <c r="D13" s="2206"/>
      <c r="E13" s="213"/>
      <c r="F13" s="383" t="s">
        <v>786</v>
      </c>
      <c r="G13" s="378"/>
      <c r="H13" s="1550">
        <f>SUM('Acct Summary 7-8'!C8+'Acct Summary 7-8'!D8+'Acct Summary 7-8'!F8+'Acct Summary 7-8'!I8)+H14</f>
        <v>4950052</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4668742</v>
      </c>
      <c r="I17" s="380"/>
      <c r="J17" s="389"/>
      <c r="K17" s="1558">
        <f>TRUNC((H17/H18*100000),5)/100000</f>
        <v>0.94317029389999996</v>
      </c>
      <c r="L17" s="381"/>
      <c r="M17" s="390" t="s">
        <v>1159</v>
      </c>
      <c r="O17" s="1564" t="str">
        <f>IF(AND(O16="2", J20 &gt; 2),"1",IF(AND(O16 = "1", J20 &gt; 2),"2",IF(AND(O16="1", J20 &gt;1),"1","0")))</f>
        <v>0</v>
      </c>
      <c r="P17" s="213"/>
    </row>
    <row r="18" spans="1:18" s="382" customFormat="1" ht="11.25" x14ac:dyDescent="0.2">
      <c r="A18" s="213"/>
      <c r="B18" s="377"/>
      <c r="C18" s="2205" t="s">
        <v>1304</v>
      </c>
      <c r="D18" s="2206"/>
      <c r="E18" s="213"/>
      <c r="F18" s="391" t="s">
        <v>787</v>
      </c>
      <c r="G18" s="378"/>
      <c r="H18" s="1550">
        <f>SUM('Acct Summary 7-8'!C8+'Acct Summary 7-8'!D8+'Acct Summary 7-8'!F8+'Acct Summary 7-8'!I8)+H19</f>
        <v>4950052</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202" t="s">
        <v>1393</v>
      </c>
      <c r="D24" s="2202"/>
      <c r="E24" s="213"/>
      <c r="F24" s="213" t="s">
        <v>440</v>
      </c>
      <c r="G24" s="378"/>
      <c r="H24" s="1550">
        <f>SUM('Assets-Liab 5-6'!C4+'Assets-Liab 5-6'!D4+'Assets-Liab 5-6'!F4+'Assets-Liab 5-6'!I4+'Assets-Liab 5-6'!C5+'Assets-Liab 5-6'!D5+'Assets-Liab 5-6'!F5+'Assets-Liab 5-6'!I5)</f>
        <v>2687477</v>
      </c>
      <c r="I24" s="394"/>
      <c r="J24" s="394"/>
      <c r="K24" s="1554">
        <f>TRUNC(((H24/H25*100000)/100000),2)</f>
        <v>207.22</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12968.727779999999</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1891</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1146579.97056</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4</v>
      </c>
      <c r="P31" s="211"/>
    </row>
    <row r="32" spans="1:18" s="382" customFormat="1" ht="11.25" x14ac:dyDescent="0.2">
      <c r="A32" s="213"/>
      <c r="B32" s="377"/>
      <c r="C32" s="213" t="s">
        <v>840</v>
      </c>
      <c r="D32" s="213"/>
      <c r="E32" s="213"/>
      <c r="F32" s="213"/>
      <c r="G32" s="378"/>
      <c r="H32" s="1550">
        <f>'FP Info 3'!H37</f>
        <v>216196</v>
      </c>
      <c r="I32" s="392"/>
      <c r="J32" s="392"/>
      <c r="K32" s="1554">
        <f>TRUNC(100-((((H32/H33*100))*100)/100),2)</f>
        <v>97.12</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7512131.9820000008</v>
      </c>
      <c r="I33" s="392"/>
      <c r="J33" s="392"/>
      <c r="K33" s="379"/>
      <c r="L33" s="213"/>
      <c r="M33" s="401" t="s">
        <v>1133</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&amp;C&amp;11 81</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1"/>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2" t="s">
        <v>965</v>
      </c>
      <c r="B3" s="2213"/>
      <c r="C3" s="1305"/>
      <c r="D3" s="1306"/>
      <c r="E3" s="1306"/>
      <c r="F3" s="1306"/>
      <c r="G3" s="1306"/>
      <c r="H3" s="1306"/>
      <c r="I3" s="1306"/>
      <c r="J3" s="1306"/>
      <c r="K3" s="1306"/>
      <c r="L3" s="1306"/>
      <c r="M3" s="1307"/>
      <c r="N3" s="1308"/>
    </row>
    <row r="4" spans="1:14" ht="13.5" customHeight="1" x14ac:dyDescent="0.2">
      <c r="A4" s="427" t="s">
        <v>1630</v>
      </c>
      <c r="B4" s="428"/>
      <c r="C4" s="1571">
        <v>6516</v>
      </c>
      <c r="D4" s="1572">
        <v>889</v>
      </c>
      <c r="E4" s="1572">
        <v>0</v>
      </c>
      <c r="F4" s="1572">
        <v>5376</v>
      </c>
      <c r="G4" s="1572">
        <v>363</v>
      </c>
      <c r="H4" s="1572">
        <v>0</v>
      </c>
      <c r="I4" s="1572">
        <v>0</v>
      </c>
      <c r="J4" s="1573">
        <v>0</v>
      </c>
      <c r="K4" s="1572">
        <v>0</v>
      </c>
      <c r="L4" s="1572">
        <v>54664</v>
      </c>
      <c r="M4" s="1574"/>
      <c r="N4" s="1575"/>
    </row>
    <row r="5" spans="1:14" x14ac:dyDescent="0.2">
      <c r="A5" s="427" t="s">
        <v>983</v>
      </c>
      <c r="B5" s="429">
        <v>120</v>
      </c>
      <c r="C5" s="1571">
        <v>1562143</v>
      </c>
      <c r="D5" s="1572">
        <v>677225</v>
      </c>
      <c r="E5" s="1572">
        <v>0</v>
      </c>
      <c r="F5" s="1572">
        <v>157275</v>
      </c>
      <c r="G5" s="1572">
        <v>417683</v>
      </c>
      <c r="H5" s="1572">
        <v>0</v>
      </c>
      <c r="I5" s="1572">
        <v>278053</v>
      </c>
      <c r="J5" s="1573">
        <v>107613</v>
      </c>
      <c r="K5" s="1576">
        <v>100945</v>
      </c>
      <c r="L5" s="1577">
        <v>566507</v>
      </c>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f>6630+829</f>
        <v>7459</v>
      </c>
      <c r="D12" s="1572"/>
      <c r="E12" s="1572"/>
      <c r="F12" s="1572"/>
      <c r="G12" s="1572"/>
      <c r="H12" s="1572"/>
      <c r="I12" s="1572"/>
      <c r="J12" s="1573"/>
      <c r="K12" s="1572"/>
      <c r="L12" s="1572"/>
      <c r="M12" s="1575"/>
      <c r="N12" s="1575"/>
    </row>
    <row r="13" spans="1:14" ht="13.5" customHeight="1" thickBot="1" x14ac:dyDescent="0.25">
      <c r="A13" s="1425" t="s">
        <v>637</v>
      </c>
      <c r="B13" s="1406"/>
      <c r="C13" s="1586">
        <f>SUM(C4:C12)</f>
        <v>1576118</v>
      </c>
      <c r="D13" s="1586">
        <f t="shared" ref="D13:L13" si="0">SUM(D4:D12)</f>
        <v>678114</v>
      </c>
      <c r="E13" s="1586">
        <f t="shared" si="0"/>
        <v>0</v>
      </c>
      <c r="F13" s="1586">
        <f t="shared" si="0"/>
        <v>162651</v>
      </c>
      <c r="G13" s="1586">
        <f t="shared" si="0"/>
        <v>418046</v>
      </c>
      <c r="H13" s="1586">
        <f t="shared" si="0"/>
        <v>0</v>
      </c>
      <c r="I13" s="1586">
        <f t="shared" si="0"/>
        <v>278053</v>
      </c>
      <c r="J13" s="1586">
        <f t="shared" si="0"/>
        <v>107613</v>
      </c>
      <c r="K13" s="1586">
        <f t="shared" si="0"/>
        <v>100945</v>
      </c>
      <c r="L13" s="1586">
        <f t="shared" si="0"/>
        <v>621171</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7036</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3924279</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531909</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2512817</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216196</v>
      </c>
    </row>
    <row r="23" spans="1:14" ht="13.5" customHeight="1" thickBot="1" x14ac:dyDescent="0.25">
      <c r="A23" s="1425" t="s">
        <v>636</v>
      </c>
      <c r="B23" s="1428"/>
      <c r="C23" s="1574"/>
      <c r="D23" s="1574"/>
      <c r="E23" s="1574"/>
      <c r="F23" s="1574"/>
      <c r="G23" s="1574"/>
      <c r="H23" s="1574"/>
      <c r="I23" s="1574"/>
      <c r="J23" s="1574"/>
      <c r="K23" s="1574"/>
      <c r="L23" s="1574"/>
      <c r="M23" s="1593">
        <f>SUM(M15:M22)</f>
        <v>6976041</v>
      </c>
      <c r="N23" s="1593">
        <f>SUM(N21:N22)</f>
        <v>216196</v>
      </c>
    </row>
    <row r="24" spans="1:14" ht="18" customHeight="1" thickTop="1" x14ac:dyDescent="0.2">
      <c r="A24" s="2216" t="s">
        <v>592</v>
      </c>
      <c r="B24" s="2217"/>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c r="D31" s="1573"/>
      <c r="E31" s="1573"/>
      <c r="F31" s="1572">
        <v>340</v>
      </c>
      <c r="G31" s="1573"/>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621171</v>
      </c>
      <c r="M33" s="1574"/>
      <c r="N33" s="1575"/>
    </row>
    <row r="34" spans="1:14" ht="13.5" customHeight="1" thickBot="1" x14ac:dyDescent="0.25">
      <c r="A34" s="1426" t="s">
        <v>647</v>
      </c>
      <c r="B34" s="1427"/>
      <c r="C34" s="1599">
        <f>SUM(C25:C33)</f>
        <v>0</v>
      </c>
      <c r="D34" s="1599">
        <f t="shared" ref="D34:K34" si="1">SUM(D25:D33)</f>
        <v>0</v>
      </c>
      <c r="E34" s="1599">
        <f t="shared" si="1"/>
        <v>0</v>
      </c>
      <c r="F34" s="1599">
        <f t="shared" si="1"/>
        <v>340</v>
      </c>
      <c r="G34" s="1599">
        <f t="shared" si="1"/>
        <v>0</v>
      </c>
      <c r="H34" s="1599">
        <f t="shared" si="1"/>
        <v>0</v>
      </c>
      <c r="I34" s="1599">
        <f t="shared" si="1"/>
        <v>0</v>
      </c>
      <c r="J34" s="1599">
        <f t="shared" si="1"/>
        <v>0</v>
      </c>
      <c r="K34" s="1599">
        <f t="shared" si="1"/>
        <v>0</v>
      </c>
      <c r="L34" s="1600">
        <f>SUM(L33)</f>
        <v>621171</v>
      </c>
      <c r="M34" s="1574"/>
      <c r="N34" s="1584"/>
    </row>
    <row r="35" spans="1:14" ht="18" customHeight="1" thickTop="1" x14ac:dyDescent="0.2">
      <c r="A35" s="2218" t="s">
        <v>524</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216196</v>
      </c>
    </row>
    <row r="37" spans="1:14" ht="13.5" thickBot="1" x14ac:dyDescent="0.25">
      <c r="A37" s="1425" t="s">
        <v>646</v>
      </c>
      <c r="B37" s="1428"/>
      <c r="C37" s="1581"/>
      <c r="D37" s="1581"/>
      <c r="E37" s="1581"/>
      <c r="F37" s="1581"/>
      <c r="G37" s="1581"/>
      <c r="H37" s="1581"/>
      <c r="I37" s="1581"/>
      <c r="J37" s="1581"/>
      <c r="K37" s="1581"/>
      <c r="L37" s="1584"/>
      <c r="M37" s="1574"/>
      <c r="N37" s="1593">
        <f>SUM(N36:N36)</f>
        <v>216196</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1576118</v>
      </c>
      <c r="D39" s="1572">
        <v>678114</v>
      </c>
      <c r="E39" s="1572">
        <v>0</v>
      </c>
      <c r="F39" s="1572">
        <v>162311</v>
      </c>
      <c r="G39" s="1572">
        <v>418046</v>
      </c>
      <c r="H39" s="1572">
        <v>0</v>
      </c>
      <c r="I39" s="1572">
        <v>278053</v>
      </c>
      <c r="J39" s="1573">
        <v>107613</v>
      </c>
      <c r="K39" s="1572">
        <v>100945</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6976041</v>
      </c>
      <c r="N40" s="1603"/>
    </row>
    <row r="41" spans="1:14" ht="13.5" customHeight="1" thickBot="1" x14ac:dyDescent="0.25">
      <c r="A41" s="1425" t="s">
        <v>648</v>
      </c>
      <c r="B41" s="1404"/>
      <c r="C41" s="1593">
        <f>(SUM(C34,C37,C38,C39))</f>
        <v>1576118</v>
      </c>
      <c r="D41" s="1593">
        <f t="shared" ref="D41:L41" si="2">SUM(D34,D37,D38:D39)</f>
        <v>678114</v>
      </c>
      <c r="E41" s="1593">
        <f t="shared" si="2"/>
        <v>0</v>
      </c>
      <c r="F41" s="1593">
        <f t="shared" si="2"/>
        <v>162651</v>
      </c>
      <c r="G41" s="1593">
        <f t="shared" si="2"/>
        <v>418046</v>
      </c>
      <c r="H41" s="1593">
        <f t="shared" si="2"/>
        <v>0</v>
      </c>
      <c r="I41" s="1593">
        <f t="shared" si="2"/>
        <v>278053</v>
      </c>
      <c r="J41" s="1593">
        <f t="shared" si="2"/>
        <v>107613</v>
      </c>
      <c r="K41" s="1593">
        <f t="shared" si="2"/>
        <v>100945</v>
      </c>
      <c r="L41" s="1593">
        <f t="shared" si="2"/>
        <v>621171</v>
      </c>
      <c r="M41" s="1593">
        <f>SUM(M40)</f>
        <v>6976041</v>
      </c>
      <c r="N41" s="1593">
        <f>SUM(N37)</f>
        <v>216196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&amp;C&amp;"Arial,Bold"&amp;9POPE COUNTY COMMUNITY UNIT SCHOOL DISTRICT #1
STATEMENT OF ASSETS AND LIABILITIES ARISING FROM CASH TRANSACTIONS
STATEMENT OF POSITION AS OF JUNE 30, 2020
</oddHeader>
    <oddFooter>&amp;C&amp;11The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29"/>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40" t="s">
        <v>1163</v>
      </c>
      <c r="B3" s="2241"/>
      <c r="C3" s="1310"/>
      <c r="D3" s="1311"/>
      <c r="E3" s="1311"/>
      <c r="F3" s="1311"/>
      <c r="G3" s="1311"/>
      <c r="H3" s="1311"/>
      <c r="I3" s="1311"/>
      <c r="J3" s="1311"/>
      <c r="K3" s="1312"/>
      <c r="L3" s="446"/>
    </row>
    <row r="4" spans="1:13" ht="15.75" customHeight="1" x14ac:dyDescent="0.2">
      <c r="A4" s="1536" t="s">
        <v>1480</v>
      </c>
      <c r="B4" s="1537">
        <v>1000</v>
      </c>
      <c r="C4" s="1605">
        <f>'Revenues 9-14'!C109</f>
        <v>1130982</v>
      </c>
      <c r="D4" s="1605">
        <f>'Revenues 9-14'!D109</f>
        <v>289466</v>
      </c>
      <c r="E4" s="1605">
        <f>'Revenues 9-14'!E109</f>
        <v>0</v>
      </c>
      <c r="F4" s="1605">
        <f>'Revenues 9-14'!F109</f>
        <v>126414</v>
      </c>
      <c r="G4" s="1605">
        <f>'Revenues 9-14'!G109</f>
        <v>166576</v>
      </c>
      <c r="H4" s="1605">
        <f>'Revenues 9-14'!H109</f>
        <v>0</v>
      </c>
      <c r="I4" s="1605">
        <f>'Revenues 9-14'!I109</f>
        <v>27209</v>
      </c>
      <c r="J4" s="1605">
        <f>'Revenues 9-14'!J109</f>
        <v>204072</v>
      </c>
      <c r="K4" s="1605">
        <f>'Revenues 9-14'!K109</f>
        <v>26183</v>
      </c>
      <c r="L4" s="325"/>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2496635</v>
      </c>
      <c r="D6" s="1606">
        <f>'Revenues 9-14'!D170</f>
        <v>50000</v>
      </c>
      <c r="E6" s="1606">
        <f>'Revenues 9-14'!E170</f>
        <v>0</v>
      </c>
      <c r="F6" s="1606">
        <f>'Revenues 9-14'!F170</f>
        <v>290004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1483</v>
      </c>
      <c r="B7" s="1315">
        <v>4000</v>
      </c>
      <c r="C7" s="1606">
        <f>'Revenues 9-14'!C267</f>
        <v>539342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4166959</v>
      </c>
      <c r="D8" s="1593">
        <f t="shared" ref="D8:K8" si="0">SUM(D4:D7)</f>
        <v>339466</v>
      </c>
      <c r="E8" s="1593">
        <f t="shared" si="0"/>
        <v>0</v>
      </c>
      <c r="F8" s="1593">
        <f t="shared" si="0"/>
        <v>416418</v>
      </c>
      <c r="G8" s="1593">
        <f t="shared" si="0"/>
        <v>166576</v>
      </c>
      <c r="H8" s="1593">
        <f t="shared" si="0"/>
        <v>0</v>
      </c>
      <c r="I8" s="1593">
        <f t="shared" si="0"/>
        <v>27209</v>
      </c>
      <c r="J8" s="1593">
        <f t="shared" si="0"/>
        <v>204072</v>
      </c>
      <c r="K8" s="1593">
        <f t="shared" si="0"/>
        <v>26183</v>
      </c>
      <c r="L8" s="325"/>
    </row>
    <row r="9" spans="1:13" ht="15.75" thickTop="1" x14ac:dyDescent="0.2">
      <c r="A9" s="449" t="s">
        <v>1632</v>
      </c>
      <c r="B9" s="450">
        <v>3998</v>
      </c>
      <c r="C9" s="1585">
        <v>1847867</v>
      </c>
      <c r="D9" s="1612"/>
      <c r="E9" s="1585"/>
      <c r="F9" s="1585"/>
      <c r="G9" s="1613"/>
      <c r="H9" s="1585"/>
      <c r="I9" s="1608" t="s">
        <v>1157</v>
      </c>
      <c r="J9" s="1582"/>
      <c r="K9" s="1585"/>
      <c r="L9" s="325"/>
    </row>
    <row r="10" spans="1:13" s="452" customFormat="1" ht="13.5" thickBot="1" x14ac:dyDescent="0.25">
      <c r="A10" s="1425" t="s">
        <v>1161</v>
      </c>
      <c r="B10" s="1406"/>
      <c r="C10" s="1593">
        <f>SUM(C8:C9)</f>
        <v>6014826</v>
      </c>
      <c r="D10" s="1593">
        <f t="shared" ref="D10:K10" si="1">SUM(D8:D9)</f>
        <v>339466</v>
      </c>
      <c r="E10" s="1593">
        <f t="shared" si="1"/>
        <v>0</v>
      </c>
      <c r="F10" s="1593">
        <f t="shared" si="1"/>
        <v>416418</v>
      </c>
      <c r="G10" s="1593">
        <f t="shared" si="1"/>
        <v>166576</v>
      </c>
      <c r="H10" s="1593">
        <f t="shared" si="1"/>
        <v>0</v>
      </c>
      <c r="I10" s="1593">
        <f t="shared" si="1"/>
        <v>27209</v>
      </c>
      <c r="J10" s="1593">
        <f t="shared" si="1"/>
        <v>204072</v>
      </c>
      <c r="K10" s="1593">
        <f t="shared" si="1"/>
        <v>26183</v>
      </c>
      <c r="L10" s="451"/>
    </row>
    <row r="11" spans="1:13" s="452" customFormat="1" ht="16.7" customHeight="1" thickTop="1" x14ac:dyDescent="0.2">
      <c r="A11" s="2214" t="s">
        <v>1164</v>
      </c>
      <c r="B11" s="2215"/>
      <c r="C11" s="1601"/>
      <c r="D11" s="1602"/>
      <c r="E11" s="1602"/>
      <c r="F11" s="1602"/>
      <c r="G11" s="1602"/>
      <c r="H11" s="1602"/>
      <c r="I11" s="1602"/>
      <c r="J11" s="1602"/>
      <c r="K11" s="1614"/>
      <c r="L11" s="451"/>
    </row>
    <row r="12" spans="1:13" ht="15.75" customHeight="1" x14ac:dyDescent="0.2">
      <c r="A12" s="1313" t="s">
        <v>451</v>
      </c>
      <c r="B12" s="1315">
        <v>1000</v>
      </c>
      <c r="C12" s="1605">
        <f>'Expenditures 15-22'!K33</f>
        <v>2654196</v>
      </c>
      <c r="D12" s="1615" t="s">
        <v>1157</v>
      </c>
      <c r="E12" s="1574" t="s">
        <v>1157</v>
      </c>
      <c r="F12" s="1574" t="s">
        <v>1157</v>
      </c>
      <c r="G12" s="1605">
        <f>'Expenditures 15-22'!K229</f>
        <v>55739</v>
      </c>
      <c r="H12" s="1616"/>
      <c r="I12" s="1574" t="s">
        <v>1157</v>
      </c>
      <c r="J12" s="1574" t="s">
        <v>1157</v>
      </c>
      <c r="K12" s="1616" t="s">
        <v>1157</v>
      </c>
      <c r="L12" s="325"/>
    </row>
    <row r="13" spans="1:13" ht="15.75" customHeight="1" x14ac:dyDescent="0.2">
      <c r="A13" s="1313" t="s">
        <v>452</v>
      </c>
      <c r="B13" s="1315">
        <v>2000</v>
      </c>
      <c r="C13" s="1606">
        <f>'Expenditures 15-22'!K74</f>
        <v>1184919</v>
      </c>
      <c r="D13" s="1606">
        <f>'Expenditures 15-22'!K129</f>
        <v>241849</v>
      </c>
      <c r="E13" s="1575" t="s">
        <v>1157</v>
      </c>
      <c r="F13" s="1606">
        <f>'Expenditures 15-22'!K184</f>
        <v>416229</v>
      </c>
      <c r="G13" s="1606">
        <f>'Expenditures 15-22'!K279</f>
        <v>87156</v>
      </c>
      <c r="H13" s="1606">
        <f>'Expenditures 15-22'!K303</f>
        <v>0</v>
      </c>
      <c r="I13" s="1574" t="s">
        <v>1157</v>
      </c>
      <c r="J13" s="1606">
        <f>'Expenditures 15-22'!K330</f>
        <v>193098</v>
      </c>
      <c r="K13" s="1617">
        <f>'Expenditures 15-22'!K352</f>
        <v>3689</v>
      </c>
      <c r="L13" s="325"/>
    </row>
    <row r="14" spans="1:13" ht="15.75" customHeight="1" x14ac:dyDescent="0.2">
      <c r="A14" s="1313" t="s">
        <v>444</v>
      </c>
      <c r="B14" s="1315">
        <v>3000</v>
      </c>
      <c r="C14" s="1606">
        <f>'Expenditures 15-22'!K75</f>
        <v>3829</v>
      </c>
      <c r="D14" s="1606">
        <f>'Expenditures 15-22'!K130</f>
        <v>0</v>
      </c>
      <c r="E14" s="1615" t="s">
        <v>1157</v>
      </c>
      <c r="F14" s="1606">
        <f>'Expenditures 15-22'!K185</f>
        <v>0</v>
      </c>
      <c r="G14" s="1606">
        <f>'Expenditures 15-22'!K280</f>
        <v>0</v>
      </c>
      <c r="H14" s="1611"/>
      <c r="I14" s="1574" t="s">
        <v>1157</v>
      </c>
      <c r="J14" s="1574" t="s">
        <v>1157</v>
      </c>
      <c r="K14" s="1611" t="s">
        <v>1157</v>
      </c>
      <c r="L14" s="325"/>
    </row>
    <row r="15" spans="1:13" ht="15.75" customHeight="1" x14ac:dyDescent="0.2">
      <c r="A15" s="1313" t="s">
        <v>107</v>
      </c>
      <c r="B15" s="1315">
        <v>4000</v>
      </c>
      <c r="C15" s="1606">
        <f>'Expenditures 15-22'!K102</f>
        <v>167720</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0</v>
      </c>
      <c r="F16" s="1606">
        <f>'Expenditures 15-22'!K208</f>
        <v>0</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4010664</v>
      </c>
      <c r="D17" s="1593">
        <f t="shared" si="2"/>
        <v>241849</v>
      </c>
      <c r="E17" s="1593">
        <f t="shared" si="2"/>
        <v>0</v>
      </c>
      <c r="F17" s="1593">
        <f t="shared" si="2"/>
        <v>416229</v>
      </c>
      <c r="G17" s="1593">
        <f t="shared" si="2"/>
        <v>142895</v>
      </c>
      <c r="H17" s="1593">
        <f t="shared" si="2"/>
        <v>0</v>
      </c>
      <c r="I17" s="1574"/>
      <c r="J17" s="1593">
        <f>SUM(J12:J16)</f>
        <v>193098</v>
      </c>
      <c r="K17" s="1593">
        <f>SUM(K12:K16)</f>
        <v>3689</v>
      </c>
      <c r="L17" s="325"/>
    </row>
    <row r="18" spans="1:12" ht="15" customHeight="1" thickTop="1" x14ac:dyDescent="0.2">
      <c r="A18" s="1429" t="s">
        <v>1633</v>
      </c>
      <c r="B18" s="1430">
        <v>4180</v>
      </c>
      <c r="C18" s="1605">
        <f t="shared" ref="C18:H18" si="3">C9</f>
        <v>1847867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5858531</v>
      </c>
      <c r="D19" s="1593">
        <f t="shared" si="4"/>
        <v>241849</v>
      </c>
      <c r="E19" s="1593">
        <f t="shared" si="4"/>
        <v>0</v>
      </c>
      <c r="F19" s="1593">
        <f t="shared" si="4"/>
        <v>416229</v>
      </c>
      <c r="G19" s="1593">
        <f t="shared" si="4"/>
        <v>142895</v>
      </c>
      <c r="H19" s="1593">
        <f t="shared" si="4"/>
        <v>0</v>
      </c>
      <c r="I19" s="1574"/>
      <c r="J19" s="1593">
        <f>SUM(J17:J18)</f>
        <v>193098</v>
      </c>
      <c r="K19" s="1593">
        <f>SUM(K17:K18)</f>
        <v>3689</v>
      </c>
      <c r="L19" s="325"/>
    </row>
    <row r="20" spans="1:12" ht="16.5" thickTop="1" thickBot="1" x14ac:dyDescent="0.25">
      <c r="A20" s="2230" t="s">
        <v>1634</v>
      </c>
      <c r="B20" s="2231"/>
      <c r="C20" s="1621">
        <f>C8-C17</f>
        <v>156295</v>
      </c>
      <c r="D20" s="1621">
        <f t="shared" ref="D20:K20" si="5">D8-D17</f>
        <v>97617</v>
      </c>
      <c r="E20" s="1621">
        <f t="shared" si="5"/>
        <v>0</v>
      </c>
      <c r="F20" s="1621">
        <f t="shared" si="5"/>
        <v>189</v>
      </c>
      <c r="G20" s="1621">
        <f t="shared" si="5"/>
        <v>23681</v>
      </c>
      <c r="H20" s="1621">
        <f t="shared" si="5"/>
        <v>0</v>
      </c>
      <c r="I20" s="1621">
        <f t="shared" si="5"/>
        <v>27209</v>
      </c>
      <c r="J20" s="1621">
        <f t="shared" si="5"/>
        <v>10974</v>
      </c>
      <c r="K20" s="1621">
        <f t="shared" si="5"/>
        <v>22494</v>
      </c>
      <c r="L20" s="325"/>
    </row>
    <row r="21" spans="1:12" ht="16.7" customHeight="1" thickTop="1" x14ac:dyDescent="0.2">
      <c r="A21" s="2242" t="s">
        <v>589</v>
      </c>
      <c r="B21" s="2243"/>
      <c r="C21" s="1601"/>
      <c r="D21" s="1602"/>
      <c r="E21" s="1602"/>
      <c r="F21" s="1602"/>
      <c r="G21" s="1602"/>
      <c r="H21" s="1602"/>
      <c r="I21" s="1602"/>
      <c r="J21" s="1602"/>
      <c r="K21" s="1614"/>
      <c r="L21" s="453"/>
    </row>
    <row r="22" spans="1:12" ht="15.75" customHeight="1" collapsed="1" x14ac:dyDescent="0.2">
      <c r="A22" s="2238" t="s">
        <v>590</v>
      </c>
      <c r="B22" s="2239"/>
      <c r="C22" s="1581"/>
      <c r="D22" s="1581"/>
      <c r="E22" s="1581"/>
      <c r="F22" s="1581"/>
      <c r="G22" s="1581"/>
      <c r="H22" s="1581"/>
      <c r="I22" s="1581"/>
      <c r="J22" s="1581"/>
      <c r="K22" s="1581"/>
      <c r="L22" s="325"/>
    </row>
    <row r="23" spans="1:12" s="433" customFormat="1" ht="15.75" customHeight="1" x14ac:dyDescent="0.2">
      <c r="A23" s="2234" t="s">
        <v>288</v>
      </c>
      <c r="B23" s="2235"/>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6" t="s">
        <v>972</v>
      </c>
      <c r="B32" s="2237"/>
      <c r="C32" s="1581"/>
      <c r="D32" s="1581"/>
      <c r="E32" s="1579"/>
      <c r="F32" s="1581"/>
      <c r="G32" s="1581"/>
      <c r="H32" s="1581"/>
      <c r="I32" s="1581"/>
      <c r="J32" s="1581"/>
      <c r="K32" s="1581"/>
      <c r="L32" s="453"/>
    </row>
    <row r="33" spans="1:12" s="433" customFormat="1" x14ac:dyDescent="0.2">
      <c r="A33" s="1259" t="s">
        <v>407</v>
      </c>
      <c r="B33" s="454">
        <v>7210</v>
      </c>
      <c r="C33" s="1573"/>
      <c r="D33" s="1573"/>
      <c r="E33" s="1573"/>
      <c r="F33" s="1573"/>
      <c r="G33" s="1581"/>
      <c r="H33" s="1573"/>
      <c r="I33" s="1573"/>
      <c r="J33" s="1573"/>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c r="F43" s="1573"/>
      <c r="G43" s="1573"/>
      <c r="H43" s="1573"/>
      <c r="I43" s="1573"/>
      <c r="J43" s="1573"/>
      <c r="K43" s="1573"/>
      <c r="L43" s="453"/>
    </row>
    <row r="44" spans="1:12" s="433" customFormat="1" ht="13.5" customHeight="1" thickBot="1" x14ac:dyDescent="0.25">
      <c r="A44" s="2244" t="s">
        <v>369</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c r="E75" s="1625"/>
      <c r="F75" s="1627"/>
      <c r="G75" s="1627"/>
      <c r="H75" s="1627"/>
      <c r="I75" s="1625"/>
      <c r="J75" s="1625"/>
      <c r="K75" s="1627"/>
      <c r="L75" s="453"/>
    </row>
    <row r="76" spans="1:12" s="433" customFormat="1" ht="14.25" thickTop="1" thickBot="1" x14ac:dyDescent="0.25">
      <c r="A76" s="2220" t="s">
        <v>435</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1165</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591</v>
      </c>
      <c r="B78" s="2227"/>
      <c r="C78" s="1628">
        <f t="shared" ref="C78:K78" si="9">C20+C77</f>
        <v>156295</v>
      </c>
      <c r="D78" s="1628">
        <f t="shared" si="9"/>
        <v>97617</v>
      </c>
      <c r="E78" s="1628">
        <f t="shared" si="9"/>
        <v>0</v>
      </c>
      <c r="F78" s="1628">
        <f t="shared" si="9"/>
        <v>189</v>
      </c>
      <c r="G78" s="1628">
        <f t="shared" si="9"/>
        <v>23681</v>
      </c>
      <c r="H78" s="1628">
        <f t="shared" si="9"/>
        <v>0</v>
      </c>
      <c r="I78" s="1628">
        <f t="shared" si="9"/>
        <v>27209</v>
      </c>
      <c r="J78" s="1628">
        <f t="shared" si="9"/>
        <v>10974</v>
      </c>
      <c r="K78" s="1628">
        <f t="shared" si="9"/>
        <v>22494</v>
      </c>
      <c r="L78" s="457"/>
    </row>
    <row r="79" spans="1:12" ht="13.5" thickTop="1" x14ac:dyDescent="0.2">
      <c r="A79" s="1843" t="str">
        <f>"Fund Balances - July 1, "&amp;'AFR20'!E2-1</f>
        <v>Fund Balances - July 1, 2019</v>
      </c>
      <c r="B79" s="458"/>
      <c r="C79" s="1582">
        <v>1419823</v>
      </c>
      <c r="D79" s="1629">
        <v>580497</v>
      </c>
      <c r="E79" s="1629">
        <v>0</v>
      </c>
      <c r="F79" s="1629">
        <v>162122</v>
      </c>
      <c r="G79" s="1629">
        <v>394365</v>
      </c>
      <c r="H79" s="1629">
        <v>0</v>
      </c>
      <c r="I79" s="1629">
        <v>250844</v>
      </c>
      <c r="J79" s="1629">
        <v>96639</v>
      </c>
      <c r="K79" s="1629">
        <v>78451</v>
      </c>
      <c r="L79" s="325"/>
    </row>
    <row r="80" spans="1:12" x14ac:dyDescent="0.2">
      <c r="A80" s="2232" t="s">
        <v>1770</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1576118</v>
      </c>
      <c r="D81" s="1593">
        <f>SUM(D78:D80)</f>
        <v>678114</v>
      </c>
      <c r="E81" s="1593">
        <f t="shared" ref="E81:K81" si="10">SUM(E78:E80)</f>
        <v>0</v>
      </c>
      <c r="F81" s="1593">
        <f t="shared" si="10"/>
        <v>162311</v>
      </c>
      <c r="G81" s="1593">
        <f t="shared" si="10"/>
        <v>418046</v>
      </c>
      <c r="H81" s="1593">
        <f t="shared" si="10"/>
        <v>0</v>
      </c>
      <c r="I81" s="1593">
        <f t="shared" si="10"/>
        <v>278053</v>
      </c>
      <c r="J81" s="1593">
        <f t="shared" si="10"/>
        <v>107613</v>
      </c>
      <c r="K81" s="1593">
        <f t="shared" si="10"/>
        <v>100945</v>
      </c>
      <c r="L81" s="325"/>
    </row>
    <row r="82" spans="1:12" ht="0.75" customHeight="1" thickTop="1" thickBot="1" x14ac:dyDescent="0.25">
      <c r="A82" s="459" t="s">
        <v>338</v>
      </c>
      <c r="B82" s="460"/>
      <c r="C82" s="461">
        <f>(C81-C79)</f>
        <v>156295</v>
      </c>
      <c r="D82" s="461">
        <f t="shared" ref="D82:K82" si="11">(D81-D79)</f>
        <v>97617</v>
      </c>
      <c r="E82" s="461">
        <f t="shared" si="11"/>
        <v>0</v>
      </c>
      <c r="F82" s="461">
        <f t="shared" si="11"/>
        <v>189</v>
      </c>
      <c r="G82" s="461">
        <f t="shared" si="11"/>
        <v>23681</v>
      </c>
      <c r="H82" s="461">
        <f t="shared" si="11"/>
        <v>0</v>
      </c>
      <c r="I82" s="461">
        <f t="shared" si="11"/>
        <v>27209</v>
      </c>
      <c r="J82" s="461">
        <f t="shared" si="11"/>
        <v>10974</v>
      </c>
      <c r="K82" s="461">
        <f t="shared" si="11"/>
        <v>22494</v>
      </c>
    </row>
    <row r="83" spans="1:12" ht="14.25" hidden="1" thickTop="1" thickBot="1" x14ac:dyDescent="0.25">
      <c r="A83" s="462" t="s">
        <v>339</v>
      </c>
      <c r="B83" s="428"/>
      <c r="C83" s="463">
        <f>C82/C81</f>
        <v>9.9164529559335024E-2</v>
      </c>
      <c r="D83" s="463">
        <f t="shared" ref="D83:K83" si="12">D82/D81</f>
        <v>0.14395367150656085</v>
      </c>
      <c r="E83" s="463" t="e">
        <f t="shared" si="12"/>
        <v>#DIV/0!</v>
      </c>
      <c r="F83" s="463">
        <f t="shared" si="12"/>
        <v>1.164431246187874E-3</v>
      </c>
      <c r="G83" s="463">
        <f t="shared" si="12"/>
        <v>5.6646876181090121E-2</v>
      </c>
      <c r="H83" s="463" t="e">
        <f t="shared" si="12"/>
        <v>#DIV/0!</v>
      </c>
      <c r="I83" s="463">
        <f t="shared" si="12"/>
        <v>9.7855444825267132E-2</v>
      </c>
      <c r="J83" s="463">
        <f t="shared" si="12"/>
        <v>0.10197652699952608</v>
      </c>
      <c r="K83" s="463">
        <f t="shared" si="12"/>
        <v>0.22283421665263262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 xml:space="preserve">&amp;C&amp;"Arial,Bold"&amp;9POPE COUNTY COMMUNITY UNIT SCHOOL DISTRICT #1
STATEMENT OF REVENUES RECEIVED/REVENUES, EXPENDITURES/DISBURSED/EXPENDITURES, OTHER 
SOURCES (USES) AND CHANGES IN FUND BALANCE
ALL FUNDS - FOR THE YEAR ENDING JUNE 30, 2020 </oddHeader>
    <oddFooter>&amp;C&amp;11The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1777</v>
      </c>
      <c r="B1" s="416"/>
      <c r="C1" s="417" t="s">
        <v>420</v>
      </c>
      <c r="D1" s="417" t="s">
        <v>421</v>
      </c>
      <c r="E1" s="417" t="s">
        <v>422</v>
      </c>
      <c r="F1" s="417" t="s">
        <v>423</v>
      </c>
      <c r="G1" s="417" t="s">
        <v>424</v>
      </c>
      <c r="H1" s="417" t="s">
        <v>425</v>
      </c>
      <c r="I1" s="417" t="s">
        <v>426</v>
      </c>
      <c r="J1" s="417" t="s">
        <v>427</v>
      </c>
      <c r="K1" s="417" t="s">
        <v>749</v>
      </c>
    </row>
    <row r="2" spans="1:12" ht="36" x14ac:dyDescent="0.2">
      <c r="A2" s="2229"/>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940856</v>
      </c>
      <c r="D5" s="1585">
        <v>255669</v>
      </c>
      <c r="E5" s="1572">
        <v>0</v>
      </c>
      <c r="F5" s="1630">
        <v>102270</v>
      </c>
      <c r="G5" s="1572">
        <v>62388</v>
      </c>
      <c r="H5" s="1572">
        <v>0</v>
      </c>
      <c r="I5" s="1572">
        <v>25567</v>
      </c>
      <c r="J5" s="1573">
        <v>193203</v>
      </c>
      <c r="K5" s="1572">
        <v>25567</v>
      </c>
    </row>
    <row r="6" spans="1:12" ht="15" x14ac:dyDescent="0.2">
      <c r="A6" s="427" t="s">
        <v>1641</v>
      </c>
      <c r="B6" s="429">
        <v>1130</v>
      </c>
      <c r="C6" s="1572"/>
      <c r="D6" s="1572">
        <v>25567</v>
      </c>
      <c r="E6" s="1579"/>
      <c r="F6" s="1579"/>
      <c r="G6" s="1574"/>
      <c r="H6" s="1574"/>
      <c r="I6" s="1574"/>
      <c r="J6" s="1574"/>
      <c r="K6" s="1574"/>
    </row>
    <row r="7" spans="1:12" x14ac:dyDescent="0.2">
      <c r="A7" s="427" t="s">
        <v>110</v>
      </c>
      <c r="B7" s="471">
        <v>1140</v>
      </c>
      <c r="C7" s="1572">
        <v>20455</v>
      </c>
      <c r="D7" s="1572"/>
      <c r="E7" s="1574"/>
      <c r="F7" s="1573"/>
      <c r="G7" s="1573"/>
      <c r="H7" s="1573"/>
      <c r="I7" s="1574"/>
      <c r="J7" s="1574"/>
      <c r="K7" s="1574"/>
    </row>
    <row r="8" spans="1:12" x14ac:dyDescent="0.2">
      <c r="A8" s="427" t="s">
        <v>408</v>
      </c>
      <c r="B8" s="429">
        <v>1150</v>
      </c>
      <c r="C8" s="1579"/>
      <c r="D8" s="1579"/>
      <c r="E8" s="1581"/>
      <c r="F8" s="1581"/>
      <c r="G8" s="1585">
        <v>96600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961311</v>
      </c>
      <c r="D12" s="1632">
        <f t="shared" si="0"/>
        <v>281236</v>
      </c>
      <c r="E12" s="1632">
        <f t="shared" si="0"/>
        <v>0</v>
      </c>
      <c r="F12" s="1632">
        <f t="shared" si="0"/>
        <v>102270</v>
      </c>
      <c r="G12" s="1632">
        <f t="shared" si="0"/>
        <v>158988</v>
      </c>
      <c r="H12" s="1632">
        <f t="shared" si="0"/>
        <v>0</v>
      </c>
      <c r="I12" s="1632">
        <f t="shared" si="0"/>
        <v>25567</v>
      </c>
      <c r="J12" s="1632">
        <f t="shared" si="0"/>
        <v>193203</v>
      </c>
      <c r="K12" s="1593">
        <f t="shared" si="0"/>
        <v>25567</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v>64838</v>
      </c>
      <c r="D16" s="1572"/>
      <c r="E16" s="1572"/>
      <c r="F16" s="1572"/>
      <c r="G16" s="1572">
        <v>5000</v>
      </c>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64838</v>
      </c>
      <c r="D18" s="1634">
        <f t="shared" ref="D18:K18" si="1">SUM(D14:D17)</f>
        <v>0</v>
      </c>
      <c r="E18" s="1634">
        <f t="shared" si="1"/>
        <v>0</v>
      </c>
      <c r="F18" s="1634">
        <f t="shared" si="1"/>
        <v>0</v>
      </c>
      <c r="G18" s="1634">
        <f t="shared" si="1"/>
        <v>5000</v>
      </c>
      <c r="H18" s="1634">
        <f t="shared" si="1"/>
        <v>0</v>
      </c>
      <c r="I18" s="1634">
        <f t="shared" si="1"/>
        <v>0</v>
      </c>
      <c r="J18" s="1634">
        <f t="shared" si="1"/>
        <v>0</v>
      </c>
      <c r="K18" s="1635">
        <f t="shared" si="1"/>
        <v>0</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9486</v>
      </c>
      <c r="D65" s="1572">
        <v>4235</v>
      </c>
      <c r="E65" s="1572"/>
      <c r="F65" s="1573">
        <v>749</v>
      </c>
      <c r="G65" s="1572">
        <v>2588</v>
      </c>
      <c r="H65" s="1572"/>
      <c r="I65" s="1572">
        <v>1642</v>
      </c>
      <c r="J65" s="1573">
        <v>1394</v>
      </c>
      <c r="K65" s="1572">
        <v>616</v>
      </c>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9486</v>
      </c>
      <c r="D67" s="1593">
        <f t="shared" ref="D67:K67" si="2">SUM(D65:D66)</f>
        <v>4235</v>
      </c>
      <c r="E67" s="1593">
        <f t="shared" si="2"/>
        <v>0</v>
      </c>
      <c r="F67" s="1593">
        <f t="shared" si="2"/>
        <v>749</v>
      </c>
      <c r="G67" s="1593">
        <f t="shared" si="2"/>
        <v>2588</v>
      </c>
      <c r="H67" s="1593">
        <f t="shared" si="2"/>
        <v>0</v>
      </c>
      <c r="I67" s="1593">
        <f t="shared" si="2"/>
        <v>1642</v>
      </c>
      <c r="J67" s="1593">
        <f t="shared" si="2"/>
        <v>1394</v>
      </c>
      <c r="K67" s="1593">
        <f t="shared" si="2"/>
        <v>616</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v>22281</v>
      </c>
      <c r="D69" s="1574"/>
      <c r="E69" s="1574"/>
      <c r="F69" s="1574"/>
      <c r="G69" s="1574"/>
      <c r="H69" s="1574"/>
      <c r="I69" s="1574"/>
      <c r="J69" s="1574"/>
      <c r="K69" s="1574"/>
    </row>
    <row r="70" spans="1:11" ht="12.75" customHeight="1" x14ac:dyDescent="0.2">
      <c r="A70" s="427" t="s">
        <v>988</v>
      </c>
      <c r="B70" s="429">
        <v>1612</v>
      </c>
      <c r="C70" s="1631">
        <v>10573</v>
      </c>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6134</v>
      </c>
      <c r="D73" s="1574"/>
      <c r="E73" s="1574"/>
      <c r="F73" s="1574"/>
      <c r="G73" s="1574"/>
      <c r="H73" s="1574"/>
      <c r="I73" s="1574"/>
      <c r="J73" s="1574"/>
      <c r="K73" s="1574"/>
    </row>
    <row r="74" spans="1:11" ht="12.75" customHeight="1" x14ac:dyDescent="0.2">
      <c r="A74" s="427" t="s">
        <v>25</v>
      </c>
      <c r="B74" s="429">
        <v>1690</v>
      </c>
      <c r="C74" s="1631">
        <v>10446</v>
      </c>
      <c r="D74" s="1574"/>
      <c r="E74" s="1574"/>
      <c r="F74" s="1574"/>
      <c r="G74" s="1574"/>
      <c r="H74" s="1574"/>
      <c r="I74" s="1574"/>
      <c r="J74" s="1574"/>
      <c r="K74" s="1574"/>
    </row>
    <row r="75" spans="1:11" ht="12.75" customHeight="1" thickBot="1" x14ac:dyDescent="0.25">
      <c r="A75" s="1405" t="s">
        <v>542</v>
      </c>
      <c r="B75" s="1406"/>
      <c r="C75" s="1593">
        <f>SUM(C69:C74)</f>
        <v>49434</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10783</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10783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10114</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10114</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v>6000</v>
      </c>
      <c r="D95" s="1631">
        <v>40</v>
      </c>
      <c r="E95" s="1616"/>
      <c r="F95" s="1616"/>
      <c r="G95" s="1616"/>
      <c r="H95" s="1616"/>
      <c r="I95" s="1616"/>
      <c r="J95" s="1616"/>
      <c r="K95" s="1616"/>
    </row>
    <row r="96" spans="1:11" ht="12.75" customHeight="1" x14ac:dyDescent="0.2">
      <c r="A96" s="427" t="s">
        <v>386</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5670</v>
      </c>
      <c r="D99" s="1572"/>
      <c r="E99" s="1572"/>
      <c r="F99" s="1572"/>
      <c r="G99" s="1572"/>
      <c r="H99" s="1572"/>
      <c r="I99" s="1574"/>
      <c r="J99" s="1573">
        <v>9475</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1875</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v>11471</v>
      </c>
      <c r="D107" s="1572">
        <v>3955</v>
      </c>
      <c r="E107" s="1572"/>
      <c r="F107" s="1572">
        <v>23395</v>
      </c>
      <c r="G107" s="1572"/>
      <c r="H107" s="1572"/>
      <c r="I107" s="1572"/>
      <c r="J107" s="1573"/>
      <c r="K107" s="1572"/>
    </row>
    <row r="108" spans="1:12" ht="12.75" customHeight="1" thickBot="1" x14ac:dyDescent="0.25">
      <c r="A108" s="1405" t="s">
        <v>482</v>
      </c>
      <c r="B108" s="1407"/>
      <c r="C108" s="1632">
        <f>SUM(C95:C107)</f>
        <v>25016</v>
      </c>
      <c r="D108" s="1632">
        <f t="shared" ref="D108:K108" si="3">SUM(D95:D107)</f>
        <v>3995</v>
      </c>
      <c r="E108" s="1632">
        <f t="shared" si="3"/>
        <v>0</v>
      </c>
      <c r="F108" s="1632">
        <f t="shared" si="3"/>
        <v>23395</v>
      </c>
      <c r="G108" s="1632">
        <f t="shared" si="3"/>
        <v>0</v>
      </c>
      <c r="H108" s="1632">
        <f t="shared" si="3"/>
        <v>0</v>
      </c>
      <c r="I108" s="1632">
        <f t="shared" si="3"/>
        <v>0</v>
      </c>
      <c r="J108" s="1632">
        <f t="shared" si="3"/>
        <v>9475</v>
      </c>
      <c r="K108" s="1593">
        <f t="shared" si="3"/>
        <v>0</v>
      </c>
    </row>
    <row r="109" spans="1:12" ht="14.25" thickTop="1" thickBot="1" x14ac:dyDescent="0.25">
      <c r="A109" s="1408" t="s">
        <v>246</v>
      </c>
      <c r="B109" s="1409" t="s">
        <v>564</v>
      </c>
      <c r="C109" s="1640">
        <f t="shared" ref="C109:K109" si="4">SUM(C12,C18,C40,C63,C67,C75,C82,C93,C108,)</f>
        <v>1130982</v>
      </c>
      <c r="D109" s="1640">
        <f t="shared" si="4"/>
        <v>289466</v>
      </c>
      <c r="E109" s="1640">
        <f t="shared" si="4"/>
        <v>0</v>
      </c>
      <c r="F109" s="1640">
        <f t="shared" si="4"/>
        <v>126414</v>
      </c>
      <c r="G109" s="1640">
        <f t="shared" si="4"/>
        <v>166576</v>
      </c>
      <c r="H109" s="1640">
        <f t="shared" si="4"/>
        <v>0</v>
      </c>
      <c r="I109" s="1640">
        <f t="shared" si="4"/>
        <v>27209</v>
      </c>
      <c r="J109" s="1640">
        <f t="shared" si="4"/>
        <v>204072</v>
      </c>
      <c r="K109" s="1628">
        <f t="shared" si="4"/>
        <v>26183</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2305844</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2305844</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31957</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31957</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11259</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14147</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25406</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1857</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5087</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239143</v>
      </c>
      <c r="G152" s="1573"/>
      <c r="H152" s="1574"/>
      <c r="I152" s="1574"/>
      <c r="J152" s="1574"/>
      <c r="K152" s="1574"/>
    </row>
    <row r="153" spans="1:11" ht="12.75" customHeight="1" x14ac:dyDescent="0.2">
      <c r="A153" s="427" t="s">
        <v>1046</v>
      </c>
      <c r="B153" s="478">
        <v>3510</v>
      </c>
      <c r="C153" s="1631"/>
      <c r="D153" s="1572"/>
      <c r="E153" s="1639"/>
      <c r="F153" s="1572">
        <v>50861</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290004</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c r="D158" s="1574"/>
      <c r="E158" s="1639"/>
      <c r="F158" s="1650"/>
      <c r="G158" s="1650"/>
      <c r="H158" s="1574"/>
      <c r="I158" s="1574"/>
      <c r="J158" s="1574"/>
      <c r="K158" s="1574"/>
    </row>
    <row r="159" spans="1:11" ht="12.75" customHeight="1" thickTop="1" thickBot="1" x14ac:dyDescent="0.25">
      <c r="A159" s="1269" t="s">
        <v>1040</v>
      </c>
      <c r="B159" s="484">
        <v>3705</v>
      </c>
      <c r="C159" s="1650">
        <v>125160</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1324</v>
      </c>
      <c r="D168" s="1654"/>
      <c r="E168" s="1654"/>
      <c r="F168" s="1654"/>
      <c r="G168" s="1655"/>
      <c r="H168" s="1656"/>
      <c r="I168" s="1655"/>
      <c r="J168" s="1655"/>
      <c r="K168" s="1656"/>
    </row>
    <row r="169" spans="1:11" ht="12.75" customHeight="1" thickTop="1" thickBot="1" x14ac:dyDescent="0.25">
      <c r="A169" s="2248" t="s">
        <v>393</v>
      </c>
      <c r="B169" s="2249"/>
      <c r="C169" s="1657">
        <f t="shared" ref="C169:K169" si="6">SUM(C132,C141,C145,C146:C150,C155,C156:C167,C168)</f>
        <v>190791</v>
      </c>
      <c r="D169" s="1657">
        <f t="shared" si="6"/>
        <v>50000</v>
      </c>
      <c r="E169" s="1657">
        <f t="shared" si="6"/>
        <v>0</v>
      </c>
      <c r="F169" s="1657">
        <f t="shared" si="6"/>
        <v>290004</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2496635</v>
      </c>
      <c r="D170" s="1640">
        <f t="shared" si="7"/>
        <v>50000</v>
      </c>
      <c r="E170" s="1640">
        <f t="shared" si="7"/>
        <v>0</v>
      </c>
      <c r="F170" s="1640">
        <f t="shared" si="7"/>
        <v>290004</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50" t="s">
        <v>1473</v>
      </c>
      <c r="B172" s="2251"/>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54" t="s">
        <v>1644</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1643</v>
      </c>
      <c r="B176" s="2259"/>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56" t="s">
        <v>778</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1778</v>
      </c>
      <c r="B182" s="2253"/>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v>13748</v>
      </c>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13748</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85929</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v>41122</v>
      </c>
      <c r="D193" s="1574"/>
      <c r="E193" s="1639"/>
      <c r="F193" s="1574"/>
      <c r="G193" s="1663"/>
      <c r="H193" s="1574"/>
      <c r="I193" s="1574"/>
      <c r="J193" s="1574"/>
      <c r="K193" s="1574"/>
    </row>
    <row r="194" spans="1:11" ht="12.75" customHeight="1" x14ac:dyDescent="0.2">
      <c r="A194" s="427" t="s">
        <v>1432</v>
      </c>
      <c r="B194" s="429">
        <v>4225</v>
      </c>
      <c r="C194" s="1631">
        <v>66450</v>
      </c>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193501</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216704</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v>6584</v>
      </c>
      <c r="D203" s="1572"/>
      <c r="E203" s="1574"/>
      <c r="F203" s="1572"/>
      <c r="G203" s="1572"/>
      <c r="H203" s="1574"/>
      <c r="I203" s="1574"/>
      <c r="J203" s="1574"/>
      <c r="K203" s="1574"/>
    </row>
    <row r="204" spans="1:11" ht="12.75" customHeight="1" thickBot="1" x14ac:dyDescent="0.25">
      <c r="A204" s="1405" t="s">
        <v>395</v>
      </c>
      <c r="B204" s="1406"/>
      <c r="C204" s="1632">
        <f>SUM(C200:C203)</f>
        <v>223288</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0</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2859</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57770</v>
      </c>
      <c r="D213" s="1572"/>
      <c r="E213" s="1574"/>
      <c r="F213" s="1572"/>
      <c r="G213" s="1572"/>
      <c r="H213" s="1574"/>
      <c r="I213" s="1574"/>
      <c r="J213" s="1574"/>
      <c r="K213" s="1574"/>
    </row>
    <row r="214" spans="1:11" ht="12.75" customHeight="1" x14ac:dyDescent="0.2">
      <c r="A214" s="427" t="s">
        <v>1043</v>
      </c>
      <c r="B214" s="429">
        <v>4625</v>
      </c>
      <c r="C214" s="1631"/>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60629</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27079</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3982</v>
      </c>
      <c r="D263" s="1650"/>
      <c r="E263" s="1574"/>
      <c r="F263" s="1650"/>
      <c r="G263" s="1650"/>
      <c r="H263" s="1574"/>
      <c r="I263" s="1574"/>
      <c r="J263" s="1574"/>
      <c r="K263" s="1574"/>
    </row>
    <row r="264" spans="1:11" ht="12.75" customHeight="1" thickTop="1" thickBot="1" x14ac:dyDescent="0.25">
      <c r="A264" s="427" t="s">
        <v>372</v>
      </c>
      <c r="B264" s="429">
        <v>4992</v>
      </c>
      <c r="C264" s="1649">
        <v>17115</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539342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539342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4166959</v>
      </c>
      <c r="D268" s="1640">
        <f t="shared" si="12"/>
        <v>339466</v>
      </c>
      <c r="E268" s="1640">
        <f t="shared" si="12"/>
        <v>0</v>
      </c>
      <c r="F268" s="1640">
        <f t="shared" si="12"/>
        <v>416418</v>
      </c>
      <c r="G268" s="1640">
        <f t="shared" si="12"/>
        <v>166576</v>
      </c>
      <c r="H268" s="1640">
        <f t="shared" si="12"/>
        <v>0</v>
      </c>
      <c r="I268" s="1640">
        <f t="shared" si="12"/>
        <v>27209</v>
      </c>
      <c r="J268" s="1640">
        <f t="shared" si="12"/>
        <v>204072</v>
      </c>
      <c r="K268" s="1628">
        <f t="shared" si="12"/>
        <v>26183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&amp;C&amp;"Arial,Bold"&amp;9POPE COUNTY COMMUNITY UNIT SCHOOL DISTRICT #1
STATEMENT OF REVENUES RECEIVED/REVENUES
FOR THE YEAR ENDING JUNE 30, 2020</oddHeader>
    <oddFooter>&amp;C&amp;11The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0"/>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66" t="s">
        <v>292</v>
      </c>
      <c r="B3" s="2267"/>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1373381</v>
      </c>
      <c r="D5" s="1572">
        <v>318771</v>
      </c>
      <c r="E5" s="1572">
        <v>32259</v>
      </c>
      <c r="F5" s="1572">
        <v>68</v>
      </c>
      <c r="G5" s="1572">
        <v>2658</v>
      </c>
      <c r="H5" s="1572">
        <v>1014</v>
      </c>
      <c r="I5" s="1573"/>
      <c r="J5" s="1573"/>
      <c r="K5" s="1671">
        <f>SUM(C5:J5)</f>
        <v>1728151</v>
      </c>
      <c r="L5" s="1572">
        <v>1756279</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82698</v>
      </c>
      <c r="D7" s="1573">
        <v>19548</v>
      </c>
      <c r="E7" s="1573">
        <v>1200</v>
      </c>
      <c r="F7" s="1573">
        <v>2499</v>
      </c>
      <c r="G7" s="1573"/>
      <c r="H7" s="1573"/>
      <c r="I7" s="1573"/>
      <c r="J7" s="1573"/>
      <c r="K7" s="1671">
        <f t="shared" ref="K7:K32" si="0">SUM(C7:J7)</f>
        <v>105945</v>
      </c>
      <c r="L7" s="1572">
        <v>130000</v>
      </c>
    </row>
    <row r="8" spans="1:14" x14ac:dyDescent="0.2">
      <c r="A8" s="1273" t="s">
        <v>163</v>
      </c>
      <c r="B8" s="503">
        <v>1200</v>
      </c>
      <c r="C8" s="1572">
        <v>348078</v>
      </c>
      <c r="D8" s="1572">
        <v>80596</v>
      </c>
      <c r="E8" s="1572">
        <v>2082</v>
      </c>
      <c r="F8" s="1572">
        <v>1216</v>
      </c>
      <c r="G8" s="1572"/>
      <c r="H8" s="1572"/>
      <c r="I8" s="1573"/>
      <c r="J8" s="1573"/>
      <c r="K8" s="1671">
        <f t="shared" si="0"/>
        <v>431972</v>
      </c>
      <c r="L8" s="1572">
        <v>430750</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56454</v>
      </c>
      <c r="D10" s="1572">
        <v>2417</v>
      </c>
      <c r="E10" s="1572">
        <v>47600</v>
      </c>
      <c r="F10" s="1572">
        <v>31140</v>
      </c>
      <c r="G10" s="1572"/>
      <c r="H10" s="1572"/>
      <c r="I10" s="1573"/>
      <c r="J10" s="1573"/>
      <c r="K10" s="1671">
        <f t="shared" si="0"/>
        <v>137611</v>
      </c>
      <c r="L10" s="1572">
        <v>124693</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96266</v>
      </c>
      <c r="D13" s="1572">
        <v>27526</v>
      </c>
      <c r="E13" s="1572">
        <v>200</v>
      </c>
      <c r="F13" s="1572">
        <v>6499</v>
      </c>
      <c r="G13" s="1572"/>
      <c r="H13" s="1572"/>
      <c r="I13" s="1573"/>
      <c r="J13" s="1573"/>
      <c r="K13" s="1671">
        <f t="shared" si="0"/>
        <v>130491</v>
      </c>
      <c r="L13" s="1572">
        <v>129655</v>
      </c>
    </row>
    <row r="14" spans="1:14" x14ac:dyDescent="0.2">
      <c r="A14" s="1273" t="s">
        <v>955</v>
      </c>
      <c r="B14" s="503">
        <v>1500</v>
      </c>
      <c r="C14" s="1572">
        <v>41287</v>
      </c>
      <c r="D14" s="1572">
        <v>437</v>
      </c>
      <c r="E14" s="1572">
        <v>14343</v>
      </c>
      <c r="F14" s="1572">
        <v>10246</v>
      </c>
      <c r="G14" s="1572">
        <v>3173</v>
      </c>
      <c r="H14" s="1572">
        <v>250</v>
      </c>
      <c r="I14" s="1573"/>
      <c r="J14" s="1573"/>
      <c r="K14" s="1671">
        <f t="shared" si="0"/>
        <v>69736</v>
      </c>
      <c r="L14" s="1572">
        <v>83830</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c r="D16" s="1572"/>
      <c r="E16" s="1572"/>
      <c r="F16" s="1572"/>
      <c r="G16" s="1572"/>
      <c r="H16" s="1572"/>
      <c r="I16" s="1573"/>
      <c r="J16" s="1573"/>
      <c r="K16" s="1671">
        <f t="shared" si="0"/>
        <v>0</v>
      </c>
      <c r="L16" s="1572">
        <v>0</v>
      </c>
    </row>
    <row r="17" spans="1:12" x14ac:dyDescent="0.2">
      <c r="A17" s="1273" t="s">
        <v>717</v>
      </c>
      <c r="B17" s="503" t="s">
        <v>161</v>
      </c>
      <c r="C17" s="1573">
        <v>45095</v>
      </c>
      <c r="D17" s="1573">
        <v>5163</v>
      </c>
      <c r="E17" s="1573"/>
      <c r="F17" s="1573">
        <v>32</v>
      </c>
      <c r="G17" s="1573"/>
      <c r="H17" s="1573"/>
      <c r="I17" s="1573"/>
      <c r="J17" s="1573"/>
      <c r="K17" s="1671">
        <f t="shared" si="0"/>
        <v>50290</v>
      </c>
      <c r="L17" s="1572">
        <v>49447</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2043259</v>
      </c>
      <c r="D33" s="1673">
        <f t="shared" ref="D33:L33" si="1">SUM(D5:D32)</f>
        <v>454458</v>
      </c>
      <c r="E33" s="1673">
        <f t="shared" si="1"/>
        <v>97684</v>
      </c>
      <c r="F33" s="1673">
        <f t="shared" si="1"/>
        <v>51700</v>
      </c>
      <c r="G33" s="1673">
        <f t="shared" si="1"/>
        <v>5831</v>
      </c>
      <c r="H33" s="1673">
        <f t="shared" si="1"/>
        <v>1264</v>
      </c>
      <c r="I33" s="1673">
        <f t="shared" si="1"/>
        <v>0</v>
      </c>
      <c r="J33" s="1673">
        <f t="shared" si="1"/>
        <v>0</v>
      </c>
      <c r="K33" s="1673">
        <f t="shared" si="1"/>
        <v>2654196</v>
      </c>
      <c r="L33" s="1673">
        <f t="shared" si="1"/>
        <v>2704654</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c r="D36" s="1585"/>
      <c r="E36" s="1585"/>
      <c r="F36" s="1585"/>
      <c r="G36" s="1585"/>
      <c r="H36" s="1585"/>
      <c r="I36" s="1573"/>
      <c r="J36" s="1573"/>
      <c r="K36" s="1671">
        <f t="shared" ref="K36:K41" si="2">SUM(C36:J36)</f>
        <v>0</v>
      </c>
      <c r="L36" s="1572">
        <v>0</v>
      </c>
    </row>
    <row r="37" spans="1:14" x14ac:dyDescent="0.2">
      <c r="A37" s="1273" t="s">
        <v>1079</v>
      </c>
      <c r="B37" s="503">
        <v>2120</v>
      </c>
      <c r="C37" s="1572">
        <v>40901</v>
      </c>
      <c r="D37" s="1572">
        <v>4779</v>
      </c>
      <c r="E37" s="1572"/>
      <c r="F37" s="1572">
        <v>119</v>
      </c>
      <c r="G37" s="1572"/>
      <c r="H37" s="1572">
        <v>40</v>
      </c>
      <c r="I37" s="1573"/>
      <c r="J37" s="1573"/>
      <c r="K37" s="1671">
        <f t="shared" si="2"/>
        <v>45839</v>
      </c>
      <c r="L37" s="1572">
        <v>46085</v>
      </c>
    </row>
    <row r="38" spans="1:14" x14ac:dyDescent="0.2">
      <c r="A38" s="1273" t="s">
        <v>196</v>
      </c>
      <c r="B38" s="503">
        <v>2130</v>
      </c>
      <c r="C38" s="1572">
        <v>21035</v>
      </c>
      <c r="D38" s="1572">
        <v>9541</v>
      </c>
      <c r="E38" s="1572"/>
      <c r="F38" s="1572">
        <v>538</v>
      </c>
      <c r="G38" s="1572"/>
      <c r="H38" s="1572"/>
      <c r="I38" s="1573"/>
      <c r="J38" s="1573"/>
      <c r="K38" s="1671">
        <f t="shared" si="2"/>
        <v>31114</v>
      </c>
      <c r="L38" s="1572">
        <v>32462</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v>49371</v>
      </c>
      <c r="D40" s="1572">
        <v>15168</v>
      </c>
      <c r="E40" s="1572">
        <v>780</v>
      </c>
      <c r="F40" s="1572">
        <v>135</v>
      </c>
      <c r="G40" s="1572"/>
      <c r="H40" s="1572"/>
      <c r="I40" s="1573"/>
      <c r="J40" s="1573"/>
      <c r="K40" s="1671">
        <f t="shared" si="2"/>
        <v>65454</v>
      </c>
      <c r="L40" s="1572">
        <v>66036</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111307</v>
      </c>
      <c r="D42" s="1673">
        <f t="shared" ref="D42:L42" si="3">SUM(D36:D41)</f>
        <v>29488</v>
      </c>
      <c r="E42" s="1673">
        <f t="shared" si="3"/>
        <v>780</v>
      </c>
      <c r="F42" s="1673">
        <f t="shared" si="3"/>
        <v>792</v>
      </c>
      <c r="G42" s="1673">
        <f t="shared" si="3"/>
        <v>0</v>
      </c>
      <c r="H42" s="1673">
        <f t="shared" si="3"/>
        <v>40</v>
      </c>
      <c r="I42" s="1673">
        <f t="shared" si="3"/>
        <v>0</v>
      </c>
      <c r="J42" s="1673">
        <f t="shared" si="3"/>
        <v>0</v>
      </c>
      <c r="K42" s="1673">
        <f t="shared" si="3"/>
        <v>142407</v>
      </c>
      <c r="L42" s="1673">
        <f t="shared" si="3"/>
        <v>144583</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50420</v>
      </c>
      <c r="D44" s="1585">
        <v>18743</v>
      </c>
      <c r="E44" s="1585">
        <v>5109</v>
      </c>
      <c r="F44" s="1585"/>
      <c r="G44" s="1585"/>
      <c r="H44" s="1585">
        <v>1620</v>
      </c>
      <c r="I44" s="1573"/>
      <c r="J44" s="1573"/>
      <c r="K44" s="1677">
        <f>SUM(C44:J44)</f>
        <v>75892</v>
      </c>
      <c r="L44" s="1585">
        <v>85674</v>
      </c>
    </row>
    <row r="45" spans="1:14" x14ac:dyDescent="0.2">
      <c r="A45" s="1273" t="s">
        <v>808</v>
      </c>
      <c r="B45" s="503">
        <v>2220</v>
      </c>
      <c r="C45" s="1572">
        <v>9700</v>
      </c>
      <c r="D45" s="1572">
        <v>140</v>
      </c>
      <c r="E45" s="1572"/>
      <c r="F45" s="1572">
        <v>2421</v>
      </c>
      <c r="G45" s="1572"/>
      <c r="H45" s="1572"/>
      <c r="I45" s="1573"/>
      <c r="J45" s="1573"/>
      <c r="K45" s="1677">
        <f>SUM(C45:J45)</f>
        <v>12261</v>
      </c>
      <c r="L45" s="1572">
        <v>13050</v>
      </c>
    </row>
    <row r="46" spans="1:14" x14ac:dyDescent="0.2">
      <c r="A46" s="1273" t="s">
        <v>809</v>
      </c>
      <c r="B46" s="503">
        <v>2230</v>
      </c>
      <c r="C46" s="1572"/>
      <c r="D46" s="1572"/>
      <c r="E46" s="1572">
        <v>8099</v>
      </c>
      <c r="F46" s="1572"/>
      <c r="G46" s="1572"/>
      <c r="H46" s="1572"/>
      <c r="I46" s="1573"/>
      <c r="J46" s="1573"/>
      <c r="K46" s="1677">
        <f>SUM(C46:J46)</f>
        <v>8099</v>
      </c>
      <c r="L46" s="1572">
        <v>8150</v>
      </c>
    </row>
    <row r="47" spans="1:14" ht="12.75" customHeight="1" thickBot="1" x14ac:dyDescent="0.25">
      <c r="A47" s="1379" t="s">
        <v>555</v>
      </c>
      <c r="B47" s="1380" t="s">
        <v>32</v>
      </c>
      <c r="C47" s="1673">
        <f>SUM(C44:C46)</f>
        <v>60120</v>
      </c>
      <c r="D47" s="1673">
        <f t="shared" ref="D47:K47" si="4">SUM(D44:D46)</f>
        <v>18883</v>
      </c>
      <c r="E47" s="1673">
        <f t="shared" si="4"/>
        <v>13208</v>
      </c>
      <c r="F47" s="1673">
        <f t="shared" si="4"/>
        <v>2421</v>
      </c>
      <c r="G47" s="1673">
        <f t="shared" si="4"/>
        <v>0</v>
      </c>
      <c r="H47" s="1673">
        <f t="shared" si="4"/>
        <v>1620</v>
      </c>
      <c r="I47" s="1673">
        <f t="shared" si="4"/>
        <v>0</v>
      </c>
      <c r="J47" s="1673">
        <f t="shared" si="4"/>
        <v>0</v>
      </c>
      <c r="K47" s="1673">
        <f t="shared" si="4"/>
        <v>96252</v>
      </c>
      <c r="L47" s="1673">
        <f>SUM(L44:L46)</f>
        <v>106874</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v>1000</v>
      </c>
      <c r="D49" s="1585"/>
      <c r="E49" s="1585">
        <v>5936</v>
      </c>
      <c r="F49" s="1585">
        <v>5526</v>
      </c>
      <c r="G49" s="1585"/>
      <c r="H49" s="1585">
        <f>4417+3193</f>
        <v>7610</v>
      </c>
      <c r="I49" s="1573"/>
      <c r="J49" s="1573"/>
      <c r="K49" s="1677">
        <f>SUM(C49:J49)</f>
        <v>20072</v>
      </c>
      <c r="L49" s="1585">
        <v>7800</v>
      </c>
    </row>
    <row r="50" spans="1:14" x14ac:dyDescent="0.2">
      <c r="A50" s="1273" t="s">
        <v>811</v>
      </c>
      <c r="B50" s="503">
        <v>2320</v>
      </c>
      <c r="C50" s="1572">
        <v>121188</v>
      </c>
      <c r="D50" s="1572">
        <v>14534</v>
      </c>
      <c r="E50" s="1572">
        <v>5089</v>
      </c>
      <c r="F50" s="1572">
        <v>486</v>
      </c>
      <c r="G50" s="1572"/>
      <c r="H50" s="1572">
        <v>464</v>
      </c>
      <c r="I50" s="1573"/>
      <c r="J50" s="1573"/>
      <c r="K50" s="1677">
        <f>SUM(C50:J50)</f>
        <v>141761</v>
      </c>
      <c r="L50" s="1572">
        <v>145778</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122188</v>
      </c>
      <c r="D53" s="1673">
        <f t="shared" ref="D53:L53" si="5">SUM(D49:D52)</f>
        <v>14534</v>
      </c>
      <c r="E53" s="1673">
        <f t="shared" si="5"/>
        <v>11025</v>
      </c>
      <c r="F53" s="1673">
        <f t="shared" si="5"/>
        <v>6012</v>
      </c>
      <c r="G53" s="1673">
        <f t="shared" si="5"/>
        <v>0</v>
      </c>
      <c r="H53" s="1673">
        <f t="shared" si="5"/>
        <v>8074</v>
      </c>
      <c r="I53" s="1673">
        <f t="shared" si="5"/>
        <v>0</v>
      </c>
      <c r="J53" s="1673">
        <f t="shared" si="5"/>
        <v>0</v>
      </c>
      <c r="K53" s="1673">
        <f t="shared" si="5"/>
        <v>161833</v>
      </c>
      <c r="L53" s="1673">
        <f t="shared" si="5"/>
        <v>153578</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211642</v>
      </c>
      <c r="D55" s="1585">
        <v>60394</v>
      </c>
      <c r="E55" s="1585">
        <v>5727</v>
      </c>
      <c r="F55" s="1585">
        <v>2085</v>
      </c>
      <c r="G55" s="1585">
        <v>886</v>
      </c>
      <c r="H55" s="1585">
        <v>1089</v>
      </c>
      <c r="I55" s="1573"/>
      <c r="J55" s="1573"/>
      <c r="K55" s="1677">
        <f>SUM(C55:J55)</f>
        <v>281823</v>
      </c>
      <c r="L55" s="1585">
        <v>281398</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211642</v>
      </c>
      <c r="D57" s="1678">
        <f t="shared" ref="D57:K57" si="6">SUM(D55:D56)</f>
        <v>60394</v>
      </c>
      <c r="E57" s="1678">
        <f t="shared" si="6"/>
        <v>5727</v>
      </c>
      <c r="F57" s="1678">
        <f t="shared" si="6"/>
        <v>2085</v>
      </c>
      <c r="G57" s="1678">
        <f t="shared" si="6"/>
        <v>886</v>
      </c>
      <c r="H57" s="1678">
        <f t="shared" si="6"/>
        <v>1089</v>
      </c>
      <c r="I57" s="1678">
        <f t="shared" si="6"/>
        <v>0</v>
      </c>
      <c r="J57" s="1678">
        <f t="shared" si="6"/>
        <v>0</v>
      </c>
      <c r="K57" s="1678">
        <f t="shared" si="6"/>
        <v>281823</v>
      </c>
      <c r="L57" s="1673">
        <f>SUM(L55:L56)</f>
        <v>281398</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44430</v>
      </c>
      <c r="D60" s="1572">
        <v>8001</v>
      </c>
      <c r="E60" s="1572">
        <v>8595</v>
      </c>
      <c r="F60" s="1572">
        <v>873</v>
      </c>
      <c r="G60" s="1572">
        <v>1945</v>
      </c>
      <c r="H60" s="1572"/>
      <c r="I60" s="1573"/>
      <c r="J60" s="1573"/>
      <c r="K60" s="1677">
        <f t="shared" si="7"/>
        <v>63844</v>
      </c>
      <c r="L60" s="1572">
        <v>62692</v>
      </c>
      <c r="M60" s="501"/>
      <c r="N60" s="501"/>
    </row>
    <row r="61" spans="1:14" s="321" customFormat="1" x14ac:dyDescent="0.2">
      <c r="A61" s="1273" t="s">
        <v>195</v>
      </c>
      <c r="B61" s="503">
        <v>2540</v>
      </c>
      <c r="C61" s="1572">
        <v>173935</v>
      </c>
      <c r="D61" s="1572">
        <v>18315</v>
      </c>
      <c r="E61" s="1572">
        <f>17448-1200</f>
        <v>16248</v>
      </c>
      <c r="F61" s="1572"/>
      <c r="G61" s="1572"/>
      <c r="H61" s="1572"/>
      <c r="I61" s="1573"/>
      <c r="J61" s="1573"/>
      <c r="K61" s="1677">
        <f t="shared" si="7"/>
        <v>208498</v>
      </c>
      <c r="L61" s="1572">
        <v>54360</v>
      </c>
      <c r="M61" s="501"/>
      <c r="N61" s="501"/>
    </row>
    <row r="62" spans="1:14" s="321" customFormat="1" x14ac:dyDescent="0.2">
      <c r="A62" s="1273" t="s">
        <v>945</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60253</v>
      </c>
      <c r="D63" s="1572">
        <v>36</v>
      </c>
      <c r="E63" s="1572">
        <v>7112</v>
      </c>
      <c r="F63" s="1572">
        <v>162311</v>
      </c>
      <c r="G63" s="1572"/>
      <c r="H63" s="1572">
        <v>195</v>
      </c>
      <c r="I63" s="1573"/>
      <c r="J63" s="1573"/>
      <c r="K63" s="1677">
        <f t="shared" si="7"/>
        <v>229907</v>
      </c>
      <c r="L63" s="1572">
        <v>244756</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278618</v>
      </c>
      <c r="D65" s="1673">
        <f t="shared" ref="D65:L65" si="8">SUM(D59:D64)</f>
        <v>26352</v>
      </c>
      <c r="E65" s="1673">
        <f t="shared" si="8"/>
        <v>31955</v>
      </c>
      <c r="F65" s="1673">
        <f t="shared" si="8"/>
        <v>163184</v>
      </c>
      <c r="G65" s="1673">
        <f t="shared" si="8"/>
        <v>1945</v>
      </c>
      <c r="H65" s="1673">
        <f t="shared" si="8"/>
        <v>195</v>
      </c>
      <c r="I65" s="1673">
        <f t="shared" si="8"/>
        <v>0</v>
      </c>
      <c r="J65" s="1673">
        <f t="shared" si="8"/>
        <v>0</v>
      </c>
      <c r="K65" s="1673">
        <f t="shared" si="8"/>
        <v>502249</v>
      </c>
      <c r="L65" s="1673">
        <f t="shared" si="8"/>
        <v>361808</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c r="G69" s="1572"/>
      <c r="H69" s="1572"/>
      <c r="I69" s="1573"/>
      <c r="J69" s="1573"/>
      <c r="K69" s="1677">
        <f>SUM(C69:J69)</f>
        <v>0</v>
      </c>
      <c r="L69" s="1572">
        <v>0</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971</v>
      </c>
      <c r="B73" s="515" t="s">
        <v>568</v>
      </c>
      <c r="C73" s="1648"/>
      <c r="D73" s="1648"/>
      <c r="E73" s="1648"/>
      <c r="F73" s="1648">
        <v>355</v>
      </c>
      <c r="G73" s="1648"/>
      <c r="H73" s="1648"/>
      <c r="I73" s="1626"/>
      <c r="J73" s="1626"/>
      <c r="K73" s="1673">
        <f>SUM(C73:J73)</f>
        <v>355</v>
      </c>
      <c r="L73" s="1650">
        <v>0</v>
      </c>
      <c r="M73" s="501"/>
      <c r="N73" s="501"/>
    </row>
    <row r="74" spans="1:14" ht="12.75" customHeight="1" thickTop="1" thickBot="1" x14ac:dyDescent="0.25">
      <c r="A74" s="1379" t="s">
        <v>804</v>
      </c>
      <c r="B74" s="1383">
        <v>2000</v>
      </c>
      <c r="C74" s="1680">
        <f>SUM(C42,C47,C53,C57,C65,C72,C73)</f>
        <v>783875</v>
      </c>
      <c r="D74" s="1680">
        <f t="shared" ref="D74:K74" si="10">SUM(D42,D47,D53,D57,D65,D72,D73)</f>
        <v>149651</v>
      </c>
      <c r="E74" s="1680">
        <f t="shared" si="10"/>
        <v>62695</v>
      </c>
      <c r="F74" s="1680">
        <f t="shared" si="10"/>
        <v>174849</v>
      </c>
      <c r="G74" s="1680">
        <f t="shared" si="10"/>
        <v>2831</v>
      </c>
      <c r="H74" s="1680">
        <f t="shared" si="10"/>
        <v>11018</v>
      </c>
      <c r="I74" s="1680">
        <f t="shared" si="10"/>
        <v>0</v>
      </c>
      <c r="J74" s="1680">
        <f t="shared" si="10"/>
        <v>0</v>
      </c>
      <c r="K74" s="1680">
        <f t="shared" si="10"/>
        <v>1184919</v>
      </c>
      <c r="L74" s="1680">
        <f>SUM(L42,L47,L53,L57,L65,L72,L73)</f>
        <v>1048241</v>
      </c>
    </row>
    <row r="75" spans="1:14" s="254" customFormat="1" ht="15.75" customHeight="1" thickTop="1" thickBot="1" x14ac:dyDescent="0.25">
      <c r="A75" s="1347" t="s">
        <v>47</v>
      </c>
      <c r="B75" s="1348" t="s">
        <v>569</v>
      </c>
      <c r="C75" s="1648"/>
      <c r="D75" s="1648"/>
      <c r="E75" s="1648">
        <v>3829</v>
      </c>
      <c r="F75" s="1648"/>
      <c r="G75" s="1648"/>
      <c r="H75" s="1648"/>
      <c r="I75" s="1626"/>
      <c r="J75" s="1626"/>
      <c r="K75" s="1673">
        <f>SUM(C75:J75)</f>
        <v>3829</v>
      </c>
      <c r="L75" s="1650">
        <v>4100</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v>95521</v>
      </c>
      <c r="F79" s="1672"/>
      <c r="G79" s="1672"/>
      <c r="H79" s="1572"/>
      <c r="I79" s="1581"/>
      <c r="J79" s="1581"/>
      <c r="K79" s="1671">
        <f t="shared" si="11"/>
        <v>95521</v>
      </c>
      <c r="L79" s="1572">
        <v>122193</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c r="F83" s="1672"/>
      <c r="G83" s="1672"/>
      <c r="H83" s="1572">
        <v>94</v>
      </c>
      <c r="I83" s="1581"/>
      <c r="J83" s="1581"/>
      <c r="K83" s="1671">
        <f t="shared" si="11"/>
        <v>94</v>
      </c>
      <c r="L83" s="1572">
        <v>0</v>
      </c>
    </row>
    <row r="84" spans="1:12" ht="13.5" thickBot="1" x14ac:dyDescent="0.25">
      <c r="A84" s="1379" t="s">
        <v>1466</v>
      </c>
      <c r="B84" s="1384">
        <v>4100</v>
      </c>
      <c r="C84" s="1672"/>
      <c r="D84" s="1672"/>
      <c r="E84" s="1673">
        <f>SUM(E78:E83)</f>
        <v>95521</v>
      </c>
      <c r="F84" s="1672"/>
      <c r="G84" s="1672"/>
      <c r="H84" s="1673">
        <f>SUM(H78:H83)</f>
        <v>94</v>
      </c>
      <c r="I84" s="1581"/>
      <c r="J84" s="1581"/>
      <c r="K84" s="1673">
        <f>SUM(K78:K83)</f>
        <v>95615</v>
      </c>
      <c r="L84" s="1673">
        <f>SUM(L78:L83)</f>
        <v>122193</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692</v>
      </c>
      <c r="B86" s="518">
        <v>4220</v>
      </c>
      <c r="C86" s="1672"/>
      <c r="D86" s="1672"/>
      <c r="E86" s="1683"/>
      <c r="F86" s="1672"/>
      <c r="G86" s="1672"/>
      <c r="H86" s="1573">
        <v>70707</v>
      </c>
      <c r="I86" s="1581"/>
      <c r="J86" s="1581"/>
      <c r="K86" s="1680">
        <f t="shared" ref="K86:K98" si="12">H86</f>
        <v>70707</v>
      </c>
      <c r="L86" s="1625">
        <v>90000</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v>824</v>
      </c>
      <c r="I88" s="1581"/>
      <c r="J88" s="1581"/>
      <c r="K88" s="1680">
        <f t="shared" si="12"/>
        <v>824</v>
      </c>
      <c r="L88" s="1625">
        <v>830</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v>574</v>
      </c>
      <c r="I90" s="1581"/>
      <c r="J90" s="1581"/>
      <c r="K90" s="1680">
        <f t="shared" si="12"/>
        <v>574</v>
      </c>
      <c r="L90" s="1625">
        <v>574</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72105</v>
      </c>
      <c r="I92" s="1581"/>
      <c r="J92" s="1581"/>
      <c r="K92" s="1680">
        <f t="shared" si="12"/>
        <v>72105</v>
      </c>
      <c r="L92" s="1673">
        <f>SUM(L85:L91)</f>
        <v>91404</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95521</v>
      </c>
      <c r="F102" s="1672"/>
      <c r="G102" s="1672"/>
      <c r="H102" s="1680">
        <f>SUM(H84,H92,H100,H101)</f>
        <v>72199</v>
      </c>
      <c r="I102" s="1581"/>
      <c r="J102" s="1581"/>
      <c r="K102" s="1680">
        <f>SUM(K84,K92,K100,K101)</f>
        <v>167720</v>
      </c>
      <c r="L102" s="1680">
        <f>SUM(L84,L92,L100,L101)</f>
        <v>213597</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2827134</v>
      </c>
      <c r="D114" s="1673">
        <f t="shared" ref="D114:K114" si="13">SUM(D33,D74,D75,D102,D112,D113)</f>
        <v>604109</v>
      </c>
      <c r="E114" s="1673">
        <f t="shared" si="13"/>
        <v>259729</v>
      </c>
      <c r="F114" s="1673">
        <f t="shared" si="13"/>
        <v>226549</v>
      </c>
      <c r="G114" s="1673">
        <f t="shared" si="13"/>
        <v>8662</v>
      </c>
      <c r="H114" s="1673">
        <f>SUM(H33,H74,H75,H102,H112,H113)</f>
        <v>84481</v>
      </c>
      <c r="I114" s="1673">
        <f t="shared" si="13"/>
        <v>0</v>
      </c>
      <c r="J114" s="1673">
        <f t="shared" si="13"/>
        <v>0</v>
      </c>
      <c r="K114" s="1673">
        <f t="shared" si="13"/>
        <v>4010664</v>
      </c>
      <c r="L114" s="1673">
        <f>SUM(L33,L74,L75,L102,L112,L113)</f>
        <v>3970592</v>
      </c>
    </row>
    <row r="115" spans="1:14" ht="13.5" thickTop="1" x14ac:dyDescent="0.2">
      <c r="A115" s="2285" t="s">
        <v>987</v>
      </c>
      <c r="B115" s="2286"/>
      <c r="C115" s="1674"/>
      <c r="D115" s="1674"/>
      <c r="E115" s="1674"/>
      <c r="F115" s="1674"/>
      <c r="G115" s="1674"/>
      <c r="H115" s="1674"/>
      <c r="I115" s="1674"/>
      <c r="J115" s="1674"/>
      <c r="K115" s="1688">
        <f>'Revenues 9-14'!C268-'Expenditures 15-22'!K114</f>
        <v>156295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291</v>
      </c>
      <c r="B117" s="2264"/>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1961</v>
      </c>
      <c r="B120" s="512" t="s">
        <v>709</v>
      </c>
      <c r="C120" s="1572"/>
      <c r="D120" s="1572"/>
      <c r="E120" s="1572"/>
      <c r="F120" s="1572"/>
      <c r="G120" s="1572"/>
      <c r="H120" s="1572"/>
      <c r="I120" s="1573"/>
      <c r="J120" s="1573"/>
      <c r="K120" s="1671">
        <f>SUM(C120:J120)</f>
        <v>0</v>
      </c>
      <c r="L120" s="1572">
        <v>0</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c r="D124" s="1572"/>
      <c r="E124" s="1572">
        <f>57898+1200-1</f>
        <v>59097</v>
      </c>
      <c r="F124" s="1572">
        <v>156719</v>
      </c>
      <c r="G124" s="1572">
        <v>23533</v>
      </c>
      <c r="H124" s="1572">
        <v>2500</v>
      </c>
      <c r="I124" s="1573"/>
      <c r="J124" s="1573"/>
      <c r="K124" s="1673">
        <f>SUM(C124:J124)</f>
        <v>241849</v>
      </c>
      <c r="L124" s="1572">
        <v>267500</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59097</v>
      </c>
      <c r="F127" s="1673">
        <f t="shared" si="14"/>
        <v>156719</v>
      </c>
      <c r="G127" s="1673">
        <f t="shared" si="14"/>
        <v>23533</v>
      </c>
      <c r="H127" s="1673">
        <f t="shared" si="14"/>
        <v>2500</v>
      </c>
      <c r="I127" s="1673">
        <f t="shared" si="14"/>
        <v>0</v>
      </c>
      <c r="J127" s="1673">
        <f t="shared" si="14"/>
        <v>0</v>
      </c>
      <c r="K127" s="1673">
        <f t="shared" si="14"/>
        <v>241849</v>
      </c>
      <c r="L127" s="1673">
        <f t="shared" si="14"/>
        <v>267500</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59097</v>
      </c>
      <c r="F129" s="1680">
        <f t="shared" si="15"/>
        <v>156719</v>
      </c>
      <c r="G129" s="1680">
        <f t="shared" si="15"/>
        <v>23533</v>
      </c>
      <c r="H129" s="1680">
        <f t="shared" si="15"/>
        <v>2500</v>
      </c>
      <c r="I129" s="1680">
        <f t="shared" si="15"/>
        <v>0</v>
      </c>
      <c r="J129" s="1680">
        <f t="shared" si="15"/>
        <v>0</v>
      </c>
      <c r="K129" s="1680">
        <f t="shared" si="15"/>
        <v>241849</v>
      </c>
      <c r="L129" s="1680">
        <f t="shared" si="15"/>
        <v>267500</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1814</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75" t="s">
        <v>614</v>
      </c>
      <c r="B151" s="2257"/>
      <c r="C151" s="1673">
        <f>SUM(C129,C130,C139,C149,C150)</f>
        <v>0</v>
      </c>
      <c r="D151" s="1673">
        <f t="shared" ref="D151:K151" si="16">SUM(D129,D130,D139,D149,D150)</f>
        <v>0</v>
      </c>
      <c r="E151" s="1673">
        <f t="shared" si="16"/>
        <v>59097</v>
      </c>
      <c r="F151" s="1673">
        <f t="shared" si="16"/>
        <v>156719</v>
      </c>
      <c r="G151" s="1673">
        <f t="shared" si="16"/>
        <v>23533</v>
      </c>
      <c r="H151" s="1673">
        <f t="shared" si="16"/>
        <v>2500</v>
      </c>
      <c r="I151" s="1673">
        <f t="shared" si="16"/>
        <v>0</v>
      </c>
      <c r="J151" s="1673">
        <f t="shared" si="16"/>
        <v>0</v>
      </c>
      <c r="K151" s="1673">
        <f t="shared" si="16"/>
        <v>241849</v>
      </c>
      <c r="L151" s="1673">
        <f>SUM(L129,L130,L139,L149,L150)</f>
        <v>267500</v>
      </c>
    </row>
    <row r="152" spans="1:14" ht="12.75" customHeight="1" thickTop="1" x14ac:dyDescent="0.2">
      <c r="A152" s="2278" t="s">
        <v>1166</v>
      </c>
      <c r="B152" s="2279"/>
      <c r="C152" s="1674"/>
      <c r="D152" s="1674"/>
      <c r="E152" s="1674"/>
      <c r="F152" s="1674"/>
      <c r="G152" s="1674"/>
      <c r="H152" s="1674"/>
      <c r="I152" s="1674"/>
      <c r="J152" s="1672"/>
      <c r="K152" s="1688">
        <f>'Revenues 9-14'!D268-'Expenditures 15-22'!K151</f>
        <v>97617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615</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1814</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1816</v>
      </c>
      <c r="C158" s="1672"/>
      <c r="D158" s="1672"/>
      <c r="E158" s="1672"/>
      <c r="F158" s="1672"/>
      <c r="G158" s="1672"/>
      <c r="H158" s="1573"/>
      <c r="I158" s="1672"/>
      <c r="J158" s="1672"/>
      <c r="K158" s="1671">
        <f>H158</f>
        <v>0</v>
      </c>
      <c r="L158" s="1573">
        <v>0</v>
      </c>
      <c r="M158" s="505"/>
      <c r="N158" s="505"/>
    </row>
    <row r="159" spans="1:14" s="506" customFormat="1" ht="12" x14ac:dyDescent="0.2">
      <c r="A159" s="1461" t="s">
        <v>1817</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1818</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0</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c r="I169" s="1672"/>
      <c r="J169" s="1672"/>
      <c r="K169" s="1671">
        <f>SUM(C169:H169)</f>
        <v>0</v>
      </c>
      <c r="L169" s="1694">
        <v>0</v>
      </c>
    </row>
    <row r="170" spans="1:14" ht="33.75" customHeight="1" x14ac:dyDescent="0.2">
      <c r="A170" s="543" t="s">
        <v>1649</v>
      </c>
      <c r="B170" s="545" t="s">
        <v>31</v>
      </c>
      <c r="C170" s="1672"/>
      <c r="D170" s="1672"/>
      <c r="E170" s="1672"/>
      <c r="F170" s="1672"/>
      <c r="G170" s="1672"/>
      <c r="H170" s="1645"/>
      <c r="I170" s="1672"/>
      <c r="J170" s="1672"/>
      <c r="K170" s="1671">
        <f>SUM(C170:J170)</f>
        <v>0</v>
      </c>
      <c r="L170" s="1645">
        <v>0</v>
      </c>
    </row>
    <row r="171" spans="1:14" ht="15.75" customHeight="1" x14ac:dyDescent="0.2">
      <c r="A171" s="507" t="s">
        <v>759</v>
      </c>
      <c r="B171" s="546" t="s">
        <v>84</v>
      </c>
      <c r="C171" s="1672"/>
      <c r="D171" s="1672"/>
      <c r="E171" s="1572"/>
      <c r="F171" s="1672"/>
      <c r="G171" s="1672"/>
      <c r="H171" s="1645"/>
      <c r="I171" s="1581"/>
      <c r="J171" s="1672"/>
      <c r="K171" s="1671">
        <f>SUM(C171:J171)</f>
        <v>0</v>
      </c>
      <c r="L171" s="1645">
        <v>0</v>
      </c>
    </row>
    <row r="172" spans="1:14" ht="12.75" customHeight="1" thickBot="1" x14ac:dyDescent="0.25">
      <c r="A172" s="1379" t="s">
        <v>631</v>
      </c>
      <c r="B172" s="1380" t="s">
        <v>487</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85" t="s">
        <v>987</v>
      </c>
      <c r="B175" s="2286"/>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709</v>
      </c>
      <c r="C180" s="1572"/>
      <c r="D180" s="1572"/>
      <c r="E180" s="1572"/>
      <c r="F180" s="1572"/>
      <c r="G180" s="1572"/>
      <c r="H180" s="1572"/>
      <c r="I180" s="1573"/>
      <c r="J180" s="1573"/>
      <c r="K180" s="1671">
        <f>SUM(C180:J180)</f>
        <v>0</v>
      </c>
      <c r="L180" s="1572">
        <v>0</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232721</v>
      </c>
      <c r="D182" s="1572">
        <v>40763</v>
      </c>
      <c r="E182" s="1572">
        <v>13858</v>
      </c>
      <c r="F182" s="1572">
        <v>73807</v>
      </c>
      <c r="G182" s="1572">
        <v>55080</v>
      </c>
      <c r="H182" s="1572"/>
      <c r="I182" s="1573"/>
      <c r="J182" s="1573"/>
      <c r="K182" s="1671">
        <f>SUM(C182:J182)</f>
        <v>416229</v>
      </c>
      <c r="L182" s="1572">
        <v>458467</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232721</v>
      </c>
      <c r="D184" s="1680">
        <f t="shared" ref="D184:J184" si="17">SUM(D180,D182,D183)</f>
        <v>40763</v>
      </c>
      <c r="E184" s="1680">
        <f t="shared" si="17"/>
        <v>13858</v>
      </c>
      <c r="F184" s="1680">
        <f t="shared" si="17"/>
        <v>73807</v>
      </c>
      <c r="G184" s="1680">
        <f t="shared" si="17"/>
        <v>55080</v>
      </c>
      <c r="H184" s="1680">
        <f t="shared" si="17"/>
        <v>0</v>
      </c>
      <c r="I184" s="1680">
        <f t="shared" si="17"/>
        <v>0</v>
      </c>
      <c r="J184" s="1680">
        <f t="shared" si="17"/>
        <v>0</v>
      </c>
      <c r="K184" s="1680">
        <f>SUM(K180,K182,K183)</f>
        <v>416229</v>
      </c>
      <c r="L184" s="1680">
        <f>SUM(L180, L182:L183)</f>
        <v>458467</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1650</v>
      </c>
      <c r="B206" s="546" t="s">
        <v>31</v>
      </c>
      <c r="C206" s="1672"/>
      <c r="D206" s="1672"/>
      <c r="E206" s="1672"/>
      <c r="F206" s="1672"/>
      <c r="G206" s="1672"/>
      <c r="H206" s="1572"/>
      <c r="I206" s="1672"/>
      <c r="J206" s="1672"/>
      <c r="K206" s="1671">
        <f>SUM(H206)</f>
        <v>0</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232721</v>
      </c>
      <c r="D210" s="1673">
        <f>SUM(D184,D185)</f>
        <v>40763</v>
      </c>
      <c r="E210" s="1673">
        <f>SUM(E184,E185,E196)</f>
        <v>13858</v>
      </c>
      <c r="F210" s="1673">
        <f>SUM(F184,F185)</f>
        <v>73807</v>
      </c>
      <c r="G210" s="1673">
        <f>SUM(G184,G185)</f>
        <v>55080</v>
      </c>
      <c r="H210" s="1673">
        <f>SUM(H184,H185,H196,H208,H209)</f>
        <v>0</v>
      </c>
      <c r="I210" s="1673">
        <f>SUM(I184,I185)</f>
        <v>0</v>
      </c>
      <c r="J210" s="1673">
        <f>SUM(J184,J185)</f>
        <v>0</v>
      </c>
      <c r="K210" s="1671">
        <f>SUM(K184,K185,K196,K208,K209)</f>
        <v>416229</v>
      </c>
      <c r="L210" s="1673">
        <f>SUM(L184,L185,L196,L208,L209)</f>
        <v>458467</v>
      </c>
    </row>
    <row r="211" spans="1:14" ht="13.5" thickTop="1" x14ac:dyDescent="0.2">
      <c r="A211" s="2285" t="s">
        <v>987</v>
      </c>
      <c r="B211" s="2286"/>
      <c r="C211" s="1674"/>
      <c r="D211" s="1674"/>
      <c r="E211" s="1674"/>
      <c r="F211" s="1674"/>
      <c r="G211" s="1674"/>
      <c r="H211" s="1674"/>
      <c r="I211" s="1672"/>
      <c r="J211" s="1672"/>
      <c r="K211" s="1688">
        <f>'Revenues 9-14'!F268-'Expenditures 15-22'!K210</f>
        <v>189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957</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20215</v>
      </c>
      <c r="E215" s="1672"/>
      <c r="F215" s="1672"/>
      <c r="G215" s="1672"/>
      <c r="H215" s="1672"/>
      <c r="I215" s="1672"/>
      <c r="J215" s="1672"/>
      <c r="K215" s="1671">
        <f>D215</f>
        <v>20215</v>
      </c>
      <c r="L215" s="1572">
        <v>52974</v>
      </c>
    </row>
    <row r="216" spans="1:14" x14ac:dyDescent="0.2">
      <c r="A216" s="1273" t="s">
        <v>162</v>
      </c>
      <c r="B216" s="503" t="s">
        <v>959</v>
      </c>
      <c r="C216" s="1672"/>
      <c r="D216" s="1573">
        <v>4732</v>
      </c>
      <c r="E216" s="1672"/>
      <c r="F216" s="1672"/>
      <c r="G216" s="1672"/>
      <c r="H216" s="1672"/>
      <c r="I216" s="1672"/>
      <c r="J216" s="1672"/>
      <c r="K216" s="1671">
        <f t="shared" ref="K216:K228" si="19">D216</f>
        <v>4732</v>
      </c>
      <c r="L216" s="1572">
        <v>0</v>
      </c>
    </row>
    <row r="217" spans="1:14" x14ac:dyDescent="0.2">
      <c r="A217" s="1273" t="s">
        <v>163</v>
      </c>
      <c r="B217" s="503">
        <v>1200</v>
      </c>
      <c r="C217" s="1672"/>
      <c r="D217" s="1572">
        <v>20027</v>
      </c>
      <c r="E217" s="1672"/>
      <c r="F217" s="1672"/>
      <c r="G217" s="1672"/>
      <c r="H217" s="1672"/>
      <c r="I217" s="1672"/>
      <c r="J217" s="1672"/>
      <c r="K217" s="1671">
        <f t="shared" si="19"/>
        <v>20027</v>
      </c>
      <c r="L217" s="1572">
        <v>19265</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7115</v>
      </c>
      <c r="E219" s="1672"/>
      <c r="F219" s="1672"/>
      <c r="G219" s="1672"/>
      <c r="H219" s="1672"/>
      <c r="I219" s="1672"/>
      <c r="J219" s="1672"/>
      <c r="K219" s="1671">
        <f t="shared" si="19"/>
        <v>7115</v>
      </c>
      <c r="L219" s="1572">
        <v>7545</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1284</v>
      </c>
      <c r="E222" s="1672"/>
      <c r="F222" s="1672"/>
      <c r="G222" s="1672"/>
      <c r="H222" s="1672"/>
      <c r="I222" s="1672"/>
      <c r="J222" s="1672"/>
      <c r="K222" s="1671">
        <f t="shared" si="19"/>
        <v>1284</v>
      </c>
      <c r="L222" s="1572">
        <v>1395</v>
      </c>
    </row>
    <row r="223" spans="1:14" x14ac:dyDescent="0.2">
      <c r="A223" s="1273" t="s">
        <v>955</v>
      </c>
      <c r="B223" s="503">
        <v>1500</v>
      </c>
      <c r="C223" s="1672"/>
      <c r="D223" s="1572">
        <v>1712</v>
      </c>
      <c r="E223" s="1672"/>
      <c r="F223" s="1672"/>
      <c r="G223" s="1672"/>
      <c r="H223" s="1672"/>
      <c r="I223" s="1672"/>
      <c r="J223" s="1672"/>
      <c r="K223" s="1671">
        <f t="shared" si="19"/>
        <v>1712</v>
      </c>
      <c r="L223" s="1572">
        <v>2250</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c r="E225" s="1672"/>
      <c r="F225" s="1672"/>
      <c r="G225" s="1672"/>
      <c r="H225" s="1672"/>
      <c r="I225" s="1672"/>
      <c r="J225" s="1672"/>
      <c r="K225" s="1671">
        <f t="shared" si="19"/>
        <v>0</v>
      </c>
      <c r="L225" s="1572">
        <v>0</v>
      </c>
    </row>
    <row r="226" spans="1:12" x14ac:dyDescent="0.2">
      <c r="A226" s="1273" t="s">
        <v>717</v>
      </c>
      <c r="B226" s="503" t="s">
        <v>161</v>
      </c>
      <c r="C226" s="1672"/>
      <c r="D226" s="1573">
        <v>654</v>
      </c>
      <c r="E226" s="1672"/>
      <c r="F226" s="1672"/>
      <c r="G226" s="1672"/>
      <c r="H226" s="1672"/>
      <c r="I226" s="1672"/>
      <c r="J226" s="1672"/>
      <c r="K226" s="1671">
        <f t="shared" si="19"/>
        <v>654</v>
      </c>
      <c r="L226" s="1572">
        <v>650</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55739</v>
      </c>
      <c r="E229" s="1672"/>
      <c r="F229" s="1672"/>
      <c r="G229" s="1672"/>
      <c r="H229" s="1672"/>
      <c r="I229" s="1672"/>
      <c r="J229" s="1672"/>
      <c r="K229" s="1673">
        <f>SUM(K215:K228)</f>
        <v>55739</v>
      </c>
      <c r="L229" s="1673">
        <f>SUM(L215:L228)</f>
        <v>84079</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c r="E232" s="1672"/>
      <c r="F232" s="1672"/>
      <c r="G232" s="1672"/>
      <c r="H232" s="1672"/>
      <c r="I232" s="1672"/>
      <c r="J232" s="1672"/>
      <c r="K232" s="1671">
        <f t="shared" ref="K232:K237" si="20">D232</f>
        <v>0</v>
      </c>
      <c r="L232" s="1572">
        <v>0</v>
      </c>
    </row>
    <row r="233" spans="1:12" x14ac:dyDescent="0.2">
      <c r="A233" s="1273" t="s">
        <v>1079</v>
      </c>
      <c r="B233" s="503">
        <v>2120</v>
      </c>
      <c r="C233" s="1672"/>
      <c r="D233" s="1572">
        <v>593</v>
      </c>
      <c r="E233" s="1672"/>
      <c r="F233" s="1672"/>
      <c r="G233" s="1672"/>
      <c r="H233" s="1672"/>
      <c r="I233" s="1672"/>
      <c r="J233" s="1672"/>
      <c r="K233" s="1671">
        <f t="shared" si="20"/>
        <v>593</v>
      </c>
      <c r="L233" s="1572">
        <v>600</v>
      </c>
    </row>
    <row r="234" spans="1:12" x14ac:dyDescent="0.2">
      <c r="A234" s="1273" t="s">
        <v>196</v>
      </c>
      <c r="B234" s="503">
        <v>2130</v>
      </c>
      <c r="C234" s="1672"/>
      <c r="D234" s="1572">
        <v>1670</v>
      </c>
      <c r="E234" s="1672"/>
      <c r="F234" s="1672"/>
      <c r="G234" s="1672"/>
      <c r="H234" s="1672"/>
      <c r="I234" s="1672"/>
      <c r="J234" s="1672"/>
      <c r="K234" s="1671">
        <f t="shared" si="20"/>
        <v>1670</v>
      </c>
      <c r="L234" s="1572">
        <v>3250</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v>666</v>
      </c>
      <c r="E236" s="1672"/>
      <c r="F236" s="1672"/>
      <c r="G236" s="1672"/>
      <c r="H236" s="1672"/>
      <c r="I236" s="1672"/>
      <c r="J236" s="1672"/>
      <c r="K236" s="1671">
        <f t="shared" si="20"/>
        <v>666</v>
      </c>
      <c r="L236" s="1572">
        <v>705</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554</v>
      </c>
      <c r="B238" s="1382" t="s">
        <v>709</v>
      </c>
      <c r="C238" s="1672"/>
      <c r="D238" s="1673">
        <f>SUM(D232:D237)</f>
        <v>2929</v>
      </c>
      <c r="E238" s="1672"/>
      <c r="F238" s="1672"/>
      <c r="G238" s="1672"/>
      <c r="H238" s="1672"/>
      <c r="I238" s="1672"/>
      <c r="J238" s="1672"/>
      <c r="K238" s="1673">
        <f>SUM(K232:K237)</f>
        <v>2929</v>
      </c>
      <c r="L238" s="1673">
        <f>SUM(L232:L237)</f>
        <v>4555</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681</v>
      </c>
      <c r="E240" s="1672"/>
      <c r="F240" s="1672"/>
      <c r="G240" s="1672"/>
      <c r="H240" s="1672"/>
      <c r="I240" s="1672"/>
      <c r="J240" s="1672"/>
      <c r="K240" s="1677">
        <f>D240</f>
        <v>681</v>
      </c>
      <c r="L240" s="1585">
        <v>890</v>
      </c>
    </row>
    <row r="241" spans="1:12" x14ac:dyDescent="0.2">
      <c r="A241" s="1273" t="s">
        <v>808</v>
      </c>
      <c r="B241" s="503">
        <v>2220</v>
      </c>
      <c r="C241" s="1672"/>
      <c r="D241" s="1572">
        <v>141</v>
      </c>
      <c r="E241" s="1672"/>
      <c r="F241" s="1672"/>
      <c r="G241" s="1672"/>
      <c r="H241" s="1672"/>
      <c r="I241" s="1672"/>
      <c r="J241" s="1672"/>
      <c r="K241" s="1677">
        <f>D241</f>
        <v>141</v>
      </c>
      <c r="L241" s="1572">
        <v>220</v>
      </c>
    </row>
    <row r="242" spans="1:12" x14ac:dyDescent="0.2">
      <c r="A242" s="1273" t="s">
        <v>809</v>
      </c>
      <c r="B242" s="503">
        <v>2230</v>
      </c>
      <c r="C242" s="1672"/>
      <c r="D242" s="1572"/>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822</v>
      </c>
      <c r="E243" s="1672"/>
      <c r="F243" s="1672"/>
      <c r="G243" s="1672"/>
      <c r="H243" s="1672"/>
      <c r="I243" s="1672"/>
      <c r="J243" s="1672"/>
      <c r="K243" s="1673">
        <f>SUM(K240:K242)</f>
        <v>822</v>
      </c>
      <c r="L243" s="1673">
        <f>SUM(L240:L242)</f>
        <v>1110</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0</v>
      </c>
    </row>
    <row r="246" spans="1:12" x14ac:dyDescent="0.2">
      <c r="A246" s="1273" t="s">
        <v>811</v>
      </c>
      <c r="B246" s="503">
        <v>2320</v>
      </c>
      <c r="C246" s="1672"/>
      <c r="D246" s="1572">
        <v>6206</v>
      </c>
      <c r="E246" s="1672"/>
      <c r="F246" s="1672"/>
      <c r="G246" s="1672"/>
      <c r="H246" s="1672"/>
      <c r="I246" s="1672"/>
      <c r="J246" s="1672"/>
      <c r="K246" s="1677">
        <f t="shared" ref="K246:K256" si="21">D246</f>
        <v>6206</v>
      </c>
      <c r="L246" s="1572">
        <v>6795</v>
      </c>
    </row>
    <row r="247" spans="1:12" x14ac:dyDescent="0.2">
      <c r="A247" s="1273" t="s">
        <v>812</v>
      </c>
      <c r="B247" s="503">
        <v>2330</v>
      </c>
      <c r="C247" s="1672"/>
      <c r="D247" s="1572"/>
      <c r="E247" s="1672"/>
      <c r="F247" s="1672"/>
      <c r="G247" s="1672"/>
      <c r="H247" s="1672"/>
      <c r="I247" s="1672"/>
      <c r="J247" s="1672"/>
      <c r="K247" s="1677">
        <f t="shared" si="21"/>
        <v>0</v>
      </c>
      <c r="L247" s="1572">
        <v>0</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1780</v>
      </c>
      <c r="B249" s="557" t="s">
        <v>278</v>
      </c>
      <c r="C249" s="1672"/>
      <c r="D249" s="1578"/>
      <c r="E249" s="1672"/>
      <c r="F249" s="1672"/>
      <c r="G249" s="1672"/>
      <c r="H249" s="1672"/>
      <c r="I249" s="1672"/>
      <c r="J249" s="1672"/>
      <c r="K249" s="1677">
        <f t="shared" si="21"/>
        <v>0</v>
      </c>
      <c r="L249" s="1572">
        <v>0</v>
      </c>
    </row>
    <row r="250" spans="1:12" x14ac:dyDescent="0.2">
      <c r="A250" s="1274" t="s">
        <v>1781</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c r="E254" s="1672"/>
      <c r="F254" s="1672"/>
      <c r="G254" s="1672"/>
      <c r="H254" s="1672"/>
      <c r="I254" s="1672"/>
      <c r="J254" s="1672"/>
      <c r="K254" s="1677">
        <f t="shared" si="21"/>
        <v>0</v>
      </c>
      <c r="L254" s="1572">
        <v>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6206</v>
      </c>
      <c r="E257" s="1672"/>
      <c r="F257" s="1672"/>
      <c r="G257" s="1672"/>
      <c r="H257" s="1672"/>
      <c r="I257" s="1672"/>
      <c r="J257" s="1672"/>
      <c r="K257" s="1673">
        <f>SUM(K245:K256)</f>
        <v>6206</v>
      </c>
      <c r="L257" s="1673">
        <f>SUM(L245:L256)</f>
        <v>6795</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10485</v>
      </c>
      <c r="E259" s="1672"/>
      <c r="F259" s="1672"/>
      <c r="G259" s="1672"/>
      <c r="H259" s="1672"/>
      <c r="I259" s="1672"/>
      <c r="J259" s="1672"/>
      <c r="K259" s="1677">
        <f>D259</f>
        <v>10485</v>
      </c>
      <c r="L259" s="1585">
        <v>11435</v>
      </c>
    </row>
    <row r="260" spans="1:14" s="493" customFormat="1" x14ac:dyDescent="0.2">
      <c r="A260" s="1291" t="s">
        <v>1779</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10485</v>
      </c>
      <c r="E261" s="1672"/>
      <c r="F261" s="1672"/>
      <c r="G261" s="1672"/>
      <c r="H261" s="1672"/>
      <c r="I261" s="1672"/>
      <c r="J261" s="1672"/>
      <c r="K261" s="1673">
        <f>SUM(K259:K260)</f>
        <v>10485</v>
      </c>
      <c r="L261" s="1673">
        <f>SUM(L259:L260)</f>
        <v>11435</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5950</v>
      </c>
      <c r="E264" s="1672"/>
      <c r="F264" s="1672"/>
      <c r="G264" s="1672"/>
      <c r="H264" s="1672"/>
      <c r="I264" s="1672"/>
      <c r="J264" s="1672"/>
      <c r="K264" s="1677">
        <f t="shared" ref="K264:K269" si="22">D264</f>
        <v>5950</v>
      </c>
      <c r="L264" s="1572">
        <v>6655</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22510</v>
      </c>
      <c r="E266" s="1672"/>
      <c r="F266" s="1672"/>
      <c r="G266" s="1672"/>
      <c r="H266" s="1672"/>
      <c r="I266" s="1672"/>
      <c r="J266" s="1672"/>
      <c r="K266" s="1677">
        <f t="shared" si="22"/>
        <v>22510</v>
      </c>
      <c r="L266" s="1572">
        <v>24810</v>
      </c>
    </row>
    <row r="267" spans="1:14" x14ac:dyDescent="0.2">
      <c r="A267" s="1273" t="s">
        <v>945</v>
      </c>
      <c r="B267" s="503">
        <v>2550</v>
      </c>
      <c r="C267" s="1672"/>
      <c r="D267" s="1572">
        <v>30332</v>
      </c>
      <c r="E267" s="1672"/>
      <c r="F267" s="1672"/>
      <c r="G267" s="1672"/>
      <c r="H267" s="1672"/>
      <c r="I267" s="1672"/>
      <c r="J267" s="1672"/>
      <c r="K267" s="1677">
        <f t="shared" si="22"/>
        <v>30332</v>
      </c>
      <c r="L267" s="1572">
        <v>33767</v>
      </c>
    </row>
    <row r="268" spans="1:14" x14ac:dyDescent="0.2">
      <c r="A268" s="1273" t="s">
        <v>100</v>
      </c>
      <c r="B268" s="503">
        <v>2560</v>
      </c>
      <c r="C268" s="1672"/>
      <c r="D268" s="1572">
        <v>7922</v>
      </c>
      <c r="E268" s="1672"/>
      <c r="F268" s="1672"/>
      <c r="G268" s="1672"/>
      <c r="H268" s="1672"/>
      <c r="I268" s="1672"/>
      <c r="J268" s="1672"/>
      <c r="K268" s="1677">
        <f t="shared" si="22"/>
        <v>7922</v>
      </c>
      <c r="L268" s="1572">
        <v>8625</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66714</v>
      </c>
      <c r="E270" s="1672"/>
      <c r="F270" s="1672"/>
      <c r="G270" s="1672"/>
      <c r="H270" s="1672"/>
      <c r="I270" s="1672"/>
      <c r="J270" s="1672"/>
      <c r="K270" s="1673">
        <f>SUM(K263:K269)</f>
        <v>66714</v>
      </c>
      <c r="L270" s="1673">
        <f>SUM(L263:L269)</f>
        <v>73857</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87156</v>
      </c>
      <c r="E279" s="1672"/>
      <c r="F279" s="1672"/>
      <c r="G279" s="1672"/>
      <c r="H279" s="1672"/>
      <c r="I279" s="1672"/>
      <c r="J279" s="1672"/>
      <c r="K279" s="1680">
        <f>SUM(K238,K243,K257,K261,K270,K277,K278)</f>
        <v>87156</v>
      </c>
      <c r="L279" s="1680">
        <f>SUM(L238,L243,L257,L261,L270,L277,L278)</f>
        <v>97752</v>
      </c>
    </row>
    <row r="280" spans="1:12" ht="15.75" customHeight="1" thickTop="1" thickBot="1" x14ac:dyDescent="0.25">
      <c r="A280" s="1361" t="s">
        <v>868</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1814</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76" t="s">
        <v>500</v>
      </c>
      <c r="B295" s="2277"/>
      <c r="C295" s="1672"/>
      <c r="D295" s="1673">
        <f>SUM(D229,D279,D280,D285)</f>
        <v>142895</v>
      </c>
      <c r="E295" s="1672"/>
      <c r="F295" s="1672"/>
      <c r="G295" s="1672"/>
      <c r="H295" s="1673">
        <f>H293</f>
        <v>0</v>
      </c>
      <c r="I295" s="1672"/>
      <c r="J295" s="1672"/>
      <c r="K295" s="1673">
        <f>SUM(K229,K279,K280,K285,K293,K294)</f>
        <v>142895</v>
      </c>
      <c r="L295" s="1673">
        <f>SUM(L229,L279,L280,L285,L293,L294)</f>
        <v>181831</v>
      </c>
    </row>
    <row r="296" spans="1:14" ht="13.5" thickTop="1" x14ac:dyDescent="0.2">
      <c r="A296" s="2285" t="s">
        <v>987</v>
      </c>
      <c r="B296" s="2286"/>
      <c r="C296" s="1672"/>
      <c r="D296" s="1674"/>
      <c r="E296" s="1672"/>
      <c r="F296" s="1672"/>
      <c r="G296" s="1672"/>
      <c r="H296" s="1706"/>
      <c r="I296" s="1672"/>
      <c r="J296" s="1672"/>
      <c r="K296" s="1688">
        <f>'Revenues 9-14'!G268-'Expenditures 15-22'!K295</f>
        <v>23681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c r="F301" s="1572"/>
      <c r="G301" s="1572"/>
      <c r="H301" s="1572"/>
      <c r="I301" s="1573"/>
      <c r="J301" s="1573"/>
      <c r="K301" s="1671">
        <f>SUM(C301:J301)</f>
        <v>0</v>
      </c>
      <c r="L301" s="1573">
        <v>0</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73" t="s">
        <v>273</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69" t="s">
        <v>987</v>
      </c>
      <c r="B313" s="227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890</v>
      </c>
      <c r="B317" s="2283"/>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1780</v>
      </c>
      <c r="B320" s="568" t="s">
        <v>278</v>
      </c>
      <c r="C320" s="1573"/>
      <c r="D320" s="1573"/>
      <c r="E320" s="1573">
        <v>121494</v>
      </c>
      <c r="F320" s="1573"/>
      <c r="G320" s="1573"/>
      <c r="H320" s="1573"/>
      <c r="I320" s="1573"/>
      <c r="J320" s="1573"/>
      <c r="K320" s="1671">
        <f t="shared" ref="K320:K327" si="24">SUM(C320:J320)</f>
        <v>121494</v>
      </c>
      <c r="L320" s="1573">
        <v>105000</v>
      </c>
      <c r="M320" s="539"/>
      <c r="N320" s="539"/>
    </row>
    <row r="321" spans="1:14" s="548" customFormat="1" x14ac:dyDescent="0.2">
      <c r="A321" s="1288" t="s">
        <v>295</v>
      </c>
      <c r="B321" s="567" t="s">
        <v>279</v>
      </c>
      <c r="C321" s="1573"/>
      <c r="D321" s="1573"/>
      <c r="E321" s="1573">
        <v>750</v>
      </c>
      <c r="F321" s="1573"/>
      <c r="G321" s="1573"/>
      <c r="H321" s="1573"/>
      <c r="I321" s="1573"/>
      <c r="J321" s="1573"/>
      <c r="K321" s="1671">
        <f t="shared" si="24"/>
        <v>750</v>
      </c>
      <c r="L321" s="1573">
        <v>625</v>
      </c>
      <c r="M321" s="539"/>
      <c r="N321" s="539"/>
    </row>
    <row r="322" spans="1:14" s="548" customFormat="1" x14ac:dyDescent="0.2">
      <c r="A322" s="1288" t="s">
        <v>236</v>
      </c>
      <c r="B322" s="567" t="s">
        <v>280</v>
      </c>
      <c r="C322" s="1573"/>
      <c r="D322" s="1573"/>
      <c r="E322" s="1573">
        <v>53174</v>
      </c>
      <c r="F322" s="1573"/>
      <c r="G322" s="1573"/>
      <c r="H322" s="1573"/>
      <c r="I322" s="1573"/>
      <c r="J322" s="1573"/>
      <c r="K322" s="1671">
        <f t="shared" si="24"/>
        <v>53174</v>
      </c>
      <c r="L322" s="1573">
        <v>45000</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v>3504</v>
      </c>
      <c r="D325" s="1573"/>
      <c r="E325" s="1573"/>
      <c r="F325" s="1573"/>
      <c r="G325" s="1573"/>
      <c r="H325" s="1573"/>
      <c r="I325" s="1573"/>
      <c r="J325" s="1573"/>
      <c r="K325" s="1671">
        <f t="shared" si="24"/>
        <v>3504</v>
      </c>
      <c r="L325" s="1573">
        <v>20000</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v>14176</v>
      </c>
      <c r="F327" s="1573"/>
      <c r="G327" s="1573"/>
      <c r="H327" s="1573"/>
      <c r="I327" s="1573"/>
      <c r="J327" s="1573"/>
      <c r="K327" s="1671">
        <f t="shared" si="24"/>
        <v>14176</v>
      </c>
      <c r="L327" s="1573">
        <v>20500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3504</v>
      </c>
      <c r="D330" s="1673">
        <f t="shared" ref="D330:J330" si="25">SUM(D319:D329)</f>
        <v>0</v>
      </c>
      <c r="E330" s="1673">
        <f t="shared" si="25"/>
        <v>189594</v>
      </c>
      <c r="F330" s="1673">
        <f t="shared" si="25"/>
        <v>0</v>
      </c>
      <c r="G330" s="1673">
        <f t="shared" si="25"/>
        <v>0</v>
      </c>
      <c r="H330" s="1673">
        <f t="shared" si="25"/>
        <v>0</v>
      </c>
      <c r="I330" s="1673">
        <f t="shared" si="25"/>
        <v>0</v>
      </c>
      <c r="J330" s="1673">
        <f t="shared" si="25"/>
        <v>0</v>
      </c>
      <c r="K330" s="1673">
        <f>SUM(K319:K329)</f>
        <v>193098</v>
      </c>
      <c r="L330" s="1673">
        <f>SUM(L319:L329)</f>
        <v>191125</v>
      </c>
      <c r="M330" s="539"/>
      <c r="N330" s="539"/>
    </row>
    <row r="331" spans="1:14" s="548" customFormat="1" ht="12.75" customHeight="1" thickTop="1" x14ac:dyDescent="0.2">
      <c r="A331" s="1466" t="s">
        <v>1820</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1814</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1816</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1821</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3504</v>
      </c>
      <c r="D342" s="1673">
        <f>SUM(D330)</f>
        <v>0</v>
      </c>
      <c r="E342" s="1673">
        <f>SUM(E330)</f>
        <v>189594</v>
      </c>
      <c r="F342" s="1673">
        <f>SUM(F330)</f>
        <v>0</v>
      </c>
      <c r="G342" s="1673">
        <f>SUM(G330)</f>
        <v>0</v>
      </c>
      <c r="H342" s="1673">
        <f>SUM(H330,H334,H340)</f>
        <v>0</v>
      </c>
      <c r="I342" s="1673">
        <f>SUM(I330)</f>
        <v>0</v>
      </c>
      <c r="J342" s="1673">
        <f>SUM(J330)</f>
        <v>0</v>
      </c>
      <c r="K342" s="1673">
        <f>SUM(K330,K334,K340)</f>
        <v>193098</v>
      </c>
      <c r="L342" s="1680">
        <f>SUM(L330,L334,L340,L341)</f>
        <v>191125</v>
      </c>
    </row>
    <row r="343" spans="1:14" ht="12.75" customHeight="1" thickTop="1" x14ac:dyDescent="0.2">
      <c r="A343" s="2271" t="s">
        <v>987</v>
      </c>
      <c r="B343" s="2272"/>
      <c r="C343" s="1672"/>
      <c r="D343" s="1672"/>
      <c r="E343" s="1672"/>
      <c r="F343" s="1672"/>
      <c r="G343" s="1672"/>
      <c r="H343" s="1672"/>
      <c r="I343" s="1672"/>
      <c r="J343" s="1672"/>
      <c r="K343" s="1688">
        <f>'Revenues 9-14'!J268-'Expenditures 15-22'!K342</f>
        <v>10974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958</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1132</v>
      </c>
      <c r="F348" s="1572">
        <v>2557</v>
      </c>
      <c r="G348" s="1572"/>
      <c r="H348" s="1572"/>
      <c r="I348" s="1573"/>
      <c r="J348" s="1573"/>
      <c r="K348" s="1671">
        <f>SUM(C348:J348)</f>
        <v>3689</v>
      </c>
      <c r="L348" s="1572">
        <v>7000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712</v>
      </c>
      <c r="B350" s="1380" t="s">
        <v>35</v>
      </c>
      <c r="C350" s="1673">
        <f>SUM(C348:C349)</f>
        <v>0</v>
      </c>
      <c r="D350" s="1673">
        <f t="shared" ref="D350:L350" si="26">SUM(D348:D349)</f>
        <v>0</v>
      </c>
      <c r="E350" s="1673">
        <f t="shared" si="26"/>
        <v>1132</v>
      </c>
      <c r="F350" s="1673">
        <f t="shared" si="26"/>
        <v>2557</v>
      </c>
      <c r="G350" s="1673">
        <f t="shared" si="26"/>
        <v>0</v>
      </c>
      <c r="H350" s="1673">
        <f t="shared" si="26"/>
        <v>0</v>
      </c>
      <c r="I350" s="1673">
        <f t="shared" si="26"/>
        <v>0</v>
      </c>
      <c r="J350" s="1673">
        <f t="shared" si="26"/>
        <v>0</v>
      </c>
      <c r="K350" s="1673">
        <f t="shared" si="26"/>
        <v>3689</v>
      </c>
      <c r="L350" s="1673">
        <f t="shared" si="26"/>
        <v>7000</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1132</v>
      </c>
      <c r="F352" s="1673">
        <f t="shared" si="27"/>
        <v>2557</v>
      </c>
      <c r="G352" s="1673">
        <f t="shared" si="27"/>
        <v>0</v>
      </c>
      <c r="H352" s="1673">
        <f t="shared" si="27"/>
        <v>0</v>
      </c>
      <c r="I352" s="1673">
        <f t="shared" si="27"/>
        <v>0</v>
      </c>
      <c r="J352" s="1673">
        <f t="shared" si="27"/>
        <v>0</v>
      </c>
      <c r="K352" s="1673">
        <f t="shared" si="27"/>
        <v>3689</v>
      </c>
      <c r="L352" s="1673">
        <f t="shared" si="27"/>
        <v>7000</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v>0</v>
      </c>
    </row>
    <row r="355" spans="1:14" ht="12.75" customHeight="1" x14ac:dyDescent="0.2">
      <c r="A355" s="1282" t="s">
        <v>1823</v>
      </c>
      <c r="B355" s="562" t="s">
        <v>1816</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1132</v>
      </c>
      <c r="F367" s="1673">
        <f t="shared" si="28"/>
        <v>2557</v>
      </c>
      <c r="G367" s="1673">
        <f t="shared" si="28"/>
        <v>0</v>
      </c>
      <c r="H367" s="1673">
        <f t="shared" si="28"/>
        <v>0</v>
      </c>
      <c r="I367" s="1673">
        <f t="shared" si="28"/>
        <v>0</v>
      </c>
      <c r="J367" s="1673">
        <f t="shared" si="28"/>
        <v>0</v>
      </c>
      <c r="K367" s="1673">
        <f t="shared" si="28"/>
        <v>3689</v>
      </c>
      <c r="L367" s="1673">
        <f t="shared" si="28"/>
        <v>7000</v>
      </c>
    </row>
    <row r="368" spans="1:14" ht="13.5" thickTop="1" x14ac:dyDescent="0.2">
      <c r="A368" s="2285" t="s">
        <v>987</v>
      </c>
      <c r="B368" s="2286"/>
      <c r="C368" s="1693"/>
      <c r="D368" s="1693"/>
      <c r="E368" s="1676"/>
      <c r="F368" s="1676"/>
      <c r="G368" s="1676"/>
      <c r="H368" s="1676"/>
      <c r="I368" s="1676"/>
      <c r="J368" s="1675"/>
      <c r="K368" s="1671">
        <f>'Revenues 9-14'!K268-'Expenditures 15-22'!K367</f>
        <v>22494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&amp;C&amp;"Arial,Bold"&amp;9POPE COUNTY COMMUNITY UNIT SCHOOL DISTRICT #1
STATEMENT OF EXPENDITURES DISBURSED/EXPENDITURES, BUDGET TO ACTUAL
FOR THE YEAR ENDING JUNE 30, 2020</oddHeader>
    <oddFooter>&amp;C&amp;11The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d21dc803-237d-4c68-8692-8d731fd29118"/>
    <ds:schemaRef ds:uri="4d435f69-8686-490b-bd6d-b153bf22ab50"/>
    <ds:schemaRef ds:uri="http://schemas.openxmlformats.org/package/2006/metadata/core-properties"/>
    <ds:schemaRef ds:uri="http://purl.org/dc/elements/1.1/"/>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2021-01-14T22:12:14Z</cp:lastPrinted>
  <dcterms:created xsi:type="dcterms:W3CDTF">2003-10-29T19:06:34Z</dcterms:created>
  <dcterms:modified xsi:type="dcterms:W3CDTF">2021-01-22T18:02:26Z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