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84CB41-4FEB-40C6-BD9A-4A6823EF3E4C}" xr6:coauthVersionLast="36" xr6:coauthVersionMax="36" xr10:uidLastSave="{00000000-0000-0000-0000-000000000000}"/>
  <bookViews>
    <workbookView xWindow="-24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F32" i="183"/>
  <c r="F31" i="183"/>
  <c r="F30" i="183"/>
  <c r="F29" i="183"/>
  <c r="F28" i="183"/>
  <c r="F27" i="183"/>
  <c r="F26" i="183"/>
  <c r="F24" i="183"/>
  <c r="F23" i="183"/>
  <c r="F22" i="183"/>
  <c r="E32" i="183"/>
  <c r="E31" i="183"/>
  <c r="E30" i="183"/>
  <c r="E29" i="183"/>
  <c r="E28" i="183"/>
  <c r="E27" i="183"/>
  <c r="E26" i="183"/>
  <c r="E25" i="183"/>
  <c r="F25" i="183" s="1"/>
  <c r="E24" i="183"/>
  <c r="E23" i="183"/>
  <c r="E22" i="183"/>
  <c r="E21" i="183"/>
  <c r="F21" i="183" s="1"/>
  <c r="E20" i="183"/>
  <c r="F20" i="183" s="1"/>
  <c r="E19" i="183"/>
  <c r="F19" i="183" s="1"/>
  <c r="E18" i="183"/>
  <c r="F18" i="183"/>
  <c r="E17" i="183"/>
  <c r="F17" i="183" s="1"/>
  <c r="B7885" i="106"/>
  <c r="D7885" i="106" s="1"/>
  <c r="B7884" i="106"/>
  <c r="D7884" i="106" s="1"/>
  <c r="B7883" i="106"/>
  <c r="D7883" i="106" s="1"/>
  <c r="B7882" i="106"/>
  <c r="D7882" i="106" s="1"/>
  <c r="B11" i="7"/>
  <c r="B1752" i="106" s="1"/>
  <c r="D1752" i="106" s="1"/>
  <c r="D7836" i="106"/>
  <c r="J88" i="28"/>
  <c r="B7759" i="106" s="1"/>
  <c r="D7759" i="106" s="1"/>
  <c r="J85" i="28"/>
  <c r="B7758" i="106" s="1"/>
  <c r="D7758" i="106" s="1"/>
  <c r="B7819" i="106"/>
  <c r="D7819" i="106" s="1"/>
  <c r="B7818" i="106"/>
  <c r="D7818" i="106" s="1"/>
  <c r="D33" i="183"/>
  <c r="D82" i="36" s="1"/>
  <c r="A15" i="183"/>
  <c r="D81" i="36"/>
  <c r="D80" i="36"/>
  <c r="D79" i="36"/>
  <c r="D79" i="34"/>
  <c r="D179" i="34" s="1"/>
  <c r="A46" i="24"/>
  <c r="F2" i="8"/>
  <c r="B2" i="24"/>
  <c r="B1" i="24"/>
  <c r="A1" i="24"/>
  <c r="A2" i="24"/>
  <c r="C8" i="176"/>
  <c r="C10" i="175"/>
  <c r="B45" i="174"/>
  <c r="G9" i="179"/>
  <c r="H8" i="179"/>
  <c r="J8" i="179"/>
  <c r="I9" i="179"/>
  <c r="F9" i="179"/>
  <c r="E9" i="179"/>
  <c r="A4" i="169"/>
  <c r="B4" i="179"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D7236" i="106" s="1"/>
  <c r="B15" i="7"/>
  <c r="B1756" i="106" s="1"/>
  <c r="D1756" i="106" s="1"/>
  <c r="D168" i="34"/>
  <c r="D167" i="34"/>
  <c r="C168" i="34"/>
  <c r="C167" i="34"/>
  <c r="F168" i="34"/>
  <c r="F167"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D5196" i="106" s="1"/>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B3673" i="106" s="1"/>
  <c r="D3673" i="106" s="1"/>
  <c r="K355" i="29"/>
  <c r="B7794" i="106" s="1"/>
  <c r="D7794" i="106" s="1"/>
  <c r="K354" i="29"/>
  <c r="H357" i="29"/>
  <c r="B7237" i="106" s="1"/>
  <c r="D7237" i="106" s="1"/>
  <c r="L334" i="29"/>
  <c r="K333" i="29"/>
  <c r="B7788" i="106" s="1"/>
  <c r="D7788" i="106" s="1"/>
  <c r="K332" i="29"/>
  <c r="B7786" i="106" s="1"/>
  <c r="D7786" i="106" s="1"/>
  <c r="H334" i="29"/>
  <c r="B7789" i="106" s="1"/>
  <c r="D7789" i="106" s="1"/>
  <c r="K282" i="29"/>
  <c r="B7784" i="106" s="1"/>
  <c r="D7784" i="106" s="1"/>
  <c r="H160" i="29"/>
  <c r="B7053" i="106" s="1"/>
  <c r="D7053" i="106" s="1"/>
  <c r="K159" i="29"/>
  <c r="B7782" i="106"/>
  <c r="D7782" i="106" s="1"/>
  <c r="K158" i="29"/>
  <c r="B7780" i="106" s="1"/>
  <c r="D7780" i="106" s="1"/>
  <c r="K157" i="29"/>
  <c r="B7778" i="106" s="1"/>
  <c r="D7778" i="106" s="1"/>
  <c r="B7795" i="106"/>
  <c r="K133" i="29"/>
  <c r="B7776" i="106" s="1"/>
  <c r="D7776" i="106" s="1"/>
  <c r="B7793" i="106"/>
  <c r="D7793" i="106" s="1"/>
  <c r="B7791" i="106"/>
  <c r="D7791" i="106" s="1"/>
  <c r="B7787" i="106"/>
  <c r="D7787" i="106" s="1"/>
  <c r="B7785" i="106"/>
  <c r="D7785" i="106" s="1"/>
  <c r="B7783" i="106"/>
  <c r="D7783" i="106" s="1"/>
  <c r="B7781" i="106"/>
  <c r="D7781" i="106" s="1"/>
  <c r="B7779" i="106"/>
  <c r="D7779" i="106" s="1"/>
  <c r="B7777" i="106"/>
  <c r="D7777" i="106" s="1"/>
  <c r="B7775" i="106"/>
  <c r="B7774" i="106"/>
  <c r="D7774" i="106" s="1"/>
  <c r="L357" i="29"/>
  <c r="L285" i="29"/>
  <c r="D285" i="29"/>
  <c r="B3722" i="106" s="1"/>
  <c r="D3722" i="106" s="1"/>
  <c r="L160" i="29"/>
  <c r="L137" i="29"/>
  <c r="L139" i="29" s="1"/>
  <c r="H137" i="29"/>
  <c r="H139" i="29" s="1"/>
  <c r="B1267" i="106" s="1"/>
  <c r="D1267" i="106" s="1"/>
  <c r="E137" i="29"/>
  <c r="E139" i="29" s="1"/>
  <c r="B4203" i="106" s="1"/>
  <c r="D4203" i="106" s="1"/>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s="1"/>
  <c r="A7" i="169"/>
  <c r="B1" i="174" s="1"/>
  <c r="G43" i="174"/>
  <c r="D47" i="174" s="1"/>
  <c r="E34" i="173"/>
  <c r="D47"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60" i="34"/>
  <c r="B7867" i="106" s="1"/>
  <c r="D7867" i="106" s="1"/>
  <c r="B7769" i="106"/>
  <c r="D7769" i="106" s="1"/>
  <c r="B7768" i="106"/>
  <c r="D7768" i="106" s="1"/>
  <c r="B7766" i="106"/>
  <c r="D7766" i="106" s="1"/>
  <c r="B7765" i="106"/>
  <c r="D7765" i="106" s="1"/>
  <c r="B7764" i="106"/>
  <c r="D7764" i="106" s="1"/>
  <c r="K6" i="29"/>
  <c r="B7763" i="106" s="1"/>
  <c r="D7763" i="106" s="1"/>
  <c r="B7762" i="106"/>
  <c r="D7762" i="106" s="1"/>
  <c r="K12" i="12"/>
  <c r="B7719" i="106" s="1"/>
  <c r="D7719" i="106" s="1"/>
  <c r="K23" i="12"/>
  <c r="B7800" i="106" s="1"/>
  <c r="D7800" i="106" s="1"/>
  <c r="J12" i="12"/>
  <c r="B7718" i="106" s="1"/>
  <c r="D7718" i="106" s="1"/>
  <c r="J21" i="12"/>
  <c r="B7727" i="106" s="1"/>
  <c r="D7727" i="106"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49" i="29"/>
  <c r="D78" i="36"/>
  <c r="K75" i="29"/>
  <c r="C14" i="4" s="1"/>
  <c r="B2558" i="106" s="1"/>
  <c r="D2558" i="106" s="1"/>
  <c r="K130" i="29"/>
  <c r="F56" i="34" s="1"/>
  <c r="B7832" i="106" s="1"/>
  <c r="D7832" i="106" s="1"/>
  <c r="K185" i="29"/>
  <c r="B2836" i="106" s="1"/>
  <c r="D2836" i="106" s="1"/>
  <c r="K122" i="29"/>
  <c r="F15" i="184" s="1"/>
  <c r="F19" i="184" s="1"/>
  <c r="K67" i="29"/>
  <c r="E33" i="108" s="1"/>
  <c r="K64" i="29"/>
  <c r="D31" i="108" s="1"/>
  <c r="K59" i="29"/>
  <c r="B1126" i="106" s="1"/>
  <c r="D1126" i="106" s="1"/>
  <c r="K56" i="29"/>
  <c r="B1124" i="106" s="1"/>
  <c r="D1124" i="106"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41" i="3" s="1"/>
  <c r="B124" i="106" s="1"/>
  <c r="D124"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39" i="106" s="1"/>
  <c r="D139"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s="1"/>
  <c r="D169" i="106" s="1"/>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1" i="106" s="1"/>
  <c r="D211"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c r="D843" i="106" s="1"/>
  <c r="B844" i="106"/>
  <c r="D844" i="106" s="1"/>
  <c r="B845" i="106"/>
  <c r="D845" i="106" s="1"/>
  <c r="B846" i="106"/>
  <c r="D846" i="106" s="1"/>
  <c r="E47" i="29"/>
  <c r="B847" i="106" s="1"/>
  <c r="D847" i="106" s="1"/>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B1109" i="106" s="1"/>
  <c r="D1109" i="106" s="1"/>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3" i="106" s="1"/>
  <c r="D1123" i="106" s="1"/>
  <c r="K60" i="29"/>
  <c r="F27" i="108" s="1"/>
  <c r="K61" i="29"/>
  <c r="B1128" i="106" s="1"/>
  <c r="D1128" i="106" s="1"/>
  <c r="K62" i="29"/>
  <c r="K63" i="29"/>
  <c r="B1130" i="106" s="1"/>
  <c r="D1130" i="106" s="1"/>
  <c r="D1132" i="106"/>
  <c r="K68" i="29"/>
  <c r="G34" i="108" s="1"/>
  <c r="K69" i="29"/>
  <c r="B1136" i="106" s="1"/>
  <c r="D1136" i="106" s="1"/>
  <c r="K70" i="29"/>
  <c r="D36" i="108"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B1146" i="106" s="1"/>
  <c r="D1146" i="106" s="1"/>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C151" i="29" s="1"/>
  <c r="B1226" i="106" s="1"/>
  <c r="D1226" i="106" s="1"/>
  <c r="B1224" i="106"/>
  <c r="D1224" i="106" s="1"/>
  <c r="B1227" i="106"/>
  <c r="D1227" i="106" s="1"/>
  <c r="B1228" i="106"/>
  <c r="D1228" i="106" s="1"/>
  <c r="B1229" i="106"/>
  <c r="D1229" i="106" s="1"/>
  <c r="D1230" i="106"/>
  <c r="D127" i="29"/>
  <c r="D129" i="29" s="1"/>
  <c r="D151" i="29" s="1"/>
  <c r="B1232" i="106"/>
  <c r="D1232" i="106" s="1"/>
  <c r="B1235" i="106"/>
  <c r="D1235" i="106" s="1"/>
  <c r="B1236" i="106"/>
  <c r="D1236" i="106" s="1"/>
  <c r="B1237" i="106"/>
  <c r="D1237" i="106" s="1"/>
  <c r="D1238" i="106"/>
  <c r="E127" i="29"/>
  <c r="E129" i="29" s="1"/>
  <c r="B1241" i="106" s="1"/>
  <c r="D1241" i="106" s="1"/>
  <c r="B1240" i="106"/>
  <c r="D1240" i="106" s="1"/>
  <c r="B1243" i="106"/>
  <c r="D1243" i="106" s="1"/>
  <c r="B1244" i="106"/>
  <c r="D1244" i="106" s="1"/>
  <c r="B1245" i="106"/>
  <c r="D1245" i="106" s="1"/>
  <c r="D1246" i="106"/>
  <c r="F127" i="29"/>
  <c r="F129" i="29" s="1"/>
  <c r="F151" i="29" s="1"/>
  <c r="B1248" i="106"/>
  <c r="D1248" i="106" s="1"/>
  <c r="B1251" i="106"/>
  <c r="D1251" i="106" s="1"/>
  <c r="B1252" i="106"/>
  <c r="D1252" i="106" s="1"/>
  <c r="B1253" i="106"/>
  <c r="D1253" i="106" s="1"/>
  <c r="B1254" i="106"/>
  <c r="D1254" i="106" s="1"/>
  <c r="D1255" i="106"/>
  <c r="G127" i="29"/>
  <c r="G129" i="29" s="1"/>
  <c r="G151" i="29" s="1"/>
  <c r="B1259" i="106" s="1"/>
  <c r="D1259" i="106" s="1"/>
  <c r="B1257" i="106"/>
  <c r="D1257" i="106" s="1"/>
  <c r="B1260" i="106"/>
  <c r="D1260" i="106" s="1"/>
  <c r="B1261" i="106"/>
  <c r="D1261" i="106" s="1"/>
  <c r="B1262" i="106"/>
  <c r="D1262" i="106" s="1"/>
  <c r="D1263" i="106"/>
  <c r="H127" i="29"/>
  <c r="H129" i="29" s="1"/>
  <c r="B1266" i="106" s="1"/>
  <c r="D1266" i="106" s="1"/>
  <c r="B1265" i="106"/>
  <c r="D1265"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B1283" i="106" s="1"/>
  <c r="D1283" i="106" s="1"/>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H172" i="29" s="1"/>
  <c r="B1315" i="106"/>
  <c r="D1315" i="106" s="1"/>
  <c r="B1316" i="106"/>
  <c r="D1316" i="106" s="1"/>
  <c r="D1319" i="106"/>
  <c r="D1320" i="106"/>
  <c r="D1321" i="106"/>
  <c r="D1322"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B1329" i="106" s="1"/>
  <c r="D1329" i="106" s="1"/>
  <c r="K171" i="29"/>
  <c r="B1330" i="106" s="1"/>
  <c r="D1330" i="106" s="1"/>
  <c r="D1334" i="106"/>
  <c r="B1335" i="106"/>
  <c r="D1335" i="106" s="1"/>
  <c r="D1336" i="106"/>
  <c r="D1337" i="106"/>
  <c r="B1338" i="106"/>
  <c r="D1338" i="106" s="1"/>
  <c r="C184" i="29"/>
  <c r="C210" i="29" s="1"/>
  <c r="B1341" i="106"/>
  <c r="D1341" i="106" s="1"/>
  <c r="D1342" i="106"/>
  <c r="D1343" i="106"/>
  <c r="B1344" i="106"/>
  <c r="D1344" i="106" s="1"/>
  <c r="D184" i="29"/>
  <c r="D210" i="29" s="1"/>
  <c r="B1347" i="106"/>
  <c r="D1347" i="106" s="1"/>
  <c r="D1348" i="106"/>
  <c r="D1349" i="106"/>
  <c r="B1350" i="106"/>
  <c r="D1350" i="106" s="1"/>
  <c r="E184" i="29"/>
  <c r="B1351" i="106" s="1"/>
  <c r="D1351" i="106" s="1"/>
  <c r="E194" i="29"/>
  <c r="E196" i="29" s="1"/>
  <c r="B1352" i="106" s="1"/>
  <c r="D1352" i="106" s="1"/>
  <c r="B1354" i="106"/>
  <c r="D1354" i="106" s="1"/>
  <c r="D1355" i="106"/>
  <c r="D1356" i="106"/>
  <c r="B1357" i="106"/>
  <c r="D1357" i="106" s="1"/>
  <c r="F184" i="29"/>
  <c r="F210" i="29" s="1"/>
  <c r="B1359" i="106" s="1"/>
  <c r="D1359" i="106" s="1"/>
  <c r="B1360" i="106"/>
  <c r="D1360" i="106" s="1"/>
  <c r="D1361" i="106"/>
  <c r="D1362" i="106"/>
  <c r="B1363" i="106"/>
  <c r="D1363" i="106" s="1"/>
  <c r="G184" i="29"/>
  <c r="G210" i="29" s="1"/>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H196" i="29" s="1"/>
  <c r="B2830" i="106" s="1"/>
  <c r="D2830" i="106" s="1"/>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B2842" i="106" s="1"/>
  <c r="D2842" i="106" s="1"/>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H295" i="29" s="1"/>
  <c r="B1454" i="106" s="1"/>
  <c r="D1454"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F70" i="34"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B1512" i="106" s="1"/>
  <c r="D1512" i="106" s="1"/>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C312" i="29" s="1"/>
  <c r="B1524" i="106" s="1"/>
  <c r="D1524" i="106" s="1"/>
  <c r="B1525" i="106"/>
  <c r="D1525" i="106" s="1"/>
  <c r="D1526" i="106"/>
  <c r="D1527" i="106"/>
  <c r="B1528" i="106"/>
  <c r="D1528" i="106" s="1"/>
  <c r="D303" i="29"/>
  <c r="D312" i="29" s="1"/>
  <c r="B1530" i="106" s="1"/>
  <c r="D1530"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F312" i="29" s="1"/>
  <c r="B1542" i="106" s="1"/>
  <c r="D1542" i="106" s="1"/>
  <c r="B1543" i="106"/>
  <c r="D1543" i="106" s="1"/>
  <c r="D1544" i="106"/>
  <c r="D1545" i="106"/>
  <c r="B1546" i="106"/>
  <c r="D1546" i="106" s="1"/>
  <c r="G303" i="29"/>
  <c r="G312" i="29" s="1"/>
  <c r="B1549" i="106"/>
  <c r="D1549" i="106" s="1"/>
  <c r="D1550" i="106"/>
  <c r="D1551" i="106"/>
  <c r="B1552" i="106"/>
  <c r="D1552" i="106" s="1"/>
  <c r="H303" i="29"/>
  <c r="B1553" i="106"/>
  <c r="D1553" i="106" s="1"/>
  <c r="H310" i="29"/>
  <c r="B7115" i="106" s="1"/>
  <c r="D7115" i="106" s="1"/>
  <c r="K301" i="29"/>
  <c r="B1555" i="106" s="1"/>
  <c r="D1555" i="106" s="1"/>
  <c r="D1556" i="106"/>
  <c r="D1557" i="106"/>
  <c r="K302" i="29"/>
  <c r="B1558" i="106" s="1"/>
  <c r="D1558" i="106" s="1"/>
  <c r="K306" i="29"/>
  <c r="B7107" i="106" s="1"/>
  <c r="D7107" i="106" s="1"/>
  <c r="K307" i="29"/>
  <c r="B4099" i="106" s="1"/>
  <c r="D4099" i="106" s="1"/>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B1867" i="106" s="1"/>
  <c r="D1867" i="106" s="1"/>
  <c r="F7" i="8"/>
  <c r="B1868" i="106" s="1"/>
  <c r="D1868" i="106" s="1"/>
  <c r="F11" i="8"/>
  <c r="B1870" i="106" s="1"/>
  <c r="D1870" i="106" s="1"/>
  <c r="F12" i="8"/>
  <c r="B1869" i="106" s="1"/>
  <c r="D1869" i="106" s="1"/>
  <c r="F8" i="8"/>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68" i="3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I41" i="3" s="1"/>
  <c r="B2911" i="106"/>
  <c r="D2911" i="106" s="1"/>
  <c r="B2912" i="106"/>
  <c r="D2912" i="106" s="1"/>
  <c r="B2914" i="106"/>
  <c r="D2914" i="106" s="1"/>
  <c r="D2915" i="106"/>
  <c r="L34" i="3"/>
  <c r="L41" i="3"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H76" i="4" s="1"/>
  <c r="B3298" i="106" s="1"/>
  <c r="D3298"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6" i="106" s="1"/>
  <c r="D3296"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K41" i="3" s="1"/>
  <c r="B3568" i="106" s="1"/>
  <c r="D3568"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C367" i="29" s="1"/>
  <c r="B3622" i="106" s="1"/>
  <c r="D3622" i="106" s="1"/>
  <c r="B3620" i="106"/>
  <c r="D3620" i="106" s="1"/>
  <c r="D3623" i="106"/>
  <c r="B3624" i="106"/>
  <c r="D3624" i="106" s="1"/>
  <c r="B3625" i="106"/>
  <c r="D3625" i="106" s="1"/>
  <c r="D350" i="29"/>
  <c r="D352" i="29" s="1"/>
  <c r="D367" i="29" s="1"/>
  <c r="B3629" i="106" s="1"/>
  <c r="D3629" i="106" s="1"/>
  <c r="B3627" i="106"/>
  <c r="D3627" i="106" s="1"/>
  <c r="D3630" i="106"/>
  <c r="B3631" i="106"/>
  <c r="D3631" i="106" s="1"/>
  <c r="B3632" i="106"/>
  <c r="D3632" i="106" s="1"/>
  <c r="E350" i="29"/>
  <c r="E352" i="29" s="1"/>
  <c r="E367" i="29" s="1"/>
  <c r="B3636" i="106" s="1"/>
  <c r="D3636" i="106" s="1"/>
  <c r="B3634" i="106"/>
  <c r="D3634" i="106" s="1"/>
  <c r="D3637" i="106"/>
  <c r="B3638" i="106"/>
  <c r="D3638" i="106" s="1"/>
  <c r="B3639" i="106"/>
  <c r="D3639" i="106" s="1"/>
  <c r="F350" i="29"/>
  <c r="F352" i="29" s="1"/>
  <c r="F367" i="29" s="1"/>
  <c r="B3643" i="106" s="1"/>
  <c r="D3643" i="106" s="1"/>
  <c r="B3641" i="106"/>
  <c r="D3641" i="106" s="1"/>
  <c r="D3644" i="106"/>
  <c r="B3645" i="106"/>
  <c r="D3645" i="106" s="1"/>
  <c r="B3646" i="106"/>
  <c r="D3646" i="106" s="1"/>
  <c r="G350" i="29"/>
  <c r="G352" i="29" s="1"/>
  <c r="G367" i="29" s="1"/>
  <c r="B3650" i="106" s="1"/>
  <c r="D3650" i="106" s="1"/>
  <c r="B3648" i="106"/>
  <c r="D3648" i="106" s="1"/>
  <c r="D3651" i="106"/>
  <c r="B3652" i="106"/>
  <c r="D3652" i="106" s="1"/>
  <c r="B3653" i="106"/>
  <c r="D3653" i="106" s="1"/>
  <c r="H350" i="29"/>
  <c r="H352" i="29" s="1"/>
  <c r="B3656" i="106" s="1"/>
  <c r="D3656" i="106" s="1"/>
  <c r="B3655" i="106"/>
  <c r="D3655" i="106" s="1"/>
  <c r="B3657" i="106"/>
  <c r="D3657" i="106" s="1"/>
  <c r="H362" i="29"/>
  <c r="H365" i="29" s="1"/>
  <c r="B7242" i="106" s="1"/>
  <c r="D7242" i="106" s="1"/>
  <c r="D3659" i="106"/>
  <c r="D3661" i="106"/>
  <c r="D3662" i="106"/>
  <c r="D3663" i="106"/>
  <c r="D3664" i="106"/>
  <c r="D3665" i="106"/>
  <c r="D3666" i="106"/>
  <c r="D3667" i="106"/>
  <c r="K348" i="29"/>
  <c r="B3668" i="106" s="1"/>
  <c r="D3668" i="106" s="1"/>
  <c r="K349" i="29"/>
  <c r="B3669" i="106" s="1"/>
  <c r="D3669" i="106" s="1"/>
  <c r="K351" i="29"/>
  <c r="B3671" i="106" s="1"/>
  <c r="D3671" i="106" s="1"/>
  <c r="K360" i="29"/>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24" i="37" s="1"/>
  <c r="B4270" i="106" s="1"/>
  <c r="D4270"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F36" i="34"/>
  <c r="B7828" i="106" s="1"/>
  <c r="D7828" i="106" s="1"/>
  <c r="B6859" i="106"/>
  <c r="D6859" i="106" s="1"/>
  <c r="B6860" i="106"/>
  <c r="D6860" i="106" s="1"/>
  <c r="B6861" i="106"/>
  <c r="D6861" i="106" s="1"/>
  <c r="B6862" i="106"/>
  <c r="D6862" i="106" s="1"/>
  <c r="B6863" i="106"/>
  <c r="D6863" i="106"/>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F39" i="34" s="1"/>
  <c r="B6878" i="106"/>
  <c r="D6878" i="106" s="1"/>
  <c r="K21" i="29"/>
  <c r="B6879" i="106" s="1"/>
  <c r="D6879" i="106" s="1"/>
  <c r="B6880" i="106"/>
  <c r="D6880" i="106" s="1"/>
  <c r="K22" i="29"/>
  <c r="F41" i="34" s="1"/>
  <c r="B6882" i="106"/>
  <c r="D6882" i="106" s="1"/>
  <c r="K23" i="29"/>
  <c r="B6883" i="106" s="1"/>
  <c r="D6883" i="106" s="1"/>
  <c r="B6884" i="106"/>
  <c r="D6884" i="106" s="1"/>
  <c r="K24" i="29"/>
  <c r="F43" i="34" s="1"/>
  <c r="B6886" i="106"/>
  <c r="D6886" i="106" s="1"/>
  <c r="K25" i="29"/>
  <c r="F44" i="34" s="1"/>
  <c r="B6888" i="106"/>
  <c r="D6888" i="106" s="1"/>
  <c r="K26" i="29"/>
  <c r="B6889" i="106" s="1"/>
  <c r="D6889" i="106" s="1"/>
  <c r="B6890" i="106"/>
  <c r="D6890" i="106" s="1"/>
  <c r="K27" i="29"/>
  <c r="B6891" i="106" s="1"/>
  <c r="D6891" i="106" s="1"/>
  <c r="B6892" i="106"/>
  <c r="D6892" i="106" s="1"/>
  <c r="K28" i="29"/>
  <c r="B6893" i="106" s="1"/>
  <c r="D6893" i="106" s="1"/>
  <c r="B6894" i="106"/>
  <c r="D6894" i="106" s="1"/>
  <c r="K29" i="29"/>
  <c r="B6895" i="106" s="1"/>
  <c r="D6895" i="106" s="1"/>
  <c r="B6896" i="106"/>
  <c r="D6896" i="106" s="1"/>
  <c r="K30" i="29"/>
  <c r="B6897" i="106" s="1"/>
  <c r="D6897" i="106" s="1"/>
  <c r="B6898" i="106"/>
  <c r="D6898" i="106" s="1"/>
  <c r="K31" i="29"/>
  <c r="B6899" i="106" s="1"/>
  <c r="D6899" i="106" s="1"/>
  <c r="B6900" i="106"/>
  <c r="D6900" i="106" s="1"/>
  <c r="K32" i="29"/>
  <c r="B6901" i="106" s="1"/>
  <c r="D6901"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7" i="106" s="1"/>
  <c r="D6917" i="106" s="1"/>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I151" i="29" s="1"/>
  <c r="B7051" i="106" s="1"/>
  <c r="D7051" i="106" s="1"/>
  <c r="J127" i="29"/>
  <c r="J129" i="29" s="1"/>
  <c r="J151" i="29" s="1"/>
  <c r="B7052" i="106" s="1"/>
  <c r="D7052"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6" i="106"/>
  <c r="B7057" i="106"/>
  <c r="D7057" i="106" s="1"/>
  <c r="B7058" i="106"/>
  <c r="D7058" i="106" s="1"/>
  <c r="B7059" i="106"/>
  <c r="D7059" i="106" s="1"/>
  <c r="B7060" i="106"/>
  <c r="D7060" i="106" s="1"/>
  <c r="B7061" i="106"/>
  <c r="D7061" i="106" s="1"/>
  <c r="B7062" i="106"/>
  <c r="D7062" i="106" s="1"/>
  <c r="I184" i="29"/>
  <c r="I210" i="29" s="1"/>
  <c r="B7071" i="106" s="1"/>
  <c r="D7071" i="106" s="1"/>
  <c r="J184" i="29"/>
  <c r="J210" i="29" s="1"/>
  <c r="B7072" i="106" s="1"/>
  <c r="D7072"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I312" i="29" s="1"/>
  <c r="B7116" i="106" s="1"/>
  <c r="D7116" i="106" s="1"/>
  <c r="J303" i="29"/>
  <c r="J312" i="29" s="1"/>
  <c r="B7117" i="106" s="1"/>
  <c r="D7117"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E62" i="184" s="1"/>
  <c r="N62" i="184" s="1"/>
  <c r="B7172" i="106"/>
  <c r="D7172" i="106" s="1"/>
  <c r="B7173" i="106"/>
  <c r="D7173" i="106" s="1"/>
  <c r="B7174" i="106"/>
  <c r="D7174" i="106" s="1"/>
  <c r="B7175" i="106"/>
  <c r="D7175" i="106" s="1"/>
  <c r="B7176" i="106"/>
  <c r="D7176" i="106" s="1"/>
  <c r="B7177" i="106"/>
  <c r="D7177" i="106" s="1"/>
  <c r="B7178" i="106"/>
  <c r="D7178" i="106" s="1"/>
  <c r="B7179" i="106"/>
  <c r="D7179" i="106" s="1"/>
  <c r="K325" i="29"/>
  <c r="E63" i="184" s="1"/>
  <c r="N63" i="184" s="1"/>
  <c r="B7181" i="106"/>
  <c r="D7181" i="106" s="1"/>
  <c r="B7182" i="106"/>
  <c r="D7182" i="106" s="1"/>
  <c r="B7183" i="106"/>
  <c r="D7183" i="106" s="1"/>
  <c r="B7184" i="106"/>
  <c r="D7184" i="106" s="1"/>
  <c r="B7185" i="106"/>
  <c r="D7185" i="106" s="1"/>
  <c r="B7186" i="106"/>
  <c r="D7186" i="106" s="1"/>
  <c r="B7187" i="106"/>
  <c r="D7187" i="106" s="1"/>
  <c r="B7188" i="106"/>
  <c r="D7188" i="106" s="1"/>
  <c r="K326" i="29"/>
  <c r="E64" i="184" s="1"/>
  <c r="N64" i="184"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C342" i="29" s="1"/>
  <c r="B7216" i="106" s="1"/>
  <c r="D7216" i="106" s="1"/>
  <c r="D330" i="29"/>
  <c r="B7200" i="106" s="1"/>
  <c r="D7200" i="106" s="1"/>
  <c r="E330" i="29"/>
  <c r="E342" i="29" s="1"/>
  <c r="B7218" i="106" s="1"/>
  <c r="D7218" i="106" s="1"/>
  <c r="F330" i="29"/>
  <c r="F342" i="29" s="1"/>
  <c r="B7219" i="106" s="1"/>
  <c r="D7219" i="106" s="1"/>
  <c r="G330" i="29"/>
  <c r="G342" i="29" s="1"/>
  <c r="F75" i="34" s="1"/>
  <c r="B7886" i="106" s="1"/>
  <c r="D7886" i="106" s="1"/>
  <c r="H330" i="29"/>
  <c r="I330" i="29"/>
  <c r="I342" i="29" s="1"/>
  <c r="B7222" i="106" s="1"/>
  <c r="D7222" i="106" s="1"/>
  <c r="J330" i="29"/>
  <c r="J342" i="29" s="1"/>
  <c r="B7223" i="106" s="1"/>
  <c r="D7223" i="106" s="1"/>
  <c r="K328" i="29"/>
  <c r="E66" i="184" s="1"/>
  <c r="N66" i="184" s="1"/>
  <c r="K329" i="29"/>
  <c r="B7705" i="106" s="1"/>
  <c r="D7705" i="106" s="1"/>
  <c r="B7208" i="106"/>
  <c r="D7208" i="106" s="1"/>
  <c r="K337" i="29"/>
  <c r="B7209" i="106" s="1"/>
  <c r="D7209" i="106" s="1"/>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s="1"/>
  <c r="I350" i="29"/>
  <c r="I352" i="29" s="1"/>
  <c r="I367" i="29" s="1"/>
  <c r="B7244" i="106" s="1"/>
  <c r="D7244" i="106" s="1"/>
  <c r="J350" i="29"/>
  <c r="J352" i="29" s="1"/>
  <c r="J367" i="29" s="1"/>
  <c r="B7245" i="106" s="1"/>
  <c r="B7232" i="106"/>
  <c r="D7232" i="106" s="1"/>
  <c r="B7233" i="106"/>
  <c r="D7233" i="106" s="1"/>
  <c r="B7238" i="106"/>
  <c r="D7238" i="106" s="1"/>
  <c r="B7240" i="106"/>
  <c r="D7240" i="106" s="1"/>
  <c r="A7245" i="106"/>
  <c r="A7246" i="106" s="1"/>
  <c r="A7247"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0" i="106" s="1"/>
  <c r="B7601" i="106"/>
  <c r="B7602" i="106"/>
  <c r="B7603" i="106"/>
  <c r="K6" i="11"/>
  <c r="B7604" i="106" s="1"/>
  <c r="B7606" i="106"/>
  <c r="B7607" i="106"/>
  <c r="B7608" i="106"/>
  <c r="F9" i="1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5" i="106"/>
  <c r="D7795"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1" i="127"/>
  <c r="B62" i="127"/>
  <c r="E27" i="108"/>
  <c r="G27" i="108"/>
  <c r="G28" i="108"/>
  <c r="G30"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F67" i="34"/>
  <c r="C68" i="34"/>
  <c r="D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D4" i="7" s="1"/>
  <c r="B1760" i="106" s="1"/>
  <c r="D1760" i="106" s="1"/>
  <c r="B5" i="7"/>
  <c r="D5" i="7" s="1"/>
  <c r="B1761" i="106" s="1"/>
  <c r="D1761" i="106" s="1"/>
  <c r="B6" i="7"/>
  <c r="B1746" i="106" s="1"/>
  <c r="D1746" i="106" s="1"/>
  <c r="B7" i="7"/>
  <c r="B1747" i="106" s="1"/>
  <c r="D1747" i="106" s="1"/>
  <c r="B8" i="7"/>
  <c r="D8" i="7" s="1"/>
  <c r="B1764" i="106" s="1"/>
  <c r="D1764" i="106" s="1"/>
  <c r="B9" i="7"/>
  <c r="D9" i="7" s="1"/>
  <c r="B1767" i="106" s="1"/>
  <c r="D1767" i="106" s="1"/>
  <c r="B10" i="7"/>
  <c r="B1749" i="106" s="1"/>
  <c r="D1749" i="106" s="1"/>
  <c r="B12" i="7"/>
  <c r="D12" i="7" s="1"/>
  <c r="B1769" i="106" s="1"/>
  <c r="D1769" i="106" s="1"/>
  <c r="B13" i="7"/>
  <c r="D13" i="7" s="1"/>
  <c r="B3726" i="106" s="1"/>
  <c r="D3726" i="106" s="1"/>
  <c r="B14" i="7"/>
  <c r="B1754" i="106" s="1"/>
  <c r="D1754" i="106" s="1"/>
  <c r="B16" i="7"/>
  <c r="B3446" i="106" s="1"/>
  <c r="D3446" i="106" s="1"/>
  <c r="B17" i="7"/>
  <c r="D17" i="7" s="1"/>
  <c r="B4104" i="106" s="1"/>
  <c r="D4104"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c r="D952" i="106" s="1"/>
  <c r="H33" i="29"/>
  <c r="B1010" i="106" s="1"/>
  <c r="D1010" i="106" s="1"/>
  <c r="I33" i="29"/>
  <c r="B6902" i="106" s="1"/>
  <c r="D6902" i="106" s="1"/>
  <c r="J33" i="29"/>
  <c r="B6903" i="106" s="1"/>
  <c r="D6903" i="106" s="1"/>
  <c r="L33" i="29"/>
  <c r="L42" i="29"/>
  <c r="K44" i="29"/>
  <c r="B1116" i="106" s="1"/>
  <c r="D1116" i="106" s="1"/>
  <c r="K45" i="29"/>
  <c r="B1117" i="106" s="1"/>
  <c r="D1117" i="106" s="1"/>
  <c r="C47" i="29"/>
  <c r="B731" i="106" s="1"/>
  <c r="D731" i="106" s="1"/>
  <c r="L47" i="29"/>
  <c r="K50" i="29"/>
  <c r="B1121" i="106" s="1"/>
  <c r="D1121" i="106" s="1"/>
  <c r="C53" i="29"/>
  <c r="B734" i="106"/>
  <c r="D734" i="106" s="1"/>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G5" i="4" s="1"/>
  <c r="B3409" i="106" s="1"/>
  <c r="D3409" i="106" s="1"/>
  <c r="C122" i="5"/>
  <c r="B5132" i="106" s="1"/>
  <c r="D5132" i="106" s="1"/>
  <c r="D122" i="5"/>
  <c r="B5367" i="106" s="1"/>
  <c r="D5367" i="106" s="1"/>
  <c r="E122" i="5"/>
  <c r="B5534" i="106" s="1"/>
  <c r="D5534" i="106" s="1"/>
  <c r="F122" i="5"/>
  <c r="B5599" i="106" s="1"/>
  <c r="D5599" i="106" s="1"/>
  <c r="F132" i="5"/>
  <c r="B5614" i="106" s="1"/>
  <c r="D5614" i="106" s="1"/>
  <c r="F155" i="5"/>
  <c r="B5618" i="106" s="1"/>
  <c r="D5618" i="106" s="1"/>
  <c r="G122" i="5"/>
  <c r="B5748" i="106" s="1"/>
  <c r="D5748" i="106" s="1"/>
  <c r="H122" i="5"/>
  <c r="B5893" i="106" s="1"/>
  <c r="D5893" i="106" s="1"/>
  <c r="J122" i="5"/>
  <c r="K122" i="5"/>
  <c r="B6006" i="106" s="1"/>
  <c r="D6006" i="106" s="1"/>
  <c r="C132" i="5"/>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B5537" i="106" s="1"/>
  <c r="D5537" i="106" s="1"/>
  <c r="H169" i="5"/>
  <c r="B5899" i="106" s="1"/>
  <c r="D5899" i="106" s="1"/>
  <c r="I169" i="5"/>
  <c r="I170" i="5"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B4950" i="106" s="1"/>
  <c r="D4950" i="106" s="1"/>
  <c r="I175" i="5"/>
  <c r="J175" i="5"/>
  <c r="B6400" i="106" s="1"/>
  <c r="D6400" i="106" s="1"/>
  <c r="K175" i="5"/>
  <c r="B4951" i="106" s="1"/>
  <c r="D4951" i="106" s="1"/>
  <c r="C181" i="5"/>
  <c r="D181" i="5"/>
  <c r="B5425" i="106" s="1"/>
  <c r="D5425" i="106" s="1"/>
  <c r="F181" i="5"/>
  <c r="B5658" i="106" s="1"/>
  <c r="D5658" i="106" s="1"/>
  <c r="G181" i="5"/>
  <c r="B5784" i="106" s="1"/>
  <c r="D5784" i="106" s="1"/>
  <c r="H181" i="5"/>
  <c r="B5908" i="106" s="1"/>
  <c r="D5908" i="106" s="1"/>
  <c r="K181" i="5"/>
  <c r="B6016" i="106" s="1"/>
  <c r="D6016" i="106" s="1"/>
  <c r="D188" i="5"/>
  <c r="B4396" i="106" s="1"/>
  <c r="D4396" i="106" s="1"/>
  <c r="F188" i="5"/>
  <c r="B4397" i="106" s="1"/>
  <c r="D4397" i="106" s="1"/>
  <c r="G188" i="5"/>
  <c r="G198" i="5"/>
  <c r="D204" i="5"/>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B6835" i="106" s="1"/>
  <c r="D6835" i="106" s="1"/>
  <c r="F252" i="5"/>
  <c r="B6836" i="106" s="1"/>
  <c r="D6836" i="106" s="1"/>
  <c r="H252" i="5"/>
  <c r="B6838" i="106" s="1"/>
  <c r="D6838" i="106" s="1"/>
  <c r="J252" i="5"/>
  <c r="J266" i="5" s="1"/>
  <c r="B7041" i="106" s="1"/>
  <c r="D7041" i="106" s="1"/>
  <c r="K252" i="5"/>
  <c r="K266" i="5" s="1"/>
  <c r="B4442" i="106" s="1"/>
  <c r="D4442" i="106" s="1"/>
  <c r="D7" i="118"/>
  <c r="D8" i="118"/>
  <c r="D9" i="118"/>
  <c r="H14" i="118"/>
  <c r="H19" i="118"/>
  <c r="H24" i="118"/>
  <c r="E34" i="108"/>
  <c r="B2724" i="106"/>
  <c r="D2724" i="106" s="1"/>
  <c r="G26" i="108"/>
  <c r="B1274" i="106"/>
  <c r="D1274" i="106" s="1"/>
  <c r="F37" i="34"/>
  <c r="B7829" i="106" s="1"/>
  <c r="D7829" i="106" s="1"/>
  <c r="E35" i="108"/>
  <c r="B1308" i="106"/>
  <c r="D1308" i="106" s="1"/>
  <c r="E174" i="29"/>
  <c r="B1309" i="106" s="1"/>
  <c r="D1309" i="106" s="1"/>
  <c r="D11" i="37"/>
  <c r="E30" i="108"/>
  <c r="F37" i="108"/>
  <c r="F48" i="34"/>
  <c r="B1340" i="106"/>
  <c r="D1340" i="106" s="1"/>
  <c r="B720" i="106"/>
  <c r="D720" i="106" s="1"/>
  <c r="B1475" i="106"/>
  <c r="D1475" i="106" s="1"/>
  <c r="B1492" i="106"/>
  <c r="D1492" i="106" s="1"/>
  <c r="B1135" i="106"/>
  <c r="D1135" i="106" s="1"/>
  <c r="B1021" i="106"/>
  <c r="D1021" i="106" s="1"/>
  <c r="B1144" i="106"/>
  <c r="D1144" i="106" s="1"/>
  <c r="B1345" i="106"/>
  <c r="D1345" i="106" s="1"/>
  <c r="B1346" i="106"/>
  <c r="D1346" i="106" s="1"/>
  <c r="B1275" i="106"/>
  <c r="D1275" i="106" s="1"/>
  <c r="B1247" i="106"/>
  <c r="D1247" i="106" s="1"/>
  <c r="B1231" i="106"/>
  <c r="D1231" i="106" s="1"/>
  <c r="B905" i="106"/>
  <c r="D905" i="106" s="1"/>
  <c r="D24" i="36"/>
  <c r="B1234" i="106"/>
  <c r="D1234" i="106" s="1"/>
  <c r="B1233" i="106"/>
  <c r="D1233" i="106" s="1"/>
  <c r="B1250" i="106"/>
  <c r="D1250" i="106" s="1"/>
  <c r="B3642" i="106"/>
  <c r="D3642"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B1264" i="106"/>
  <c r="D1264" i="106" s="1"/>
  <c r="B2091" i="106"/>
  <c r="D2091" i="106" s="1"/>
  <c r="B1134" i="106"/>
  <c r="D1134" i="106" s="1"/>
  <c r="E17" i="184"/>
  <c r="B2986" i="106"/>
  <c r="D2986" i="106" s="1"/>
  <c r="B1548" i="106"/>
  <c r="D1548" i="106" s="1"/>
  <c r="B2823" i="106"/>
  <c r="D2823" i="106" s="1"/>
  <c r="B1317" i="106"/>
  <c r="D1317" i="106" s="1"/>
  <c r="E26" i="108"/>
  <c r="B1249" i="106"/>
  <c r="D1249" i="106" s="1"/>
  <c r="B6858" i="106"/>
  <c r="D6858" i="106" s="1"/>
  <c r="B1129" i="106"/>
  <c r="D1129" i="106" s="1"/>
  <c r="E14" i="184"/>
  <c r="B4156" i="106"/>
  <c r="D4156" i="106" s="1"/>
  <c r="E57" i="184"/>
  <c r="N57" i="184" s="1"/>
  <c r="E12" i="184"/>
  <c r="F46" i="34"/>
  <c r="B7792" i="106"/>
  <c r="D7792" i="106" s="1"/>
  <c r="B2" i="176"/>
  <c r="D31" i="36"/>
  <c r="B5518" i="106"/>
  <c r="D5518" i="106" s="1"/>
  <c r="H33" i="118"/>
  <c r="B6885" i="106" l="1"/>
  <c r="D6885" i="106" s="1"/>
  <c r="F45" i="34"/>
  <c r="K24" i="12"/>
  <c r="I24" i="12"/>
  <c r="B1996" i="106" s="1"/>
  <c r="D1996" i="106" s="1"/>
  <c r="H24" i="12"/>
  <c r="H26" i="12" s="1"/>
  <c r="B7740" i="106" s="1"/>
  <c r="D7740" i="106" s="1"/>
  <c r="H29" i="118"/>
  <c r="H17" i="184"/>
  <c r="H14" i="184"/>
  <c r="I34" i="182"/>
  <c r="J34" i="182"/>
  <c r="L3" i="11"/>
  <c r="B7596" i="106" s="1"/>
  <c r="L15" i="11"/>
  <c r="B3459" i="106" s="1"/>
  <c r="D3459" i="106" s="1"/>
  <c r="L8" i="11"/>
  <c r="B2057" i="106" s="1"/>
  <c r="D2057" i="106" s="1"/>
  <c r="H112" i="29"/>
  <c r="B7018" i="106" s="1"/>
  <c r="D7018" i="106" s="1"/>
  <c r="B7047" i="106"/>
  <c r="D7047" i="106" s="1"/>
  <c r="F58" i="34"/>
  <c r="B1256" i="106"/>
  <c r="D1256" i="106" s="1"/>
  <c r="D37" i="108"/>
  <c r="B6877" i="106"/>
  <c r="D6877" i="106" s="1"/>
  <c r="B1258" i="106"/>
  <c r="D1258" i="106" s="1"/>
  <c r="F47" i="34"/>
  <c r="F34" i="34"/>
  <c r="B7826" i="106" s="1"/>
  <c r="D7826" i="106" s="1"/>
  <c r="D7245" i="106"/>
  <c r="B1990" i="106"/>
  <c r="D1990" i="106" s="1"/>
  <c r="N22" i="3"/>
  <c r="B283" i="106" s="1"/>
  <c r="D283" i="106" s="1"/>
  <c r="K57" i="29"/>
  <c r="B1125" i="106" s="1"/>
  <c r="D1125" i="106" s="1"/>
  <c r="J90" i="28"/>
  <c r="B7760" i="106" s="1"/>
  <c r="D7760" i="106" s="1"/>
  <c r="A1" i="173"/>
  <c r="E33" i="183"/>
  <c r="L9" i="11"/>
  <c r="B7614" i="106" s="1"/>
  <c r="L10" i="11"/>
  <c r="B2058" i="106" s="1"/>
  <c r="D2058" i="106" s="1"/>
  <c r="L5" i="11"/>
  <c r="B2056" i="106" s="1"/>
  <c r="D2056" i="106" s="1"/>
  <c r="F49" i="34"/>
  <c r="F35" i="34"/>
  <c r="B7827" i="106" s="1"/>
  <c r="D7827" i="106" s="1"/>
  <c r="E15" i="184"/>
  <c r="H15" i="184" s="1"/>
  <c r="D26" i="108"/>
  <c r="B1127" i="106"/>
  <c r="D1127" i="106" s="1"/>
  <c r="F26" i="108"/>
  <c r="B4202" i="106"/>
  <c r="D4202" i="106" s="1"/>
  <c r="B1364" i="106"/>
  <c r="D1364" i="106" s="1"/>
  <c r="F76" i="34"/>
  <c r="B7887" i="106" s="1"/>
  <c r="D7887" i="106" s="1"/>
  <c r="B7230" i="106"/>
  <c r="D7230" i="106" s="1"/>
  <c r="B1223" i="106"/>
  <c r="D1223" i="106" s="1"/>
  <c r="F50" i="34"/>
  <c r="F38" i="34"/>
  <c r="B7830" i="106" s="1"/>
  <c r="D7830" i="106" s="1"/>
  <c r="B7609" i="106"/>
  <c r="L14" i="11"/>
  <c r="B7623" i="106" s="1"/>
  <c r="B1977" i="106"/>
  <c r="D1977" i="106" s="1"/>
  <c r="F40" i="34"/>
  <c r="B1131" i="106"/>
  <c r="D1131" i="106" s="1"/>
  <c r="F51" i="34"/>
  <c r="E16" i="184"/>
  <c r="H16" i="184" s="1"/>
  <c r="B5741" i="106"/>
  <c r="D5741" i="106" s="1"/>
  <c r="B3649" i="106"/>
  <c r="D3649" i="106" s="1"/>
  <c r="B7033" i="106"/>
  <c r="D7033" i="106" s="1"/>
  <c r="F42" i="34"/>
  <c r="E28" i="108"/>
  <c r="B6881" i="106"/>
  <c r="D6881" i="106" s="1"/>
  <c r="B6887" i="106"/>
  <c r="D6887" i="106" s="1"/>
  <c r="E65" i="184"/>
  <c r="N65" i="184" s="1"/>
  <c r="B1523" i="106"/>
  <c r="D1523" i="106" s="1"/>
  <c r="B6995" i="106"/>
  <c r="D6995" i="106" s="1"/>
  <c r="B3647" i="106"/>
  <c r="D3647" i="106" s="1"/>
  <c r="D14" i="4"/>
  <c r="B2570" i="106" s="1"/>
  <c r="D2570" i="106" s="1"/>
  <c r="B1239" i="106"/>
  <c r="D1239" i="106" s="1"/>
  <c r="F28" i="108"/>
  <c r="B2805" i="106"/>
  <c r="D2805" i="106" s="1"/>
  <c r="B7038" i="106"/>
  <c r="D7038" i="106" s="1"/>
  <c r="B1137" i="106"/>
  <c r="D1137" i="106" s="1"/>
  <c r="F126" i="34"/>
  <c r="B7858" i="106" s="1"/>
  <c r="D7858" i="106" s="1"/>
  <c r="F5" i="4"/>
  <c r="B3408" i="106" s="1"/>
  <c r="D3408" i="106" s="1"/>
  <c r="B2" i="179"/>
  <c r="B2" i="175"/>
  <c r="A1" i="171"/>
  <c r="B1" i="179"/>
  <c r="A1" i="170"/>
  <c r="D7247" i="106"/>
  <c r="A7248" i="106"/>
  <c r="A7249" i="106" s="1"/>
  <c r="A7250" i="106" s="1"/>
  <c r="D7248" i="106"/>
  <c r="D7246" i="106"/>
  <c r="D6103" i="106"/>
  <c r="B4" i="174"/>
  <c r="B4" i="177"/>
  <c r="H34" i="182"/>
  <c r="F16" i="11"/>
  <c r="B2031" i="106" s="1"/>
  <c r="D2031" i="106" s="1"/>
  <c r="B7618" i="106"/>
  <c r="L6" i="11"/>
  <c r="B7605" i="106" s="1"/>
  <c r="L12" i="11"/>
  <c r="B2059" i="106" s="1"/>
  <c r="D2059" i="106" s="1"/>
  <c r="J22" i="37"/>
  <c r="F21" i="8"/>
  <c r="H22" i="37" s="1"/>
  <c r="B1940" i="106"/>
  <c r="D1940" i="106" s="1"/>
  <c r="J23" i="12"/>
  <c r="G24" i="12"/>
  <c r="B2733" i="106"/>
  <c r="D2733" i="106" s="1"/>
  <c r="D69" i="36"/>
  <c r="H28" i="118"/>
  <c r="L22" i="37"/>
  <c r="F15" i="8"/>
  <c r="B1875" i="106" s="1"/>
  <c r="D1875" i="106" s="1"/>
  <c r="I49" i="8"/>
  <c r="B4171" i="106" s="1"/>
  <c r="D4171" i="106" s="1"/>
  <c r="B1751" i="106"/>
  <c r="D1751" i="106" s="1"/>
  <c r="B7180" i="106"/>
  <c r="D7180" i="106" s="1"/>
  <c r="F71" i="34"/>
  <c r="G29" i="108"/>
  <c r="E29" i="108"/>
  <c r="B7696" i="106"/>
  <c r="D7696" i="106" s="1"/>
  <c r="F65" i="34"/>
  <c r="B1339" i="106"/>
  <c r="D1339" i="106" s="1"/>
  <c r="B7235" i="106"/>
  <c r="D7235" i="106" s="1"/>
  <c r="F36" i="108"/>
  <c r="E60" i="184"/>
  <c r="N60" i="184" s="1"/>
  <c r="B3565" i="106"/>
  <c r="D3565" i="106" s="1"/>
  <c r="D27" i="108"/>
  <c r="G33" i="108"/>
  <c r="B3633" i="106"/>
  <c r="D3633" i="106" s="1"/>
  <c r="B7144" i="106"/>
  <c r="D7144" i="106" s="1"/>
  <c r="G14" i="4"/>
  <c r="B2609" i="106" s="1"/>
  <c r="D2609" i="106" s="1"/>
  <c r="F31" i="108"/>
  <c r="B7203" i="106"/>
  <c r="D7203" i="106" s="1"/>
  <c r="B7202" i="106"/>
  <c r="D7202" i="106" s="1"/>
  <c r="B3635" i="106"/>
  <c r="D3635" i="106" s="1"/>
  <c r="E38" i="108"/>
  <c r="E61" i="184"/>
  <c r="N61" i="184" s="1"/>
  <c r="F66" i="34"/>
  <c r="D18" i="7"/>
  <c r="B4105" i="106" s="1"/>
  <c r="D4105" i="106" s="1"/>
  <c r="F61" i="34"/>
  <c r="F69" i="34"/>
  <c r="B7171" i="106"/>
  <c r="D7171" i="106" s="1"/>
  <c r="K362" i="29"/>
  <c r="B3676" i="106" s="1"/>
  <c r="D3676" i="106" s="1"/>
  <c r="B7076" i="106"/>
  <c r="D7076" i="106" s="1"/>
  <c r="E102" i="29"/>
  <c r="B2790" i="106" s="1"/>
  <c r="D2790" i="106" s="1"/>
  <c r="H174" i="29"/>
  <c r="B1318" i="106" s="1"/>
  <c r="D1318" i="106" s="1"/>
  <c r="B7199" i="106"/>
  <c r="D7199" i="106" s="1"/>
  <c r="K334" i="29"/>
  <c r="E58" i="184"/>
  <c r="N58" i="184" s="1"/>
  <c r="B1225" i="106"/>
  <c r="D1225" i="106" s="1"/>
  <c r="G38" i="108"/>
  <c r="B3628" i="106"/>
  <c r="D3628" i="106" s="1"/>
  <c r="B7104" i="106"/>
  <c r="D7104" i="106" s="1"/>
  <c r="E67" i="184"/>
  <c r="N67" i="184" s="1"/>
  <c r="B7034" i="106"/>
  <c r="D7034" i="106" s="1"/>
  <c r="B7201" i="106"/>
  <c r="D7201" i="106" s="1"/>
  <c r="G24" i="108"/>
  <c r="B3658" i="106"/>
  <c r="D3658" i="106" s="1"/>
  <c r="B7189" i="106"/>
  <c r="D7189" i="106" s="1"/>
  <c r="D342" i="29"/>
  <c r="B7217" i="106" s="1"/>
  <c r="D7217" i="106" s="1"/>
  <c r="B1452" i="106"/>
  <c r="D1452" i="106" s="1"/>
  <c r="B1314" i="106"/>
  <c r="D1314" i="106" s="1"/>
  <c r="B2828" i="106"/>
  <c r="D2828" i="106" s="1"/>
  <c r="B7205" i="106"/>
  <c r="D7205" i="106" s="1"/>
  <c r="B7103" i="106"/>
  <c r="D7103" i="106" s="1"/>
  <c r="B1470" i="106"/>
  <c r="D1470" i="106" s="1"/>
  <c r="B1427" i="106"/>
  <c r="D1427" i="106" s="1"/>
  <c r="F62" i="34"/>
  <c r="B7833" i="106" s="1"/>
  <c r="D7833" i="106" s="1"/>
  <c r="B7064" i="106"/>
  <c r="D7064" i="106" s="1"/>
  <c r="F59" i="34"/>
  <c r="F14" i="4"/>
  <c r="B2597" i="106" s="1"/>
  <c r="D2597" i="106" s="1"/>
  <c r="B7231" i="106"/>
  <c r="D7231" i="106" s="1"/>
  <c r="B1358" i="106"/>
  <c r="D1358" i="106" s="1"/>
  <c r="B7063" i="106"/>
  <c r="D7063" i="106" s="1"/>
  <c r="B3626" i="106"/>
  <c r="D3626" i="106" s="1"/>
  <c r="B7037" i="106"/>
  <c r="D7037" i="106" s="1"/>
  <c r="B1541" i="106"/>
  <c r="D1541" i="106" s="1"/>
  <c r="G39" i="108"/>
  <c r="E39" i="108"/>
  <c r="E24" i="108"/>
  <c r="B3640" i="106"/>
  <c r="D3640" i="106" s="1"/>
  <c r="L174" i="29"/>
  <c r="H342" i="29"/>
  <c r="B7221" i="106" s="1"/>
  <c r="D7221" i="106" s="1"/>
  <c r="B1547" i="106"/>
  <c r="D1547" i="106" s="1"/>
  <c r="B1529" i="106"/>
  <c r="D1529" i="106" s="1"/>
  <c r="B3621" i="106"/>
  <c r="D3621" i="106" s="1"/>
  <c r="B7204" i="106"/>
  <c r="D7204" i="106" s="1"/>
  <c r="B3619" i="106"/>
  <c r="D3619" i="106" s="1"/>
  <c r="B3675" i="106"/>
  <c r="D3675" i="106" s="1"/>
  <c r="L312" i="29"/>
  <c r="B7220" i="106"/>
  <c r="D7220" i="106" s="1"/>
  <c r="K303" i="29"/>
  <c r="L102" i="29"/>
  <c r="B7206" i="106"/>
  <c r="D7206" i="106" s="1"/>
  <c r="K261" i="29"/>
  <c r="B1491" i="106" s="1"/>
  <c r="D1491" i="106" s="1"/>
  <c r="B7234" i="106"/>
  <c r="D7234" i="106" s="1"/>
  <c r="B3654" i="106"/>
  <c r="D3654" i="106" s="1"/>
  <c r="L151" i="29"/>
  <c r="K160" i="29"/>
  <c r="K168" i="29"/>
  <c r="B1328" i="106" s="1"/>
  <c r="D1328" i="106" s="1"/>
  <c r="D74" i="29"/>
  <c r="E210" i="29"/>
  <c r="B1353" i="106" s="1"/>
  <c r="D1353" i="106" s="1"/>
  <c r="B3170" i="106"/>
  <c r="D3170" i="106" s="1"/>
  <c r="E41" i="3"/>
  <c r="B141" i="106" s="1"/>
  <c r="D141" i="106" s="1"/>
  <c r="K350" i="29"/>
  <c r="K285" i="29"/>
  <c r="K357" i="29"/>
  <c r="K127" i="29"/>
  <c r="K53" i="29"/>
  <c r="B1122" i="106" s="1"/>
  <c r="D1122" i="106" s="1"/>
  <c r="K110" i="29"/>
  <c r="K100" i="29"/>
  <c r="B7013" i="106" s="1"/>
  <c r="D7013" i="106" s="1"/>
  <c r="H102" i="29"/>
  <c r="B1047" i="106" s="1"/>
  <c r="D1047" i="106" s="1"/>
  <c r="E74" i="29"/>
  <c r="B871" i="106" s="1"/>
  <c r="D871" i="106" s="1"/>
  <c r="H74" i="29"/>
  <c r="B1045" i="106" s="1"/>
  <c r="D1045" i="106" s="1"/>
  <c r="E151" i="29"/>
  <c r="B1242" i="106" s="1"/>
  <c r="D1242" i="106" s="1"/>
  <c r="K72" i="29"/>
  <c r="B1141" i="106" s="1"/>
  <c r="D1141" i="106" s="1"/>
  <c r="K65" i="29"/>
  <c r="B1133" i="106" s="1"/>
  <c r="D1133" i="106" s="1"/>
  <c r="K184" i="29"/>
  <c r="H151" i="29"/>
  <c r="B1273" i="106" s="1"/>
  <c r="D1273" i="106" s="1"/>
  <c r="K310" i="29"/>
  <c r="H312" i="29"/>
  <c r="B1554" i="106" s="1"/>
  <c r="D1554" i="106" s="1"/>
  <c r="K257" i="29"/>
  <c r="B1488" i="106" s="1"/>
  <c r="D1488" i="106" s="1"/>
  <c r="B122" i="106"/>
  <c r="D122" i="106" s="1"/>
  <c r="D52" i="36"/>
  <c r="E44" i="4"/>
  <c r="B3274" i="106" s="1"/>
  <c r="D3274" i="106" s="1"/>
  <c r="D77" i="4"/>
  <c r="B3238" i="106" s="1"/>
  <c r="D3238" i="106" s="1"/>
  <c r="K204" i="29"/>
  <c r="K147" i="29"/>
  <c r="L367" i="29"/>
  <c r="K270" i="29"/>
  <c r="B1500" i="106" s="1"/>
  <c r="D1500" i="106" s="1"/>
  <c r="K194" i="29"/>
  <c r="L74" i="29"/>
  <c r="H210" i="29"/>
  <c r="B1376" i="106" s="1"/>
  <c r="D1376" i="106" s="1"/>
  <c r="K229" i="29"/>
  <c r="E312" i="29"/>
  <c r="B1536" i="106" s="1"/>
  <c r="D1536" i="106" s="1"/>
  <c r="H367" i="29"/>
  <c r="B3660" i="106" s="1"/>
  <c r="D3660" i="106" s="1"/>
  <c r="L279" i="29"/>
  <c r="L295" i="29" s="1"/>
  <c r="L210" i="29"/>
  <c r="L342" i="29"/>
  <c r="K243" i="29"/>
  <c r="B1485" i="106" s="1"/>
  <c r="D1485" i="106" s="1"/>
  <c r="K238" i="29"/>
  <c r="B1481" i="106" s="1"/>
  <c r="D1481" i="106" s="1"/>
  <c r="C74" i="29"/>
  <c r="K47" i="29"/>
  <c r="B1119" i="106" s="1"/>
  <c r="D1119" i="106" s="1"/>
  <c r="K293" i="29"/>
  <c r="K137" i="29"/>
  <c r="J74" i="29"/>
  <c r="K277" i="29"/>
  <c r="B1508" i="106" s="1"/>
  <c r="D1508" i="106" s="1"/>
  <c r="K84" i="29"/>
  <c r="B2088" i="106" s="1"/>
  <c r="D2088" i="106" s="1"/>
  <c r="G74" i="29"/>
  <c r="K42" i="29"/>
  <c r="B1115" i="106" s="1"/>
  <c r="D1115" i="106" s="1"/>
  <c r="F74" i="29"/>
  <c r="K340" i="29"/>
  <c r="K330" i="29"/>
  <c r="I74" i="29"/>
  <c r="K33" i="29"/>
  <c r="D279" i="29"/>
  <c r="E170" i="5"/>
  <c r="B5544" i="106" s="1"/>
  <c r="D5544" i="106" s="1"/>
  <c r="B2916" i="106"/>
  <c r="D2916" i="106" s="1"/>
  <c r="C41" i="3"/>
  <c r="B93" i="106" s="1"/>
  <c r="D93" i="106" s="1"/>
  <c r="C77" i="4"/>
  <c r="B3232" i="106" s="1"/>
  <c r="D3232" i="106" s="1"/>
  <c r="K76" i="4"/>
  <c r="B3586" i="106" s="1"/>
  <c r="D3586" i="106" s="1"/>
  <c r="B2913" i="106"/>
  <c r="D2913" i="106" s="1"/>
  <c r="D50" i="36"/>
  <c r="B2910" i="106"/>
  <c r="D2910" i="106" s="1"/>
  <c r="F41" i="3"/>
  <c r="D169" i="5"/>
  <c r="B5412" i="106" s="1"/>
  <c r="D5412" i="106" s="1"/>
  <c r="B6840" i="106"/>
  <c r="D6840" i="106" s="1"/>
  <c r="E266" i="5"/>
  <c r="B7747" i="106" s="1"/>
  <c r="D7747" i="106" s="1"/>
  <c r="J109" i="5"/>
  <c r="B6352" i="106" s="1"/>
  <c r="D6352" i="106" s="1"/>
  <c r="D266" i="5"/>
  <c r="B5501" i="106" s="1"/>
  <c r="D5501" i="106" s="1"/>
  <c r="K170" i="5"/>
  <c r="K6" i="4" s="1"/>
  <c r="B3570" i="106" s="1"/>
  <c r="D3570" i="106" s="1"/>
  <c r="F125" i="34"/>
  <c r="B7857" i="106" s="1"/>
  <c r="D7857" i="106" s="1"/>
  <c r="J170" i="5"/>
  <c r="J6" i="4" s="1"/>
  <c r="B6221" i="106" s="1"/>
  <c r="D6221" i="106" s="1"/>
  <c r="B2917" i="106"/>
  <c r="D2917" i="106" s="1"/>
  <c r="D53" i="36"/>
  <c r="D45" i="36"/>
  <c r="D54" i="36"/>
  <c r="H41" i="3"/>
  <c r="J41" i="3"/>
  <c r="D51" i="36" s="1"/>
  <c r="B1744" i="106"/>
  <c r="D1744" i="106" s="1"/>
  <c r="D5" i="4"/>
  <c r="B3406" i="106" s="1"/>
  <c r="D3406" i="106" s="1"/>
  <c r="F133" i="34"/>
  <c r="B7865" i="106" s="1"/>
  <c r="D7865" i="106" s="1"/>
  <c r="G169" i="5"/>
  <c r="G170" i="5" s="1"/>
  <c r="F109" i="5"/>
  <c r="F4" i="4" s="1"/>
  <c r="F124" i="34"/>
  <c r="B7856" i="106" s="1"/>
  <c r="D7856" i="106" s="1"/>
  <c r="F108" i="34"/>
  <c r="B7844" i="106" s="1"/>
  <c r="D7844" i="106" s="1"/>
  <c r="F106" i="34"/>
  <c r="B7842" i="106" s="1"/>
  <c r="D7842" i="106" s="1"/>
  <c r="B5096" i="106"/>
  <c r="D5096" i="106" s="1"/>
  <c r="F107" i="34"/>
  <c r="B7843" i="106" s="1"/>
  <c r="D7843" i="106" s="1"/>
  <c r="D14" i="7"/>
  <c r="B1770" i="106" s="1"/>
  <c r="D1770" i="106" s="1"/>
  <c r="B6357" i="106"/>
  <c r="D6357" i="106" s="1"/>
  <c r="B1" i="175"/>
  <c r="B1" i="177"/>
  <c r="A2" i="170"/>
  <c r="A5" i="171"/>
  <c r="A4" i="173"/>
  <c r="B1" i="176"/>
  <c r="B4" i="175"/>
  <c r="B4" i="176"/>
  <c r="D7249" i="106"/>
  <c r="B79" i="36"/>
  <c r="B77" i="36"/>
  <c r="G19" i="184"/>
  <c r="L19" i="184"/>
  <c r="D84" i="36" s="1"/>
  <c r="F33" i="183"/>
  <c r="F158" i="34"/>
  <c r="B7866" i="106" s="1"/>
  <c r="D7866" i="106" s="1"/>
  <c r="B2053" i="106"/>
  <c r="D2053" i="106" s="1"/>
  <c r="L13" i="11"/>
  <c r="B2060" i="106" s="1"/>
  <c r="D2060" i="106" s="1"/>
  <c r="K16" i="11"/>
  <c r="B2055" i="106" s="1"/>
  <c r="D2055" i="106" s="1"/>
  <c r="I26" i="12"/>
  <c r="B7741" i="106" s="1"/>
  <c r="D7741" i="106" s="1"/>
  <c r="B1983" i="106"/>
  <c r="D1983" i="106" s="1"/>
  <c r="B6079" i="106"/>
  <c r="D6079" i="106" s="1"/>
  <c r="B1871" i="106"/>
  <c r="D1871" i="106" s="1"/>
  <c r="B3725" i="106"/>
  <c r="D3725" i="106" s="1"/>
  <c r="B4102" i="106"/>
  <c r="D4102" i="106" s="1"/>
  <c r="F19" i="7"/>
  <c r="B1807" i="106" s="1"/>
  <c r="D1807" i="106" s="1"/>
  <c r="D15" i="7"/>
  <c r="B1772" i="106" s="1"/>
  <c r="D1772" i="106" s="1"/>
  <c r="C5" i="4"/>
  <c r="B3405" i="106" s="1"/>
  <c r="D3405" i="106" s="1"/>
  <c r="H266" i="5"/>
  <c r="B1748" i="106"/>
  <c r="D1748" i="106" s="1"/>
  <c r="H170" i="5"/>
  <c r="H6" i="4" s="1"/>
  <c r="B2656" i="106" s="1"/>
  <c r="D2656" i="106" s="1"/>
  <c r="K109" i="5"/>
  <c r="C266" i="5"/>
  <c r="B5320" i="106" s="1"/>
  <c r="D5320" i="106" s="1"/>
  <c r="D16" i="7"/>
  <c r="B3447" i="106" s="1"/>
  <c r="D3447" i="106" s="1"/>
  <c r="B6409" i="106"/>
  <c r="D6409" i="106" s="1"/>
  <c r="B5147" i="106"/>
  <c r="D5147" i="106" s="1"/>
  <c r="D7" i="7"/>
  <c r="B1763" i="106" s="1"/>
  <c r="D1763" i="106" s="1"/>
  <c r="D11" i="7"/>
  <c r="B1768" i="106" s="1"/>
  <c r="D1768" i="106" s="1"/>
  <c r="B6839" i="106"/>
  <c r="D6839" i="106" s="1"/>
  <c r="B4363" i="106"/>
  <c r="D4363" i="106" s="1"/>
  <c r="B1745" i="106"/>
  <c r="D1745" i="106" s="1"/>
  <c r="B3703" i="106"/>
  <c r="D3703" i="106" s="1"/>
  <c r="B3229" i="106"/>
  <c r="D3229" i="106" s="1"/>
  <c r="I76" i="4"/>
  <c r="B3318" i="106" s="1"/>
  <c r="D3318" i="106" s="1"/>
  <c r="H77" i="4"/>
  <c r="B3299" i="106" s="1"/>
  <c r="D3299" i="106" s="1"/>
  <c r="G77" i="4"/>
  <c r="B3261" i="106" s="1"/>
  <c r="D3261" i="106" s="1"/>
  <c r="B6289" i="106"/>
  <c r="D6289" i="106" s="1"/>
  <c r="J77" i="4"/>
  <c r="B6262" i="106" s="1"/>
  <c r="D6262" i="106" s="1"/>
  <c r="B6286" i="106"/>
  <c r="D6286" i="106" s="1"/>
  <c r="G41" i="3"/>
  <c r="B190" i="106" s="1"/>
  <c r="D190" i="106" s="1"/>
  <c r="B180" i="106"/>
  <c r="D180" i="106" s="1"/>
  <c r="B3552" i="106"/>
  <c r="D3552" i="106" s="1"/>
  <c r="B2" i="177"/>
  <c r="B2" i="174"/>
  <c r="A2" i="171"/>
  <c r="I6" i="4"/>
  <c r="B4216" i="106"/>
  <c r="D4216" i="106" s="1"/>
  <c r="B1753" i="106"/>
  <c r="D1753" i="106" s="1"/>
  <c r="I267" i="5"/>
  <c r="B4373" i="106"/>
  <c r="D4373" i="106" s="1"/>
  <c r="J267" i="5"/>
  <c r="B4398" i="106"/>
  <c r="D4398" i="106" s="1"/>
  <c r="G266" i="5"/>
  <c r="B5863" i="106" s="1"/>
  <c r="D5863" i="106" s="1"/>
  <c r="K267" i="5"/>
  <c r="G109" i="5"/>
  <c r="F128" i="34"/>
  <c r="B7860" i="106" s="1"/>
  <c r="D7860" i="106" s="1"/>
  <c r="C109" i="5"/>
  <c r="H109" i="5"/>
  <c r="F96" i="34"/>
  <c r="B7838" i="106" s="1"/>
  <c r="D7838" i="106" s="1"/>
  <c r="F112" i="34"/>
  <c r="B7847" i="106" s="1"/>
  <c r="D7847" i="106" s="1"/>
  <c r="B5232" i="106"/>
  <c r="D5232" i="106" s="1"/>
  <c r="C169" i="5"/>
  <c r="B5214" i="106" s="1"/>
  <c r="D5214" i="106" s="1"/>
  <c r="E109" i="5"/>
  <c r="D109" i="5"/>
  <c r="F169" i="5"/>
  <c r="B5444" i="106"/>
  <c r="D5444" i="106" s="1"/>
  <c r="F127" i="34"/>
  <c r="B7859" i="106" s="1"/>
  <c r="D7859" i="106" s="1"/>
  <c r="B19" i="7"/>
  <c r="B1759" i="106" s="1"/>
  <c r="D1759" i="106" s="1"/>
  <c r="F266" i="5"/>
  <c r="I109" i="5"/>
  <c r="D10" i="7"/>
  <c r="B1765" i="106" s="1"/>
  <c r="D1765" i="106" s="1"/>
  <c r="B5513" i="106"/>
  <c r="D5513" i="106" s="1"/>
  <c r="D6" i="7"/>
  <c r="B1762" i="106" s="1"/>
  <c r="D1762" i="106" s="1"/>
  <c r="H13" i="184"/>
  <c r="H12" i="184"/>
  <c r="F77" i="4"/>
  <c r="B3255" i="106" s="1"/>
  <c r="D3255" i="106" s="1"/>
  <c r="B7733" i="106" l="1"/>
  <c r="D7733" i="106" s="1"/>
  <c r="K26" i="12"/>
  <c r="B7743" i="106" s="1"/>
  <c r="D7743" i="106" s="1"/>
  <c r="K28" i="118"/>
  <c r="O27" i="118" s="1"/>
  <c r="O29" i="118" s="1"/>
  <c r="K34" i="182"/>
  <c r="D83" i="36" s="1"/>
  <c r="N23" i="3"/>
  <c r="B284" i="106" s="1"/>
  <c r="D284" i="106" s="1"/>
  <c r="F41" i="108"/>
  <c r="G43" i="108" s="1"/>
  <c r="D41" i="108"/>
  <c r="E43" i="108" s="1"/>
  <c r="B5588" i="106"/>
  <c r="D5588" i="106" s="1"/>
  <c r="E19" i="184"/>
  <c r="K365" i="29"/>
  <c r="B7243" i="106" s="1"/>
  <c r="D7243" i="106" s="1"/>
  <c r="H19" i="184"/>
  <c r="L20" i="184" s="1"/>
  <c r="B1108" i="106"/>
  <c r="D1108" i="106" s="1"/>
  <c r="C12" i="4"/>
  <c r="I114" i="29"/>
  <c r="B6977" i="106"/>
  <c r="D6977" i="106" s="1"/>
  <c r="C114" i="29"/>
  <c r="B757" i="106" s="1"/>
  <c r="D757" i="106" s="1"/>
  <c r="B755" i="106"/>
  <c r="D755" i="106" s="1"/>
  <c r="F114" i="29"/>
  <c r="B931" i="106" s="1"/>
  <c r="D931" i="106" s="1"/>
  <c r="B929" i="106"/>
  <c r="D929" i="106" s="1"/>
  <c r="G114" i="29"/>
  <c r="B987" i="106"/>
  <c r="D987" i="106" s="1"/>
  <c r="K172" i="29"/>
  <c r="B1331" i="106" s="1"/>
  <c r="D1331" i="106" s="1"/>
  <c r="D114" i="29"/>
  <c r="B815" i="106" s="1"/>
  <c r="D815" i="106" s="1"/>
  <c r="B813" i="106"/>
  <c r="D813" i="106" s="1"/>
  <c r="K112" i="29"/>
  <c r="B1151" i="106"/>
  <c r="D1151" i="106" s="1"/>
  <c r="J114" i="29"/>
  <c r="B7021" i="106" s="1"/>
  <c r="D7021" i="106" s="1"/>
  <c r="B6978" i="106"/>
  <c r="D6978" i="106" s="1"/>
  <c r="D7250" i="106"/>
  <c r="A7251" i="106"/>
  <c r="N68" i="184"/>
  <c r="F22" i="37"/>
  <c r="F24" i="37" s="1"/>
  <c r="B1879" i="106"/>
  <c r="D1879" i="106" s="1"/>
  <c r="E114" i="29"/>
  <c r="B873" i="106" s="1"/>
  <c r="D873" i="106" s="1"/>
  <c r="G26" i="12"/>
  <c r="B7739" i="106" s="1"/>
  <c r="D7739" i="106" s="1"/>
  <c r="B1958" i="106"/>
  <c r="D1958" i="106" s="1"/>
  <c r="J24" i="12"/>
  <c r="B7730" i="106"/>
  <c r="D7730" i="106" s="1"/>
  <c r="N36" i="3"/>
  <c r="H37" i="37" s="1"/>
  <c r="J4" i="4"/>
  <c r="B6220" i="106" s="1"/>
  <c r="D6220" i="106" s="1"/>
  <c r="B6397" i="106"/>
  <c r="D6397" i="106" s="1"/>
  <c r="F74" i="34"/>
  <c r="B7790" i="106"/>
  <c r="D7790" i="106" s="1"/>
  <c r="E68" i="184"/>
  <c r="J15" i="4"/>
  <c r="B7796" i="106" s="1"/>
  <c r="D7796" i="106" s="1"/>
  <c r="B5770" i="106"/>
  <c r="D5770" i="106" s="1"/>
  <c r="E6" i="4"/>
  <c r="B2631" i="106" s="1"/>
  <c r="D2631" i="106" s="1"/>
  <c r="B1323" i="106"/>
  <c r="D1323" i="106" s="1"/>
  <c r="E15" i="4"/>
  <c r="F60" i="34"/>
  <c r="K129" i="29"/>
  <c r="B1279" i="106"/>
  <c r="D1279" i="106" s="1"/>
  <c r="E16" i="4"/>
  <c r="B2634" i="106" s="1"/>
  <c r="D2634" i="106" s="1"/>
  <c r="D295" i="29"/>
  <c r="B1448" i="106" s="1"/>
  <c r="D1448" i="106" s="1"/>
  <c r="B1446" i="106"/>
  <c r="D1446" i="106" s="1"/>
  <c r="B1474" i="106"/>
  <c r="D1474" i="106" s="1"/>
  <c r="G12" i="4"/>
  <c r="K139" i="29"/>
  <c r="B2093" i="106"/>
  <c r="D2093" i="106" s="1"/>
  <c r="G19" i="108"/>
  <c r="E19" i="108"/>
  <c r="E22" i="108"/>
  <c r="G22" i="108"/>
  <c r="K312" i="29"/>
  <c r="B1560" i="106" s="1"/>
  <c r="D1560" i="106" s="1"/>
  <c r="B2102" i="106"/>
  <c r="D2102" i="106" s="1"/>
  <c r="H15" i="4"/>
  <c r="B2660" i="106" s="1"/>
  <c r="D2660" i="106" s="1"/>
  <c r="G16" i="4"/>
  <c r="B2611" i="106" s="1"/>
  <c r="D2611" i="106" s="1"/>
  <c r="B1515" i="106"/>
  <c r="D1515" i="106" s="1"/>
  <c r="K196" i="29"/>
  <c r="B2837" i="106"/>
  <c r="D2837" i="106" s="1"/>
  <c r="F13" i="4"/>
  <c r="B1381" i="106"/>
  <c r="D1381" i="106" s="1"/>
  <c r="B3724" i="106"/>
  <c r="D3724" i="106" s="1"/>
  <c r="F73" i="34"/>
  <c r="G15" i="4"/>
  <c r="B6032" i="106" s="1"/>
  <c r="D6032" i="106" s="1"/>
  <c r="K149" i="29"/>
  <c r="B7048" i="106"/>
  <c r="D7048" i="106" s="1"/>
  <c r="H13" i="4"/>
  <c r="B1559" i="106"/>
  <c r="D1559" i="106" s="1"/>
  <c r="G21" i="108"/>
  <c r="E21" i="108"/>
  <c r="K208" i="29"/>
  <c r="B4157" i="106"/>
  <c r="D4157" i="106" s="1"/>
  <c r="B6014" i="106"/>
  <c r="D6014" i="106" s="1"/>
  <c r="B5906" i="106"/>
  <c r="D5906" i="106" s="1"/>
  <c r="L114" i="29"/>
  <c r="K342" i="29"/>
  <c r="J13" i="4"/>
  <c r="B7207" i="106"/>
  <c r="D7207" i="106" s="1"/>
  <c r="K15" i="4"/>
  <c r="B3573" i="106" s="1"/>
  <c r="D3573" i="106" s="1"/>
  <c r="B3674" i="106"/>
  <c r="D3674" i="106" s="1"/>
  <c r="J16" i="4"/>
  <c r="B6226" i="106" s="1"/>
  <c r="D6226" i="106" s="1"/>
  <c r="B7215" i="106"/>
  <c r="D7215" i="106" s="1"/>
  <c r="K352" i="29"/>
  <c r="B3670" i="106"/>
  <c r="D3670" i="106" s="1"/>
  <c r="G23" i="108"/>
  <c r="E23" i="108"/>
  <c r="D46" i="36"/>
  <c r="K279" i="29"/>
  <c r="K295" i="29" s="1"/>
  <c r="H114" i="29"/>
  <c r="B1054" i="106" s="1"/>
  <c r="D1054" i="106" s="1"/>
  <c r="G267" i="5"/>
  <c r="G7" i="4" s="1"/>
  <c r="B2605" i="106" s="1"/>
  <c r="D2605" i="106" s="1"/>
  <c r="E77" i="4"/>
  <c r="B3277" i="106" s="1"/>
  <c r="D3277" i="106" s="1"/>
  <c r="I77" i="4"/>
  <c r="B3319" i="106" s="1"/>
  <c r="D3319" i="106" s="1"/>
  <c r="K74" i="29"/>
  <c r="K102" i="29"/>
  <c r="E267" i="5"/>
  <c r="B4434" i="106" s="1"/>
  <c r="D4434" i="106" s="1"/>
  <c r="D170" i="5"/>
  <c r="D6" i="4" s="1"/>
  <c r="B2566" i="106" s="1"/>
  <c r="D2566" i="106" s="1"/>
  <c r="D44" i="36"/>
  <c r="K77" i="4"/>
  <c r="B3587" i="106" s="1"/>
  <c r="D3587" i="106" s="1"/>
  <c r="D267" i="5"/>
  <c r="B5507" i="106" s="1"/>
  <c r="D5507" i="106" s="1"/>
  <c r="B6216" i="106"/>
  <c r="D6216" i="106" s="1"/>
  <c r="D47" i="36"/>
  <c r="B171" i="106"/>
  <c r="D171" i="106" s="1"/>
  <c r="D48" i="36"/>
  <c r="J268" i="5"/>
  <c r="B7055" i="106" s="1"/>
  <c r="D7055" i="106" s="1"/>
  <c r="B213" i="106"/>
  <c r="D213" i="106" s="1"/>
  <c r="D49" i="36"/>
  <c r="E40" i="108"/>
  <c r="G40" i="108"/>
  <c r="L16" i="11"/>
  <c r="B2061" i="106" s="1"/>
  <c r="D2061" i="106" s="1"/>
  <c r="K16" i="4"/>
  <c r="K4" i="4"/>
  <c r="B3569" i="106" s="1"/>
  <c r="D3569" i="106" s="1"/>
  <c r="B6028" i="106"/>
  <c r="D6028" i="106" s="1"/>
  <c r="C267" i="5"/>
  <c r="H267" i="5"/>
  <c r="H268" i="5" s="1"/>
  <c r="B4441" i="106"/>
  <c r="D4441" i="106" s="1"/>
  <c r="B5356" i="106"/>
  <c r="D5356" i="106" s="1"/>
  <c r="D4" i="4"/>
  <c r="J7" i="4"/>
  <c r="B6222" i="106" s="1"/>
  <c r="D6222" i="106" s="1"/>
  <c r="B7054" i="106"/>
  <c r="D7054" i="106" s="1"/>
  <c r="F175" i="34"/>
  <c r="D19" i="7"/>
  <c r="B1775" i="106" s="1"/>
  <c r="D1775" i="106" s="1"/>
  <c r="B5527" i="106"/>
  <c r="D5527" i="106" s="1"/>
  <c r="E4" i="4"/>
  <c r="C4" i="4"/>
  <c r="B5121" i="106"/>
  <c r="D5121" i="106" s="1"/>
  <c r="B4435" i="106"/>
  <c r="D4435" i="106" s="1"/>
  <c r="I7" i="4"/>
  <c r="B4444" i="106" s="1"/>
  <c r="D4444" i="106" s="1"/>
  <c r="B2591" i="106"/>
  <c r="D2591" i="106" s="1"/>
  <c r="B6024" i="106"/>
  <c r="D6024" i="106" s="1"/>
  <c r="G4" i="4"/>
  <c r="K7" i="4"/>
  <c r="K268" i="5"/>
  <c r="B6022" i="106"/>
  <c r="D6022" i="106" s="1"/>
  <c r="F170" i="5"/>
  <c r="B5644" i="106"/>
  <c r="D5644" i="106" s="1"/>
  <c r="I268" i="5"/>
  <c r="B5946" i="106" s="1"/>
  <c r="D5946" i="106" s="1"/>
  <c r="I4" i="4"/>
  <c r="B3225" i="106" s="1"/>
  <c r="D3225" i="106" s="1"/>
  <c r="B6026" i="106"/>
  <c r="D6026" i="106" s="1"/>
  <c r="B5713" i="106"/>
  <c r="D5713" i="106" s="1"/>
  <c r="F267" i="5"/>
  <c r="C170" i="5"/>
  <c r="B5778" i="106"/>
  <c r="D5778" i="106" s="1"/>
  <c r="G6" i="4"/>
  <c r="B2604" i="106" s="1"/>
  <c r="D2604" i="106" s="1"/>
  <c r="B5011" i="106"/>
  <c r="D5011" i="106" s="1"/>
  <c r="B6025" i="106"/>
  <c r="D6025" i="106" s="1"/>
  <c r="H4" i="4"/>
  <c r="K174" i="29" l="1"/>
  <c r="B285" i="106"/>
  <c r="D285" i="106" s="1"/>
  <c r="B989" i="106"/>
  <c r="D989" i="106" s="1"/>
  <c r="F54" i="34"/>
  <c r="F17" i="11"/>
  <c r="B7020" i="106"/>
  <c r="D7020" i="106" s="1"/>
  <c r="F55" i="34"/>
  <c r="C16" i="4"/>
  <c r="B2560" i="106" s="1"/>
  <c r="D2560" i="106" s="1"/>
  <c r="B7019" i="106"/>
  <c r="D7019" i="106" s="1"/>
  <c r="B2556" i="106"/>
  <c r="D2556" i="106" s="1"/>
  <c r="C15" i="4"/>
  <c r="B2559" i="106" s="1"/>
  <c r="D2559" i="106" s="1"/>
  <c r="F53" i="34"/>
  <c r="B1145" i="106"/>
  <c r="D1145" i="106" s="1"/>
  <c r="C13" i="4"/>
  <c r="B2557" i="106" s="1"/>
  <c r="D2557" i="106" s="1"/>
  <c r="B1143" i="106"/>
  <c r="D1143" i="106" s="1"/>
  <c r="A7252" i="106"/>
  <c r="D7251" i="106"/>
  <c r="N37" i="3"/>
  <c r="N41" i="3" s="1"/>
  <c r="D55" i="36" s="1"/>
  <c r="J26" i="12"/>
  <c r="B7742" i="106" s="1"/>
  <c r="D7742" i="106" s="1"/>
  <c r="B7732" i="106"/>
  <c r="D7732" i="106" s="1"/>
  <c r="K151" i="29"/>
  <c r="F9" i="34" s="1"/>
  <c r="B5421" i="106"/>
  <c r="D5421" i="106" s="1"/>
  <c r="B1288" i="106"/>
  <c r="D1288" i="106" s="1"/>
  <c r="B1287" i="106"/>
  <c r="D1287" i="106" s="1"/>
  <c r="D16" i="4"/>
  <c r="B2572" i="106" s="1"/>
  <c r="D2572" i="106" s="1"/>
  <c r="B2607" i="106"/>
  <c r="D2607" i="106" s="1"/>
  <c r="F63" i="34"/>
  <c r="B1382" i="106"/>
  <c r="D1382" i="106" s="1"/>
  <c r="F15" i="4"/>
  <c r="B2598" i="106" s="1"/>
  <c r="D2598" i="106" s="1"/>
  <c r="G13" i="4"/>
  <c r="B2608" i="106" s="1"/>
  <c r="D2608" i="106" s="1"/>
  <c r="B1510" i="106"/>
  <c r="D1510" i="106" s="1"/>
  <c r="B1281" i="106"/>
  <c r="D1281" i="106" s="1"/>
  <c r="D13" i="4"/>
  <c r="B2659" i="106"/>
  <c r="D2659" i="106" s="1"/>
  <c r="H17" i="4"/>
  <c r="K210" i="29"/>
  <c r="B2633" i="106"/>
  <c r="D2633" i="106" s="1"/>
  <c r="E17" i="4"/>
  <c r="F12" i="34"/>
  <c r="B1517" i="106"/>
  <c r="D1517" i="106" s="1"/>
  <c r="F10" i="34"/>
  <c r="B1332" i="106"/>
  <c r="D1332" i="106" s="1"/>
  <c r="B2596" i="106"/>
  <c r="D2596" i="106" s="1"/>
  <c r="B1387" i="106"/>
  <c r="D1387" i="106" s="1"/>
  <c r="F16" i="4"/>
  <c r="B2599" i="106" s="1"/>
  <c r="D2599" i="106" s="1"/>
  <c r="B1282" i="106"/>
  <c r="D1282" i="106" s="1"/>
  <c r="D15" i="4"/>
  <c r="B2571" i="106" s="1"/>
  <c r="D2571" i="106" s="1"/>
  <c r="F57" i="34"/>
  <c r="K13" i="4"/>
  <c r="B3572" i="106" s="1"/>
  <c r="D3572" i="106" s="1"/>
  <c r="B3672" i="106"/>
  <c r="D3672" i="106" s="1"/>
  <c r="K367" i="29"/>
  <c r="B3678" i="106" s="1"/>
  <c r="D3678" i="106" s="1"/>
  <c r="F13" i="34"/>
  <c r="B7224" i="106"/>
  <c r="D7224" i="106" s="1"/>
  <c r="B7042" i="106"/>
  <c r="D7042" i="106" s="1"/>
  <c r="J17" i="4"/>
  <c r="E7" i="4"/>
  <c r="B4443" i="106" s="1"/>
  <c r="D4443" i="106" s="1"/>
  <c r="E268" i="5"/>
  <c r="K175" i="29" s="1"/>
  <c r="B1333" i="106" s="1"/>
  <c r="D1333" i="106" s="1"/>
  <c r="K114" i="29"/>
  <c r="B5869" i="106"/>
  <c r="D5869" i="106" s="1"/>
  <c r="G268" i="5"/>
  <c r="B5870" i="106" s="1"/>
  <c r="D5870" i="106" s="1"/>
  <c r="D268" i="5"/>
  <c r="D7" i="4"/>
  <c r="B2567" i="106" s="1"/>
  <c r="D2567" i="106" s="1"/>
  <c r="K343" i="29"/>
  <c r="B7225" i="106" s="1"/>
  <c r="D7225" i="106" s="1"/>
  <c r="C268" i="5"/>
  <c r="B7821" i="106"/>
  <c r="D7821" i="106" s="1"/>
  <c r="G41" i="108"/>
  <c r="G44" i="108" s="1"/>
  <c r="G45" i="108" s="1"/>
  <c r="B7820" i="106"/>
  <c r="D7820" i="106" s="1"/>
  <c r="E41" i="108"/>
  <c r="E44" i="108" s="1"/>
  <c r="E45" i="108" s="1"/>
  <c r="B4997" i="106"/>
  <c r="D4997" i="106" s="1"/>
  <c r="H32" i="118"/>
  <c r="K32" i="118" s="1"/>
  <c r="O31" i="118" s="1"/>
  <c r="O33" i="118" s="1"/>
  <c r="B3574" i="106"/>
  <c r="D3574" i="106" s="1"/>
  <c r="B5326" i="106"/>
  <c r="D5326" i="106" s="1"/>
  <c r="C7" i="4"/>
  <c r="B2554" i="106" s="1"/>
  <c r="D2554" i="106" s="1"/>
  <c r="J8" i="4"/>
  <c r="B6223" i="106" s="1"/>
  <c r="D6223" i="106" s="1"/>
  <c r="B5914" i="106"/>
  <c r="D5914" i="106" s="1"/>
  <c r="H7" i="4"/>
  <c r="B2657" i="106" s="1"/>
  <c r="D2657" i="106" s="1"/>
  <c r="B2630" i="106"/>
  <c r="D2630" i="106" s="1"/>
  <c r="B2655" i="106"/>
  <c r="D2655" i="106" s="1"/>
  <c r="B5915" i="106"/>
  <c r="D5915" i="106" s="1"/>
  <c r="K313" i="29"/>
  <c r="B1561" i="106" s="1"/>
  <c r="D1561" i="106" s="1"/>
  <c r="B7877" i="106"/>
  <c r="D7877" i="106" s="1"/>
  <c r="G8" i="4"/>
  <c r="B2603" i="106"/>
  <c r="D2603" i="106" s="1"/>
  <c r="B5719" i="106"/>
  <c r="D5719" i="106" s="1"/>
  <c r="F7" i="4"/>
  <c r="I8" i="4"/>
  <c r="B5653" i="106"/>
  <c r="D5653" i="106" s="1"/>
  <c r="F6" i="4"/>
  <c r="F268" i="5"/>
  <c r="B6023" i="106"/>
  <c r="D6023" i="106" s="1"/>
  <c r="B3718" i="106"/>
  <c r="D3718" i="106" s="1"/>
  <c r="K8" i="4"/>
  <c r="B2564" i="106"/>
  <c r="D2564" i="106" s="1"/>
  <c r="C6" i="4"/>
  <c r="B2553" i="106" s="1"/>
  <c r="D2553" i="106" s="1"/>
  <c r="B5223" i="106"/>
  <c r="D5223" i="106" s="1"/>
  <c r="B2551" i="106"/>
  <c r="D2551" i="106" s="1"/>
  <c r="B288" i="106" l="1"/>
  <c r="D288" i="106" s="1"/>
  <c r="K17" i="4"/>
  <c r="B3575" i="106" s="1"/>
  <c r="D3575" i="106" s="1"/>
  <c r="B287" i="106"/>
  <c r="D287" i="106" s="1"/>
  <c r="C17" i="4"/>
  <c r="F8" i="34"/>
  <c r="B1152" i="106"/>
  <c r="D1152" i="106" s="1"/>
  <c r="I17" i="11"/>
  <c r="B7624" i="106"/>
  <c r="K152" i="29"/>
  <c r="B1289" i="106" s="1"/>
  <c r="D1289" i="106" s="1"/>
  <c r="D8" i="4"/>
  <c r="D10" i="4" s="1"/>
  <c r="B4123" i="106" s="1"/>
  <c r="D4123" i="106" s="1"/>
  <c r="A7253" i="106"/>
  <c r="D7252" i="106"/>
  <c r="F17" i="4"/>
  <c r="F19" i="4" s="1"/>
  <c r="B4139" i="106" s="1"/>
  <c r="D4139" i="106" s="1"/>
  <c r="G17" i="4"/>
  <c r="G20" i="4" s="1"/>
  <c r="F11" i="34"/>
  <c r="F14" i="34" s="1"/>
  <c r="B7822" i="106" s="1"/>
  <c r="B1388" i="106"/>
  <c r="D1388" i="106" s="1"/>
  <c r="K368" i="29"/>
  <c r="B3681" i="106" s="1"/>
  <c r="D3681" i="106" s="1"/>
  <c r="E19" i="4"/>
  <c r="B4138" i="106" s="1"/>
  <c r="D4138" i="106" s="1"/>
  <c r="B2635" i="106"/>
  <c r="D2635" i="106" s="1"/>
  <c r="F77" i="34"/>
  <c r="B7834" i="106" s="1"/>
  <c r="D7834" i="106" s="1"/>
  <c r="B2661" i="106"/>
  <c r="D2661" i="106" s="1"/>
  <c r="H19" i="4"/>
  <c r="B4141" i="106" s="1"/>
  <c r="D4141" i="106" s="1"/>
  <c r="B2569" i="106"/>
  <c r="D2569" i="106" s="1"/>
  <c r="D17" i="4"/>
  <c r="B5552" i="106"/>
  <c r="D5552" i="106" s="1"/>
  <c r="K296" i="29"/>
  <c r="B1518" i="106" s="1"/>
  <c r="D1518" i="106" s="1"/>
  <c r="E8" i="4"/>
  <c r="B2632" i="106" s="1"/>
  <c r="D2632" i="106" s="1"/>
  <c r="K115" i="29"/>
  <c r="B1153" i="106" s="1"/>
  <c r="D1153" i="106" s="1"/>
  <c r="J19" i="4"/>
  <c r="B6229" i="106" s="1"/>
  <c r="D6229" i="106" s="1"/>
  <c r="B6227" i="106"/>
  <c r="D6227" i="106" s="1"/>
  <c r="B5508" i="106"/>
  <c r="D5508" i="106" s="1"/>
  <c r="B5327" i="106"/>
  <c r="D5327" i="106" s="1"/>
  <c r="J20" i="4"/>
  <c r="J78" i="4" s="1"/>
  <c r="J10" i="4"/>
  <c r="B6225" i="106" s="1"/>
  <c r="D6225" i="106" s="1"/>
  <c r="K19" i="4"/>
  <c r="B4144" i="106" s="1"/>
  <c r="D4144" i="106" s="1"/>
  <c r="H8" i="4"/>
  <c r="H20" i="4" s="1"/>
  <c r="C8" i="4"/>
  <c r="B2606" i="106"/>
  <c r="D2606" i="106" s="1"/>
  <c r="G10" i="4"/>
  <c r="B4126" i="106" s="1"/>
  <c r="D4126" i="106" s="1"/>
  <c r="K211" i="29"/>
  <c r="B1389" i="106" s="1"/>
  <c r="D1389" i="106" s="1"/>
  <c r="B5720" i="106"/>
  <c r="D5720" i="106" s="1"/>
  <c r="K10" i="4"/>
  <c r="B4130" i="106" s="1"/>
  <c r="D4130" i="106" s="1"/>
  <c r="B3571" i="106"/>
  <c r="D3571" i="106" s="1"/>
  <c r="K20" i="4"/>
  <c r="B2593" i="106"/>
  <c r="D2593" i="106" s="1"/>
  <c r="F8" i="4"/>
  <c r="B3226" i="106"/>
  <c r="D3226" i="106" s="1"/>
  <c r="E8" i="146"/>
  <c r="E10" i="146" s="1"/>
  <c r="I20" i="4"/>
  <c r="I10" i="4"/>
  <c r="B4128" i="106" s="1"/>
  <c r="D4128" i="106" s="1"/>
  <c r="B2594" i="106"/>
  <c r="D2594" i="106" s="1"/>
  <c r="D10" i="171"/>
  <c r="D19" i="171" s="1"/>
  <c r="D32" i="171" s="1"/>
  <c r="D49" i="171" s="1"/>
  <c r="D20" i="4" l="1"/>
  <c r="B2600" i="106"/>
  <c r="D2600" i="106" s="1"/>
  <c r="C8" i="146"/>
  <c r="B2568" i="106"/>
  <c r="D2568" i="106" s="1"/>
  <c r="B7625" i="106"/>
  <c r="I18" i="11"/>
  <c r="D9" i="146"/>
  <c r="C19" i="4"/>
  <c r="B4136" i="106" s="1"/>
  <c r="D4136" i="106" s="1"/>
  <c r="B9" i="146"/>
  <c r="B2561" i="106"/>
  <c r="D2561" i="106" s="1"/>
  <c r="A7254" i="106"/>
  <c r="D7253" i="106"/>
  <c r="E10" i="4"/>
  <c r="B4124" i="106" s="1"/>
  <c r="D4124" i="106" s="1"/>
  <c r="E20" i="4"/>
  <c r="E78" i="4" s="1"/>
  <c r="B6230" i="106"/>
  <c r="D6230" i="106" s="1"/>
  <c r="F78" i="34"/>
  <c r="F176" i="34" s="1"/>
  <c r="B7878" i="106" s="1"/>
  <c r="D7878" i="106" s="1"/>
  <c r="D19" i="4"/>
  <c r="B4137" i="106" s="1"/>
  <c r="D4137" i="106" s="1"/>
  <c r="C9" i="146"/>
  <c r="F16" i="37"/>
  <c r="H17" i="118"/>
  <c r="H25" i="118" s="1"/>
  <c r="K24" i="118" s="1"/>
  <c r="O23" i="118" s="1"/>
  <c r="O25" i="118" s="1"/>
  <c r="B2573" i="106"/>
  <c r="D2573" i="106" s="1"/>
  <c r="G19" i="4"/>
  <c r="B4140" i="106" s="1"/>
  <c r="D4140" i="106" s="1"/>
  <c r="B2612" i="106"/>
  <c r="D2612" i="106" s="1"/>
  <c r="H18" i="118"/>
  <c r="K17" i="118" s="1"/>
  <c r="K20" i="118" s="1"/>
  <c r="B2658" i="106"/>
  <c r="D2658" i="106" s="1"/>
  <c r="H10" i="4"/>
  <c r="B4127" i="106" s="1"/>
  <c r="D4127" i="106" s="1"/>
  <c r="C10" i="4"/>
  <c r="B4122" i="106" s="1"/>
  <c r="D4122" i="106" s="1"/>
  <c r="B2555" i="106"/>
  <c r="D2555" i="106" s="1"/>
  <c r="D16" i="37"/>
  <c r="C20" i="4"/>
  <c r="C78" i="4" s="1"/>
  <c r="H13" i="118"/>
  <c r="B8" i="146"/>
  <c r="D78" i="4"/>
  <c r="B2574" i="106"/>
  <c r="D2574" i="106" s="1"/>
  <c r="B3227" i="106"/>
  <c r="D3227" i="106" s="1"/>
  <c r="I78" i="4"/>
  <c r="D8" i="146"/>
  <c r="B2595" i="106"/>
  <c r="D2595" i="106" s="1"/>
  <c r="F10" i="4"/>
  <c r="B4125" i="106" s="1"/>
  <c r="D4125" i="106" s="1"/>
  <c r="F20" i="4"/>
  <c r="K78" i="4"/>
  <c r="B3576" i="106"/>
  <c r="D3576" i="106" s="1"/>
  <c r="B6263" i="106"/>
  <c r="D6263" i="106" s="1"/>
  <c r="J81" i="4"/>
  <c r="H78" i="4"/>
  <c r="B2662" i="106"/>
  <c r="D2662" i="106" s="1"/>
  <c r="G78" i="4"/>
  <c r="B2613" i="106"/>
  <c r="D2613" i="106" s="1"/>
  <c r="D10" i="146" l="1"/>
  <c r="F9" i="146"/>
  <c r="B7631" i="106"/>
  <c r="F177" i="34"/>
  <c r="F178" i="34" s="1"/>
  <c r="A7255" i="106"/>
  <c r="D7254" i="106"/>
  <c r="B2636" i="106"/>
  <c r="D2636" i="106" s="1"/>
  <c r="F80" i="34"/>
  <c r="B7837" i="106" s="1"/>
  <c r="D7837" i="106" s="1"/>
  <c r="B2562" i="106"/>
  <c r="D2562" i="106" s="1"/>
  <c r="B7835" i="106"/>
  <c r="D7835" i="106" s="1"/>
  <c r="H16" i="37"/>
  <c r="C10" i="146"/>
  <c r="J20" i="118"/>
  <c r="O16" i="118"/>
  <c r="F8" i="146"/>
  <c r="B10" i="146"/>
  <c r="D81" i="4"/>
  <c r="B3239" i="106"/>
  <c r="D3239" i="106" s="1"/>
  <c r="B3262" i="106"/>
  <c r="D3262" i="106" s="1"/>
  <c r="G81" i="4"/>
  <c r="B2601" i="106"/>
  <c r="D2601" i="106" s="1"/>
  <c r="F78" i="4"/>
  <c r="B3300" i="106"/>
  <c r="D3300" i="106" s="1"/>
  <c r="H81" i="4"/>
  <c r="B3320" i="106"/>
  <c r="D3320" i="106" s="1"/>
  <c r="I81" i="4"/>
  <c r="B3278" i="106"/>
  <c r="D3278" i="106" s="1"/>
  <c r="E81" i="4"/>
  <c r="B6266" i="106"/>
  <c r="D6266" i="106" s="1"/>
  <c r="D64" i="36"/>
  <c r="J82" i="4"/>
  <c r="B3233" i="106"/>
  <c r="D3233" i="106" s="1"/>
  <c r="C81" i="4"/>
  <c r="K81" i="4"/>
  <c r="B3588" i="106"/>
  <c r="D3588" i="106" s="1"/>
  <c r="F10" i="146" l="1"/>
  <c r="A7256" i="106"/>
  <c r="D7255" i="106"/>
  <c r="O17" i="118"/>
  <c r="O20" i="118" s="1"/>
  <c r="B7879" i="106"/>
  <c r="D7879" i="106" s="1"/>
  <c r="F180" i="34"/>
  <c r="B7880" i="106" s="1"/>
  <c r="D7880" i="106" s="1"/>
  <c r="B6274" i="106"/>
  <c r="D6274" i="106" s="1"/>
  <c r="J83" i="4"/>
  <c r="B6283" i="106" s="1"/>
  <c r="D6283" i="106" s="1"/>
  <c r="B1700" i="106"/>
  <c r="D1700" i="106" s="1"/>
  <c r="H82" i="4"/>
  <c r="D62" i="36"/>
  <c r="B1630" i="106"/>
  <c r="D1630" i="106" s="1"/>
  <c r="B11" i="146"/>
  <c r="C82" i="4"/>
  <c r="D57" i="36"/>
  <c r="B3256" i="106"/>
  <c r="D3256" i="106" s="1"/>
  <c r="F81" i="4"/>
  <c r="G82" i="4"/>
  <c r="D61" i="36"/>
  <c r="B1686" i="106"/>
  <c r="D1686" i="106" s="1"/>
  <c r="B1658" i="106"/>
  <c r="D1658" i="106" s="1"/>
  <c r="D59" i="36"/>
  <c r="E82" i="4"/>
  <c r="C11" i="146"/>
  <c r="B1644" i="106"/>
  <c r="D1644" i="106" s="1"/>
  <c r="D82" i="4"/>
  <c r="D58" i="36"/>
  <c r="D63" i="36"/>
  <c r="E11" i="146"/>
  <c r="B3323" i="106"/>
  <c r="D3323" i="106" s="1"/>
  <c r="I82" i="4"/>
  <c r="B3591" i="106"/>
  <c r="D3591" i="106" s="1"/>
  <c r="K82" i="4"/>
  <c r="D65" i="36"/>
  <c r="A7257" i="106" l="1"/>
  <c r="D7256" i="106"/>
  <c r="H12" i="118"/>
  <c r="K12" i="118" s="1"/>
  <c r="O11" i="118" s="1"/>
  <c r="O13" i="118" s="1"/>
  <c r="O35" i="118" s="1"/>
  <c r="O37" i="118" s="1"/>
  <c r="B1672" i="106"/>
  <c r="D1672" i="106" s="1"/>
  <c r="F82" i="4"/>
  <c r="D60" i="36"/>
  <c r="D11" i="146"/>
  <c r="F11" i="146" s="1"/>
  <c r="E83" i="4"/>
  <c r="B6278" i="106" s="1"/>
  <c r="D6278" i="106" s="1"/>
  <c r="B6269" i="106"/>
  <c r="D6269" i="106" s="1"/>
  <c r="J16" i="37"/>
  <c r="B4269" i="106" s="1"/>
  <c r="D4269" i="106" s="1"/>
  <c r="B6272" i="106"/>
  <c r="D6272" i="106" s="1"/>
  <c r="H83" i="4"/>
  <c r="B6281" i="106" s="1"/>
  <c r="D6281" i="106" s="1"/>
  <c r="B6268" i="106"/>
  <c r="D6268" i="106" s="1"/>
  <c r="D83" i="4"/>
  <c r="B6277" i="106" s="1"/>
  <c r="D6277" i="106" s="1"/>
  <c r="K83" i="4"/>
  <c r="B6284" i="106" s="1"/>
  <c r="D6284" i="106" s="1"/>
  <c r="B6275" i="106"/>
  <c r="D6275" i="106" s="1"/>
  <c r="C83" i="4"/>
  <c r="B6276" i="106" s="1"/>
  <c r="D6276" i="106" s="1"/>
  <c r="B6267" i="106"/>
  <c r="D6267" i="106" s="1"/>
  <c r="B6273" i="106"/>
  <c r="D6273" i="106" s="1"/>
  <c r="I83" i="4"/>
  <c r="B6282" i="106" s="1"/>
  <c r="D6282" i="106" s="1"/>
  <c r="B6271" i="106"/>
  <c r="D6271" i="106" s="1"/>
  <c r="G83" i="4"/>
  <c r="B6280" i="106" s="1"/>
  <c r="D6280" i="106" s="1"/>
  <c r="A7258" i="106" l="1"/>
  <c r="D7257" i="106"/>
  <c r="C12" i="146"/>
  <c r="D29" i="36"/>
  <c r="J24" i="24" s="1"/>
  <c r="B6270" i="106"/>
  <c r="D6270" i="106" s="1"/>
  <c r="F83" i="4"/>
  <c r="B6279" i="106" s="1"/>
  <c r="D6279" i="106" s="1"/>
  <c r="A7259" i="106" l="1"/>
  <c r="D7258" i="106"/>
  <c r="A7260" i="106" l="1"/>
  <c r="D7259" i="106"/>
  <c r="A7261" i="106" l="1"/>
  <c r="D7260" i="106"/>
  <c r="A7262" i="106" l="1"/>
  <c r="D7261" i="106"/>
  <c r="A7263" i="106" l="1"/>
  <c r="D7262" i="106"/>
  <c r="D7263" i="106" l="1"/>
  <c r="A7264" i="106"/>
  <c r="D7264" i="106" l="1"/>
  <c r="A7265" i="106"/>
  <c r="D7265" i="106" l="1"/>
  <c r="A7266" i="106"/>
  <c r="A7267" i="106" l="1"/>
  <c r="D7266" i="106"/>
  <c r="A7268" i="106" l="1"/>
  <c r="D7267"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A7591" i="106" l="1"/>
  <c r="D7590" i="106"/>
  <c r="A7592" i="106" l="1"/>
  <c r="D7591" i="106"/>
  <c r="D7592" i="106" l="1"/>
  <c r="A7593" i="106"/>
  <c r="A7594" i="106" l="1"/>
  <c r="D7593" i="106"/>
  <c r="A7595" i="106" l="1"/>
  <c r="D7594" i="106"/>
  <c r="A7596" i="106" l="1"/>
  <c r="D7595" i="106"/>
  <c r="A7597" i="106" l="1"/>
  <c r="D7596" i="106"/>
  <c r="D7597" i="106" l="1"/>
  <c r="A7598" i="106"/>
  <c r="A7599" i="106" l="1"/>
  <c r="D7598" i="106"/>
  <c r="A7600" i="106" l="1"/>
  <c r="D7599" i="106"/>
  <c r="A7601" i="106" l="1"/>
  <c r="D7600" i="106"/>
  <c r="D7601" i="106" l="1"/>
  <c r="A7602" i="106"/>
  <c r="A7603" i="106" l="1"/>
  <c r="D7602" i="106"/>
  <c r="A7604" i="106" l="1"/>
  <c r="D7603" i="106"/>
  <c r="A7605" i="106" l="1"/>
  <c r="D7604" i="106"/>
  <c r="A7606" i="106" l="1"/>
  <c r="D7605" i="106"/>
  <c r="A7607" i="106" l="1"/>
  <c r="D7606" i="106"/>
  <c r="A7608" i="106" l="1"/>
  <c r="D7607" i="106"/>
  <c r="A7609" i="106" l="1"/>
  <c r="D7608" i="106"/>
  <c r="D7609" i="106" l="1"/>
  <c r="A7610" i="106"/>
  <c r="A7611" i="106" l="1"/>
  <c r="D7610" i="106"/>
  <c r="A7612" i="106" l="1"/>
  <c r="D7611" i="106"/>
  <c r="A7613" i="106" l="1"/>
  <c r="D7612" i="106"/>
  <c r="A7614" i="106" l="1"/>
  <c r="D7613" i="106"/>
  <c r="A7615" i="106" l="1"/>
  <c r="D7614" i="106"/>
  <c r="A7616" i="106" l="1"/>
  <c r="D7615" i="106"/>
  <c r="D7616" i="106" l="1"/>
  <c r="A7617" i="106"/>
  <c r="D7617" i="106" l="1"/>
  <c r="A7618" i="106"/>
  <c r="A7619" i="106" l="1"/>
  <c r="D7618" i="106"/>
  <c r="A7620" i="106" l="1"/>
  <c r="D7619" i="106"/>
  <c r="D7620" i="106" l="1"/>
  <c r="A7621" i="106"/>
  <c r="A7622" i="106" l="1"/>
  <c r="D7621" i="106"/>
  <c r="A7623" i="106" l="1"/>
  <c r="D7622" i="106"/>
  <c r="D7623" i="106" l="1"/>
  <c r="A7624" i="106"/>
  <c r="D7624" i="106" l="1"/>
  <c r="A7625" i="106"/>
  <c r="A7626" i="106" l="1"/>
  <c r="A7627" i="106" s="1"/>
  <c r="A7628" i="106" s="1"/>
  <c r="A7629" i="106" s="1"/>
  <c r="A7630" i="106" s="1"/>
  <c r="A7631" i="106" s="1"/>
  <c r="D7625" i="106"/>
  <c r="A7632" i="106" l="1"/>
  <c r="A7633" i="106" s="1"/>
  <c r="A7634" i="106" s="1"/>
  <c r="A7635" i="106" s="1"/>
  <c r="A7636" i="106" s="1"/>
  <c r="D7631" i="106"/>
  <c r="D7636" i="106" l="1"/>
  <c r="A7637" i="106"/>
  <c r="A7638" i="106" l="1"/>
  <c r="D7637" i="106"/>
  <c r="A7639" i="106" l="1"/>
  <c r="D7638" i="106"/>
  <c r="D7639" i="106" l="1"/>
  <c r="A7640" i="106"/>
  <c r="A7641" i="106" s="1"/>
  <c r="A7642" i="106" s="1"/>
  <c r="A7643" i="106" s="1"/>
  <c r="A7644" i="106" s="1"/>
  <c r="A7645" i="106" s="1"/>
  <c r="A7646" i="106" s="1"/>
  <c r="A7647" i="106" s="1"/>
  <c r="A7648" i="106" s="1"/>
  <c r="A7649" i="106" s="1"/>
  <c r="A765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<sst xmlns="http://schemas.openxmlformats.org/spreadsheetml/2006/main" count="5208" uniqueCount="2122">
  <si>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</si>
  <si>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</si>
  <si>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</si>
  <si>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</si>
  <si>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</si>
  <si>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</si>
  <si>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</si>
  <si>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</si>
  <si>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</si>
  <si>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</si>
  <si>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</si>
  <si>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</si>
  <si>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</si>
  <si>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</si>
  <si>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</si>
  <si>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</si>
  <si>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</si>
  <si>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</si>
  <si>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</si>
  <si>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</si>
  <si>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</si>
  <si>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</si>
  <si>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</si>
  <si>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</si>
  <si>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</si>
  <si>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</si>
  <si>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</si>
  <si>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</si>
  <si>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</si>
  <si>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</si>
  <si>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</si>
  <si>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</si>
  <si>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</si>
  <si>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</si>
  <si>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</si>
  <si>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</si>
  <si>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</si>
  <si>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</si>
  <si>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</si>
  <si>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</si>
  <si>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</si>
  <si>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</si>
  <si>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</si>
  <si>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</si>
  <si>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</si>
  <si>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</si>
  <si>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</si>
  <si>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</si>
  <si>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</si>
  <si>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</si>
  <si>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</si>
  <si>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</si>
  <si>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</si>
  <si>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</si>
  <si>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</si>
  <si>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</si>
  <si>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</si>
  <si>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</si>
  <si>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</si>
  <si>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</si>
  <si>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</si>
  <si>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</si>
  <si>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</si>
  <si>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</si>
  <si>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</si>
  <si>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</si>
  <si>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</si>
  <si>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</si>
  <si>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</si>
  <si>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</si>
  <si>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</si>
  <si>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</si>
  <si>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</si>
  <si>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</si>
  <si>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</si>
  <si>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</si>
  <si>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</si>
  <si>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</si>
  <si>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</si>
  <si>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</si>
  <si>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</si>
  <si>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</si>
  <si>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</si>
  <si>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</si>
  <si>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</si>
  <si>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</si>
  <si>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</si>
  <si>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</si>
  <si>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</si>
  <si>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</si>
  <si>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</si>
  <si>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</si>
  <si>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</si>
  <si>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</si>
  <si>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</si>
  <si>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</si>
  <si>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</si>
  <si>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</si>
  <si>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</si>
  <si>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</si>
  <si>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</si>
  <si>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</si>
  <si>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</si>
  <si>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</si>
  <si>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</si>
  <si>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</si>
  <si>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</si>
  <si>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</si>
  <si>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</si>
  <si>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</si>
  <si>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</si>
  <si>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</si>
  <si>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</si>
  <si>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</si>
  <si>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</si>
  <si>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</si>
  <si>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</si>
  <si>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</si>
  <si>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</si>
  <si>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</si>
  <si>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</si>
  <si>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</si>
  <si>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</si>
  <si>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</si>
  <si>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</si>
  <si>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</si>
  <si>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</si>
  <si>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</si>
  <si>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</si>
  <si>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</si>
  <si>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</si>
  <si>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</si>
  <si>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</si>
  <si>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</si>
  <si>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</si>
  <si>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</si>
  <si>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</si>
  <si>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</si>
  <si>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</si>
  <si>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</si>
  <si>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</si>
  <si>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</si>
  <si>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</si>
  <si>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</si>
  <si>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</si>
  <si>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</si>
  <si>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</si>
  <si>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</si>
  <si>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</si>
  <si>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</si>
  <si>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</si>
  <si>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</si>
  <si>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</si>
  <si>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</si>
  <si>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</si>
  <si>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</si>
  <si>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</si>
  <si>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</si>
  <si>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</si>
  <si>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</si>
  <si>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</si>
  <si>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</si>
  <si>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</si>
  <si>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</si>
  <si>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</si>
  <si>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</si>
  <si>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</si>
  <si>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</si>
  <si>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</si>
  <si>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</si>
  <si>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</si>
  <si>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</si>
  <si>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</si>
  <si>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</si>
  <si>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</si>
  <si>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</si>
  <si>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</si>
  <si>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</si>
  <si>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</si>
  <si>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</si>
  <si>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</si>
  <si>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</si>
  <si>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</si>
  <si>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</si>
  <si>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</si>
  <si>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</si>
  <si>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</si>
  <si>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</si>
  <si>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</si>
  <si>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</si>
  <si>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</si>
  <si>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</si>
  <si>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</si>
  <si>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</si>
  <si>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</si>
  <si>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</si>
  <si>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</si>
  <si>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</si>
  <si>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</si>
  <si>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</si>
  <si>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</si>
  <si>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</si>
  <si>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</si>
  <si>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</si>
  <si>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</si>
  <si>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</si>
  <si>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</si>
  <si>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</si>
  <si>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</si>
  <si>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</si>
  <si>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</si>
  <si>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</si>
  <si>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</si>
  <si>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</si>
  <si>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</si>
  <si>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</si>
  <si>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</si>
  <si>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</si>
  <si>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</si>
  <si>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</si>
  <si>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</si>
  <si>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</si>
  <si>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</si>
  <si>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</si>
  <si>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</si>
  <si>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</si>
  <si>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</si>
  <si>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</si>
  <si>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</si>
  <si>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</si>
  <si>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</si>
  <si>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</si>
  <si>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</si>
  <si>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</si>
  <si>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</si>
  <si>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</si>
  <si>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</si>
  <si>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</si>
  <si>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</si>
  <si>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</si>
  <si>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</si>
  <si>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</si>
  <si>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</si>
  <si>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</si>
  <si>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</si>
  <si>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</si>
  <si>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</si>
  <si>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</si>
  <si>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</si>
  <si>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</si>
  <si>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</si>
  <si>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</si>
  <si>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</si>
  <si>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</si>
  <si>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</si>
  <si>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</si>
  <si>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</si>
  <si>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</si>
  <si>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</si>
  <si>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</si>
  <si>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</si>
  <si>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</si>
  <si>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</si>
  <si>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</si>
  <si>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</si>
  <si>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</si>
  <si>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</si>
  <si>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</si>
  <si>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</si>
  <si>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</si>
  <si>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</si>
  <si>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</si>
  <si>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</si>
  <si>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</si>
  <si>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</si>
  <si>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</si>
  <si>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</si>
  <si>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</si>
  <si>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</si>
  <si>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</si>
  <si>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</si>
  <si>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</si>
  <si>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</si>
  <si>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</si>
  <si>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</si>
  <si>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</si>
  <si>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</si>
  <si>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</si>
  <si>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</si>
  <si>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</si>
  <si>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</si>
  <si>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</si>
  <si>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</si>
  <si>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</si>
  <si>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</si>
  <si>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</si>
  <si>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</si>
  <si>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</si>
  <si>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</si>
  <si>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</si>
  <si>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</si>
  <si>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</si>
  <si>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</si>
  <si>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</si>
  <si>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</si>
  <si>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</si>
  <si>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</si>
  <si>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</si>
  <si>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</si>
  <si>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</si>
  <si>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</si>
  <si>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</si>
  <si>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</si>
  <si>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</si>
  <si>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</si>
  <si>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</si>
  <si>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</si>
  <si>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</si>
  <si>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</si>
  <si>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</si>
  <si>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</si>
  <si>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</si>
  <si>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</si>
  <si>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</si>
  <si>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</si>
  <si>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</si>
  <si>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</si>
  <si>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</si>
  <si>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</si>
  <si>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</si>
  <si>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</si>
  <si>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</si>
  <si>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</si>
  <si>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</si>
  <si>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</si>
  <si>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</si>
  <si>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</si>
  <si>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</si>
  <si>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</si>
  <si>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</si>
  <si>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</si>
  <si>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</si>
  <si>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</si>
  <si>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</si>
  <si>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</si>
  <si>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</si>
  <si>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</si>
  <si>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</si>
  <si>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</si>
  <si>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</si>
  <si>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</si>
  <si>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</si>
  <si>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</si>
  <si>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</si>
  <si>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</si>
  <si>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</si>
  <si>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</si>
  <si>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</si>
  <si>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</si>
  <si>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</si>
  <si>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</si>
  <si>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</si>
  <si>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</si>
  <si>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</si>
  <si>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</si>
  <si>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</si>
  <si>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</si>
  <si>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</si>
  <si>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</si>
  <si>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</si>
  <si>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</si>
  <si>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</si>
  <si>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</si>
  <si>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</si>
  <si>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</si>
  <si>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</si>
  <si>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</si>
  <si>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</si>
  <si>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</si>
  <si>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</si>
  <si>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</si>
  <si>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</si>
  <si>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</si>
  <si>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</si>
  <si>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</si>
  <si>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</si>
  <si>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</si>
  <si>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</si>
  <si>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</si>
  <si>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</si>
  <si>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</si>
  <si>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</si>
  <si>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</si>
  <si>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</si>
  <si>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</si>
  <si>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</si>
  <si>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</si>
  <si>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</si>
  <si>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</si>
  <si>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</si>
  <si>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</si>
  <si>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</si>
  <si>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</si>
  <si>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</si>
  <si>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</si>
  <si>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</si>
  <si>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</si>
  <si>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</si>
  <si>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</si>
  <si>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</si>
  <si>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</si>
  <si>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</si>
  <si>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</si>
  <si>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</si>
  <si>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</si>
  <si>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</si>
  <si>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</si>
  <si>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</si>
  <si>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</si>
  <si>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</si>
  <si>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</si>
  <si>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</si>
  <si>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</si>
  <si>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</si>
  <si>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</si>
  <si>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</si>
  <si>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</si>
  <si>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</si>
  <si>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</si>
  <si>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</si>
  <si>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</si>
  <si>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</si>
  <si>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</si>
  <si>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</si>
  <si>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</si>
  <si>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</si>
  <si>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</si>
  <si>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</si>
  <si>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</si>
  <si>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</si>
  <si>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</si>
  <si>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</si>
  <si>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</si>
  <si>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</si>
  <si>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</si>
  <si>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</si>
  <si>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</si>
  <si>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</si>
  <si>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</si>
  <si>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</si>
  <si>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</si>
  <si>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</si>
  <si>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</si>
  <si>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</si>
  <si>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</si>
  <si>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</si>
  <si>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</si>
  <si>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</si>
  <si>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</si>
  <si>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</si>
  <si>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</si>
  <si>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</si>
  <si>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</si>
  <si>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</si>
  <si>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</si>
  <si>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</si>
  <si>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</si>
  <si>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</si>
  <si>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</si>
  <si>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</si>
  <si>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</si>
  <si>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</si>
  <si>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</si>
  <si>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</si>
  <si>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</si>
  <si>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</si>
  <si>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</si>
  <si>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</si>
  <si>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</si>
  <si>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</si>
  <si>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</si>
  <si>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</si>
  <si>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</si>
  <si>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</si>
  <si>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</si>
  <si>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</si>
  <si>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</si>
  <si>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</si>
  <si>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</si>
  <si>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</si>
  <si>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</si>
  <si>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</si>
  <si>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</si>
  <si>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</si>
  <si>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</si>
  <si>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</si>
  <si>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</si>
  <si>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</si>
  <si>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</si>
  <si>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</si>
  <si>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</si>
  <si>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</si>
  <si>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</si>
  <si>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</si>
  <si>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</si>
  <si>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</si>
  <si>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</si>
  <si>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</si>
  <si>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</si>
  <si>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</si>
  <si>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</si>
  <si>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</si>
  <si>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</si>
  <si>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</si>
  <si>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</si>
  <si>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</si>
  <si>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</si>
  <si>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</si>
  <si>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</si>
  <si>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</si>
  <si>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</si>
  <si>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</si>
  <si>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</si>
  <si>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</si>
  <si>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</si>
  <si>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</si>
  <si>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</si>
  <si>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</si>
  <si>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</si>
  <si>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</si>
  <si>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</si>
  <si>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</si>
  <si>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</si>
  <si>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</si>
  <si>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</si>
  <si>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</si>
  <si>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</si>
  <si>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</si>
  <si>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</si>
  <si>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</si>
  <si>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</si>
  <si>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</si>
  <si>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</si>
  <si>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</si>
  <si>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</si>
  <si>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</si>
  <si>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</si>
  <si>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</si>
  <si>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</si>
  <si>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</si>
  <si>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</si>
  <si>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</si>
  <si>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</si>
  <si>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</si>
  <si>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</si>
  <si>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</si>
  <si>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</si>
  <si>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</si>
  <si>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</si>
  <si>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</si>
  <si>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</si>
  <si>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</si>
  <si>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</si>
  <si>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</si>
  <si>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</si>
  <si>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</si>
  <si>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</si>
  <si>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</si>
  <si>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</si>
  <si>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</si>
  <si>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</si>
  <si>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</si>
  <si>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</si>
  <si>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</si>
  <si>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</si>
  <si>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</si>
  <si>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</si>
  <si>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</si>
  <si>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</si>
  <si>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</si>
  <si>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</si>
  <si>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</si>
  <si>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</si>
  <si>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</si>
  <si>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</si>
  <si>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</si>
  <si>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</si>
  <si>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</si>
  <si>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</si>
  <si>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</si>
  <si>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</si>
  <si>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</si>
  <si>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</si>
  <si>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</si>
  <si>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</si>
  <si>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</si>
  <si>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</si>
  <si>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</si>
  <si>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</si>
  <si>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</si>
  <si>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</si>
  <si>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</si>
  <si>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</si>
  <si>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</si>
  <si>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</si>
  <si>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</si>
  <si>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</si>
  <si>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</si>
  <si>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</si>
  <si>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</si>
  <si>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</si>
  <si>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</si>
  <si>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</si>
  <si>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</si>
  <si>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</si>
  <si>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</si>
  <si>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</si>
  <si>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</si>
  <si>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</si>
  <si>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</si>
  <si>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</si>
  <si>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</si>
  <si>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</si>
  <si>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</si>
  <si>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</si>
  <si>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</si>
  <si>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</si>
  <si>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</si>
  <si>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</si>
  <si>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</si>
  <si>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</si>
  <si>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</si>
  <si>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</si>
  <si>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</si>
  <si>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</si>
  <si>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</si>
  <si>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</si>
  <si>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</si>
  <si>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</si>
  <si>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</si>
  <si>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</si>
  <si>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</si>
  <si>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</si>
  <si>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</si>
  <si>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</si>
  <si>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</si>
  <si>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</si>
  <si>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</si>
  <si>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</si>
  <si>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</si>
  <si>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</si>
  <si>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</si>
  <si>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</si>
  <si>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</si>
  <si>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</si>
  <si>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</si>
  <si>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</si>
  <si>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</si>
  <si>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</si>
  <si>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</si>
  <si>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</si>
  <si>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</si>
  <si>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</si>
  <si>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</si>
  <si>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</si>
  <si>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</si>
  <si>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</si>
  <si>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</si>
  <si>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</si>
  <si>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</si>
  <si>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</si>
  <si>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</si>
  <si>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</si>
  <si>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</si>
  <si>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</si>
  <si>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</si>
  <si>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</si>
  <si>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</si>
  <si>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</si>
  <si>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</si>
  <si>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</si>
  <si>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</si>
  <si>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</si>
  <si>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</si>
  <si>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</si>
  <si>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</si>
  <si>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</si>
  <si>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</si>
  <si>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</si>
  <si>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</si>
  <si>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</si>
  <si>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</si>
  <si>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</si>
  <si>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</si>
  <si>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</si>
  <si>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</si>
  <si>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</si>
  <si>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</si>
  <si>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</si>
  <si>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</si>
  <si>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</si>
  <si>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</si>
  <si>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</si>
  <si>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</si>
  <si>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</si>
  <si>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</si>
  <si>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</si>
  <si>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</si>
  <si>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</si>
  <si>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</si>
  <si>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</si>
  <si>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</si>
  <si>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</si>
  <si>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</si>
  <si>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</si>
  <si>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</si>
  <si>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</si>
  <si>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</si>
  <si>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</si>
  <si>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</si>
  <si>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</si>
  <si>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</si>
  <si>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</si>
  <si>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</si>
  <si>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</si>
  <si>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</si>
  <si>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</si>
  <si>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</si>
  <si>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</si>
  <si>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</si>
  <si>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</si>
  <si>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</si>
  <si>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</si>
  <si>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</si>
  <si>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</si>
  <si>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</si>
  <si>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</si>
  <si>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</si>
  <si>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</si>
  <si>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</si>
  <si>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</si>
  <si>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</si>
  <si>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</si>
  <si>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</si>
  <si>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</si>
  <si>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</si>
  <si>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</si>
  <si>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</si>
  <si>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</si>
  <si>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</si>
  <si>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</si>
  <si>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</si>
  <si>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</si>
  <si>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</si>
  <si>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</si>
  <si>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</si>
  <si>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</si>
  <si>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</si>
  <si>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</si>
  <si>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</si>
  <si>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</si>
  <si>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</si>
  <si>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</si>
  <si>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</si>
  <si>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</si>
  <si>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</si>
  <si>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</si>
  <si>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</si>
  <si>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</si>
  <si>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</si>
  <si>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</si>
  <si>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</si>
  <si>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</si>
  <si>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</si>
  <si>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</si>
  <si>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</si>
  <si>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</si>
  <si>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</si>
  <si>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</si>
  <si>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</si>
  <si>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</si>
  <si>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</si>
  <si>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</si>
  <si>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</si>
  <si>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</si>
  <si>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</si>
  <si>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</si>
  <si>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</si>
  <si>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</si>
  <si>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</si>
  <si>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</si>
  <si>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</si>
  <si>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</si>
  <si>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</si>
  <si>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</si>
  <si>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</si>
  <si>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</si>
  <si>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</si>
  <si>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</si>
  <si>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</si>
  <si>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</si>
  <si>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</si>
  <si>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</si>
  <si>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</si>
  <si>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</si>
  <si>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</si>
  <si>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</si>
  <si>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</si>
  <si>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</si>
  <si>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</si>
  <si>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</si>
  <si>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</si>
  <si>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</si>
  <si>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</si>
  <si>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</si>
  <si>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</si>
  <si>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</si>
  <si>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</si>
  <si>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</si>
  <si>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</si>
  <si>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</si>
  <si>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</si>
  <si>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</si>
  <si>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</si>
  <si>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</si>
  <si>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</si>
  <si>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</si>
  <si>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</si>
  <si>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</si>
  <si>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</si>
  <si>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</si>
  <si>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</si>
  <si>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</si>
  <si>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</si>
  <si>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</si>
  <si>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</si>
  <si>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</si>
  <si>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</si>
  <si>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</si>
  <si>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</si>
  <si>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</si>
  <si>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</si>
  <si>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</si>
  <si>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</si>
  <si>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</si>
  <si>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</si>
  <si>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</si>
  <si>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</si>
  <si>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</si>
  <si>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</si>
  <si>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</si>
  <si>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</si>
  <si>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</si>
  <si>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</si>
  <si>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</si>
  <si>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</si>
  <si>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</si>
  <si>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</si>
  <si>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</si>
  <si>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</si>
  <si>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</si>
  <si>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</si>
  <si>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</si>
  <si>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</si>
  <si>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</si>
  <si>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</si>
  <si>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</si>
  <si>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</si>
  <si>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</si>
  <si>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</si>
  <si>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</si>
  <si>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</si>
  <si>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</si>
  <si>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</si>
  <si>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</si>
  <si>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</si>
  <si>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</si>
  <si>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</si>
  <si>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</si>
  <si>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</si>
  <si>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</si>
  <si>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</si>
  <si>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</si>
  <si>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</si>
  <si>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</si>
  <si>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</si>
  <si>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</si>
  <si>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</si>
  <si>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</si>
  <si>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</si>
  <si>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</si>
  <si>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</si>
  <si>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</si>
  <si>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</si>
  <si>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</si>
  <si>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</si>
  <si>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</si>
  <si>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</si>
  <si>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</si>
  <si>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</si>
  <si>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</si>
  <si>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</si>
  <si>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</si>
  <si>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</si>
  <si>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</si>
  <si>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</si>
  <si>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</si>
  <si>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</si>
  <si>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</si>
  <si>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</si>
  <si>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</si>
  <si>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</si>
  <si>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</si>
  <si>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</si>
  <si>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</si>
  <si>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</si>
  <si>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</si>
  <si>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</si>
  <si>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</si>
  <si>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</si>
  <si>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</si>
  <si>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</si>
  <si>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</si>
  <si>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</si>
  <si>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</si>
  <si>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</si>
  <si>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</si>
  <si>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</si>
  <si>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</si>
  <si>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</si>
  <si>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</si>
  <si>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</si>
  <si>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</si>
  <si>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</si>
  <si>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</si>
  <si>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</si>
  <si>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</si>
  <si>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</si>
  <si>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</si>
  <si>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</si>
  <si>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</si>
  <si>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</si>
  <si>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</si>
  <si>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</si>
  <si>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</si>
  <si>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</si>
  <si>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</si>
  <si>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</si>
  <si>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</si>
  <si>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</si>
  <si>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</si>
  <si>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</si>
  <si>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</si>
  <si>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</si>
  <si>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</si>
  <si>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</si>
  <si>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</si>
  <si>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</si>
  <si>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</si>
  <si>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</si>
  <si>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</si>
  <si>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</si>
  <si>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</si>
  <si>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</si>
  <si>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</si>
  <si>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</si>
  <si>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</si>
  <si>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</si>
  <si>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</si>
  <si>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</si>
  <si>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</si>
  <si>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</si>
  <si>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</si>
  <si>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</si>
  <si>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</si>
  <si>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</si>
  <si>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</si>
  <si>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</si>
  <si>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</si>
  <si>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</si>
  <si>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</si>
  <si>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</si>
  <si>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</si>
  <si>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</si>
  <si>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</si>
  <si>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</si>
  <si>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</si>
  <si>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</si>
  <si>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</si>
  <si>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</si>
  <si>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</si>
  <si>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</si>
  <si>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</si>
  <si>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</si>
  <si>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</si>
  <si>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</si>
  <si>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</si>
  <si>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</si>
  <si>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</si>
  <si>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</si>
  <si>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</si>
  <si>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</si>
  <si>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</si>
  <si>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</si>
  <si>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</si>
  <si>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</si>
  <si>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</si>
  <si>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</si>
  <si>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</si>
  <si>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</si>
  <si>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</si>
  <si>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</si>
  <si>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</si>
  <si>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</si>
  <si>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</si>
  <si>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</si>
  <si>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</si>
  <si>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</si>
  <si>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</si>
  <si>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</si>
  <si>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</si>
  <si>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</si>
  <si>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</si>
  <si>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</si>
  <si>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</si>
  <si>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</si>
  <si>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</si>
  <si>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</si>
  <si>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</si>
  <si>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</si>
  <si>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</si>
  <si>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</si>
  <si>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</si>
  <si>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</si>
  <si>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</si>
  <si>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</si>
  <si>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</si>
  <si>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</si>
  <si>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</si>
  <si>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</si>
  <si>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</si>
  <si>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</si>
  <si>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</si>
  <si>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</si>
  <si>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</si>
  <si>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</si>
  <si>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</si>
  <si>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</si>
  <si>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</si>
  <si>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</si>
  <si>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</si>
  <si>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</si>
  <si>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</si>
  <si>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</si>
  <si>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</si>
  <si>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</si>
  <si>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</si>
  <si>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</si>
  <si>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</si>
  <si>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</si>
  <si>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</si>
  <si>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</si>
  <si>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</si>
  <si>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</si>
  <si>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</si>
  <si>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</si>
  <si>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</si>
  <si>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</si>
  <si>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</si>
  <si>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</si>
  <si>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</si>
  <si>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</si>
  <si>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</si>
  <si>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</si>
  <si>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</si>
  <si>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</si>
  <si>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</si>
  <si>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</si>
  <si>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</si>
  <si>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</si>
  <si>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</si>
  <si>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</si>
  <si>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</si>
  <si>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</si>
  <si>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</si>
  <si>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</si>
  <si>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</si>
  <si>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</si>
  <si>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</si>
  <si>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</si>
  <si>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</si>
  <si>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</si>
  <si>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</si>
  <si>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</si>
  <si>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</si>
  <si>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</si>
  <si>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</si>
  <si>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</si>
  <si>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</si>
  <si>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</si>
  <si>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</si>
  <si>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</si>
  <si>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</si>
  <si>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</si>
  <si>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</si>
  <si>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</si>
  <si>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</si>
  <si>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</si>
  <si>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</si>
  <si>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</si>
  <si>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</si>
  <si>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</si>
  <si>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</si>
  <si>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</si>
  <si>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</si>
  <si>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</si>
  <si>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</si>
  <si>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</si>
  <si>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</si>
  <si>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</si>
  <si>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</si>
  <si>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</si>
  <si>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</si>
  <si>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</si>
  <si>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</si>
  <si>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</si>
  <si>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</si>
  <si>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</si>
  <si>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</si>
  <si>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</si>
  <si>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</si>
  <si>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</si>
  <si>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</si>
  <si>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</si>
  <si>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</si>
  <si>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</si>
  <si>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</si>
  <si>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</si>
  <si>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</si>
  <si>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</si>
  <si>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</si>
  <si>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</si>
  <si>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</si>
  <si>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</si>
  <si>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</si>
  <si>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</si>
  <si>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</si>
  <si>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</si>
  <si>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</si>
  <si>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</si>
  <si>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</si>
  <si>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</si>
  <si>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</si>
  <si>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</si>
  <si>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</si>
  <si>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</si>
  <si>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</si>
  <si>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</si>
  <si>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</si>
  <si>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</si>
  <si>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</si>
  <si>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</si>
  <si>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</si>
  <si>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</si>
  <si>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</si>
  <si>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</si>
  <si>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</si>
  <si>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</si>
  <si>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</si>
  <si>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</si>
  <si>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</si>
  <si>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</si>
  <si>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</si>
  <si>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</si>
  <si>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</si>
  <si>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</si>
  <si>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</si>
  <si>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</si>
  <si>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</si>
  <si>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</si>
  <si>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</si>
  <si>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</si>
  <si>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</si>
  <si>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</si>
  <si>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</si>
  <si>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</si>
  <si>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</si>
  <si>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</si>
  <si>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</si>
  <si>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</si>
  <si>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</si>
  <si>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</si>
  <si>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</si>
  <si>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</si>
  <si>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</si>
  <si>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</si>
  <si>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</si>
  <si>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</si>
  <si>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</si>
  <si>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</si>
  <si>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</si>
  <si>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</si>
  <si>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</si>
  <si>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</si>
  <si>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</si>
  <si>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</si>
  <si>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</si>
  <si>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</si>
  <si>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</si>
  <si>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</si>
  <si>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</si>
  <si>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</si>
  <si>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</si>
  <si>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</si>
  <si>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</si>
  <si>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</si>
  <si>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</si>
  <si>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</si>
  <si>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</si>
  <si>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</si>
  <si>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</si>
  <si>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</si>
  <si>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</si>
  <si>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</si>
  <si>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</si>
  <si>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</si>
  <si>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</si>
  <si>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</si>
  <si>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</si>
  <si>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</si>
  <si>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</si>
  <si>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</si>
  <si>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</si>
  <si>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</si>
  <si>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</si>
  <si>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</si>
  <si>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</si>
  <si>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</si>
  <si>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</si>
  <si>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</si>
  <si>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</si>
  <si>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</si>
  <si>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</si>
  <si>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</si>
  <si>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</si>
  <si>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</si>
  <si>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</si>
  <si>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</si>
  <si>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</si>
  <si>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</si>
  <si>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</si>
  <si>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</si>
  <si>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</si>
  <si>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</si>
  <si>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</si>
  <si>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</si>
  <si>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</si>
  <si>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</si>
  <si>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</si>
  <si>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</si>
  <si>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</si>
  <si>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</si>
  <si>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</si>
  <si>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</si>
  <si>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</si>
  <si>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</si>
  <si>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</si>
  <si>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</si>
  <si>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</si>
  <si>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</si>
  <si>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</si>
  <si>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</si>
  <si>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</si>
  <si>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</si>
  <si>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</si>
  <si>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</si>
  <si>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</si>
  <si>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</si>
  <si>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</si>
  <si>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</si>
  <si>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</si>
  <si>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</si>
  <si>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</si>
  <si>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</si>
  <si>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</si>
  <si>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</si>
  <si>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</si>
  <si>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</si>
  <si>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</si>
  <si>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</si>
  <si>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</si>
  <si>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</si>
  <si>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</si>
  <si>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</si>
  <si>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</si>
  <si>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</si>
  <si>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</si>
  <si>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</si>
  <si>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</si>
  <si>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</si>
  <si>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</si>
  <si>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</si>
  <si>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</si>
  <si>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</si>
  <si>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</si>
  <si>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</si>
  <si>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</si>
  <si>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</si>
  <si>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</si>
  <si>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</si>
  <si>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</si>
  <si>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</si>
  <si>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</si>
  <si>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</si>
  <si>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</si>
  <si>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</si>
  <si>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</si>
  <si>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</si>
  <si>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</si>
  <si>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</si>
  <si>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</si>
  <si>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</si>
  <si>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</si>
  <si>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</si>
  <si>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</si>
  <si>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</si>
  <si>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</si>
  <si>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</si>
  <si>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</si>
  <si>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</si>
  <si>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</si>
  <si>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</si>
  <si>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</si>
  <si>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</si>
  <si>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</si>
  <si>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</si>
  <si>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</si>
  <si>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</si>
  <si>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</si>
  <si>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</si>
  <si>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</si>
  <si>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</si>
  <si>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</si>
  <si>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</si>
  <si>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</si>
  <si>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</si>
  <si>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</si>
  <si>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</si>
  <si>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</si>
  <si>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</si>
  <si>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</si>
  <si>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</si>
  <si>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</si>
  <si>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</si>
  <si>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</si>
  <si>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</si>
  <si>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</si>
  <si>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</si>
  <si>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</si>
  <si>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</si>
  <si>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</si>
  <si>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</si>
  <si>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</si>
  <si>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</si>
  <si>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</si>
  <si>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</si>
  <si>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</si>
  <si>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</si>
  <si>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</si>
  <si>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</si>
  <si>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</si>
  <si>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</si>
  <si>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</si>
  <si>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</si>
  <si>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</si>
  <si>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</si>
  <si>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</si>
  <si>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</si>
  <si>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</si>
  <si>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</si>
  <si>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</si>
  <si>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</si>
  <si>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</si>
  <si>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</si>
  <si>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</si>
  <si>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</si>
  <si>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</si>
  <si>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</si>
  <si>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</si>
  <si>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</si>
  <si>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</si>
  <si>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</si>
  <si>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</si>
  <si>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</si>
  <si>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</si>
  <si>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</si>
  <si>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</si>
  <si>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</si>
  <si>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</si>
  <si>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</si>
  <si>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</si>
  <si>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</si>
  <si>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</si>
  <si>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</si>
  <si>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</si>
  <si>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</si>
  <si>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</si>
  <si>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</si>
  <si>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</si>
  <si>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</si>
  <si>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</si>
  <si>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</si>
  <si>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</si>
  <si>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</si>
  <si>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</si>
  <si>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</si>
  <si>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</si>
  <si>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</si>
  <si>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</si>
  <si>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</si>
  <si>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</si>
  <si>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</si>
  <si>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</si>
  <si>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</si>
  <si>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</si>
  <si>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</si>
  <si>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</si>
  <si>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</si>
  <si>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</si>
  <si>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</si>
  <si>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</si>
  <si>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</si>
  <si>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</si>
  <si>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</si>
  <si>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</si>
  <si>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</si>
  <si>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</si>
  <si>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</si>
  <si>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</si>
  <si>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</si>
  <si>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</si>
  <si>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</si>
  <si>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</si>
  <si>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</si>
  <si>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</si>
  <si>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</si>
  <si>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</si>
  <si>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</si>
  <si>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</si>
  <si>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</si>
  <si>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</si>
  <si>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</si>
  <si>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</si>
  <si>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</si>
  <si>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</si>
  <si>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</si>
  <si>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</si>
  <si>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</si>
  <si>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</si>
  <si>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</si>
  <si>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</si>
  <si>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</si>
  <si>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</si>
  <si>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</si>
  <si>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</si>
  <si>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</si>
  <si>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</si>
  <si>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</si>
  <si>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</si>
  <si>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</si>
  <si>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</si>
  <si>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</si>
  <si>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</si>
  <si>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</si>
  <si>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</si>
  <si>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</si>
  <si>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</si>
  <si>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</si>
  <si>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</si>
  <si>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</si>
  <si>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</si>
  <si>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</si>
  <si>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</si>
  <si>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</si>
  <si>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</si>
  <si>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</si>
  <si>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</si>
  <si>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</si>
  <si>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</si>
  <si>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</si>
  <si>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</si>
  <si>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</si>
  <si>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</si>
  <si>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</si>
  <si>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</si>
  <si>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</si>
  <si>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</si>
  <si>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</si>
  <si>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</si>
  <si>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</si>
  <si>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</si>
  <si>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</si>
  <si>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</si>
  <si>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</si>
  <si>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</si>
  <si>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</si>
  <si>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</si>
  <si>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</si>
  <si>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</si>
  <si>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</si>
  <si>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</si>
  <si>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</si>
  <si>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</si>
  <si>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</si>
  <si>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</si>
  <si>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</si>
  <si>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</si>
  <si>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</si>
  <si>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</si>
  <si>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</si>
  <si>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</si>
  <si>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</si>
  <si>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</si>
  <si>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</si>
  <si>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</si>
  <si>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</si>
  <si>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</si>
  <si>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</si>
  <si>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</si>
  <si>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</si>
  <si>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</si>
  <si>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</si>
  <si>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</si>
  <si>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</si>
  <si>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</si>
  <si>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</si>
  <si>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</si>
  <si>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</si>
  <si>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</si>
  <si>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</si>
  <si>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</si>
  <si>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</si>
  <si>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</si>
  <si>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</si>
  <si>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</si>
  <si>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</si>
  <si>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</si>
  <si>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</si>
  <si>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</si>
  <si>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</si>
  <si>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</si>
  <si>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</si>
  <si>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</si>
  <si>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</si>
  <si>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</si>
  <si>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</si>
  <si>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</si>
  <si>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</si>
  <si>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</si>
  <si>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</si>
  <si>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</si>
  <si>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</si>
  <si>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</si>
  <si>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</si>
  <si>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</si>
  <si>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</si>
  <si>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</si>
  <si>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</si>
  <si>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</si>
  <si>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</si>
  <si>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</si>
  <si>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</si>
  <si>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</si>
  <si>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</si>
  <si>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</si>
  <si>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</si>
  <si>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</si>
  <si>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</si>
  <si>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</si>
  <si>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</si>
  <si>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</si>
  <si>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</si>
  <si>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</si>
  <si>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</si>
  <si>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</si>
  <si>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</si>
  <si>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</si>
  <si>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</si>
  <si>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</si>
  <si>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</si>
  <si>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</si>
  <si>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</si>
  <si>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</si>
  <si>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</si>
  <si>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</si>
  <si>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</si>
  <si>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</si>
  <si>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</si>
  <si>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</si>
  <si>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</si>
  <si>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</si>
  <si>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</si>
  <si>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</si>
  <si>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</si>
  <si>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</si>
  <si>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</si>
  <si>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</si>
  <si>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</si>
  <si>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</si>
  <si>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</si>
  <si>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</si>
  <si>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</si>
  <si>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</si>
  <si>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</si>
  <si>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</si>
  <si>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</si>
  <si>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</si>
  <si>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</si>
  <si>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</si>
  <si>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</si>
  <si>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</si>
  <si>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</si>
  <si>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</si>
  <si>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</si>
  <si>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</si>
  <si>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</si>
  <si>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</si>
  <si>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</si>
  <si>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</si>
  <si>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</si>
  <si>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</si>
  <si>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</si>
  <si>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</si>
  <si>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</si>
  <si>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</si>
  <si>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</si>
  <si>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</si>
  <si>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</si>
  <si>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</si>
  <si>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</si>
  <si>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</si>
  <si>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</si>
  <si>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</si>
  <si>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</si>
  <si>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</si>
  <si>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</si>
  <si>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</si>
  <si>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</si>
  <si>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</si>
  <si>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</si>
  <si>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</si>
  <si>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</si>
  <si>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</si>
  <si>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</si>
  <si>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</si>
  <si>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</si>
  <si>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</si>
  <si>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</si>
  <si>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</si>
  <si>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</si>
  <si>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</si>
  <si>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</si>
  <si>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</si>
  <si>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</si>
  <si>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</si>
  <si>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</si>
  <si>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</si>
  <si>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</si>
  <si>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</si>
  <si>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</si>
  <si>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</si>
  <si>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</si>
  <si>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</si>
  <si>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</si>
  <si>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</si>
  <si>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</si>
  <si>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</si>
  <si>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</si>
  <si>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</si>
  <si>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</si>
  <si>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</si>
  <si>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</si>
  <si>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</si>
  <si>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</si>
  <si>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</si>
  <si>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</si>
  <si>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</si>
  <si>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</si>
  <si>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</si>
  <si>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</si>
  <si>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</si>
  <si>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</si>
  <si>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</si>
  <si>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</si>
  <si>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</si>
  <si>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</si>
  <si>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</si>
  <si>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</si>
  <si>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</si>
  <si>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</si>
  <si>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</si>
  <si>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</si>
  <si>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</si>
  <si>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</si>
  <si>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</si>
  <si>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</si>
  <si>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</si>
  <si>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</si>
  <si>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</si>
  <si>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</si>
  <si>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</si>
  <si>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</si>
  <si>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</si>
  <si>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</si>
  <si>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</si>
  <si>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</si>
  <si>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</si>
  <si>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</si>
  <si>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</si>
  <si>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</si>
  <si>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</si>
  <si>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</si>
  <si>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</si>
  <si>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</si>
  <si>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</si>
  <si>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</si>
  <si>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</si>
  <si>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</si>
  <si>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</si>
  <si>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</si>
  <si>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</si>
  <si>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</si>
  <si>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</si>
  <si>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</si>
  <si>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</si>
  <si>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</si>
  <si>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</si>
  <si>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</si>
  <si>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</si>
  <si>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</si>
  <si>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</si>
  <si>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</si>
  <si>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</si>
  <si>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</si>
  <si>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</si>
  <si>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</si>
  <si>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</si>
  <si>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</si>
  <si>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</si>
  <si>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</si>
  <si>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</si>
  <si>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</si>
  <si>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</si>
  <si>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</si>
  <si>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</si>
  <si>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</si>
  <si>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</si>
  <si>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</si>
  <si>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</si>
  <si>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</si>
  <si>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</si>
  <si>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</si>
  <si>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</si>
  <si>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</si>
  <si>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</si>
  <si>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</si>
  <si>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</si>
  <si>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</si>
  <si>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</si>
  <si>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</si>
  <si>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</si>
  <si>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</si>
  <si>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</si>
  <si>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</si>
  <si>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</si>
  <si>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</si>
  <si>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</si>
  <si>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</si>
  <si>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</si>
  <si>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</si>
  <si>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</si>
  <si>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</si>
  <si>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</si>
  <si>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</si>
  <si>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</si>
  <si>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</si>
  <si>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</si>
  <si>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</si>
  <si>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</si>
  <si>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</si>
  <si>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</si>
  <si>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</si>
  <si>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</si>
  <si>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</si>
  <si>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</si>
  <si>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</si>
  <si>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</si>
  <si>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</si>
  <si>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</si>
  <si>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</si>
  <si>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</si>
  <si>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</si>
  <si>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</si>
  <si>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</si>
  <si>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</si>
  <si>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</si>
  <si>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</si>
  <si>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</si>
  <si>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</si>
  <si>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</si>
  <si>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</si>
  <si>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</si>
  <si>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</si>
  <si>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</si>
  <si>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</si>
  <si>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</si>
  <si>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</si>
  <si>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</si>
  <si>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</si>
  <si>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</si>
  <si>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</si>
  <si>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</si>
  <si>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</si>
  <si>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</si>
  <si>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</si>
  <si>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</si>
  <si>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</si>
  <si>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</si>
  <si>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</si>
  <si>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</si>
  <si>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</si>
  <si>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</si>
  <si>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</si>
  <si>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</si>
  <si>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</si>
  <si>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</si>
  <si>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</si>
  <si>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</si>
  <si>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</si>
  <si>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</si>
  <si>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</si>
  <si>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</si>
  <si>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</si>
  <si>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</si>
  <si>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</si>
  <si>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</si>
  <si>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</si>
  <si>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</si>
  <si>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</si>
  <si>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</si>
  <si>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</si>
  <si>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</si>
  <si>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</si>
  <si>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</si>
  <si>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</si>
  <si>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</si>
  <si>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</si>
  <si>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</si>
  <si>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</si>
  <si>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</si>
  <si>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</si>
  <si>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</si>
  <si>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</si>
  <si>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</si>
  <si>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</si>
  <si>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</si>
  <si>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</si>
  <si>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</si>
  <si>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</si>
  <si>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</si>
  <si>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</si>
  <si>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</si>
  <si>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</si>
  <si>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</si>
  <si>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</si>
  <si>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</si>
  <si>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</si>
  <si>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</si>
  <si>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</si>
  <si>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</si>
  <si>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</si>
  <si>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</si>
  <si>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</si>
  <si>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</si>
  <si>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</si>
  <si>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</si>
  <si>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</si>
  <si>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</si>
  <si>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</si>
  <si>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</si>
  <si>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</si>
  <si>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</si>
  <si>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</si>
  <si>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</si>
  <si>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</si>
  <si>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</si>
  <si>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</si>
  <si>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</si>
  <si>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</si>
  <si>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</si>
  <si>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</si>
  <si>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</si>
  <si>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</si>
  <si>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</si>
  <si>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</si>
  <si>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</si>
  <si>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</si>
  <si>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</si>
  <si>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</si>
  <si>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</si>
  <si>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</si>
  <si>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</si>
  <si>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</si>
  <si>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</si>
  <si>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</si>
  <si>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</si>
  <si>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</si>
  <si>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</si>
  <si>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</si>
  <si>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</si>
  <si>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</si>
  <si>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</si>
  <si>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</si>
  <si>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</si>
  <si>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</si>
  <si>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</si>
  <si>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</si>
  <si>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</si>
  <si>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</si>
  <si>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</si>
  <si>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</si>
  <si>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</si>
  <si>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</si>
  <si>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</si>
  <si>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</si>
  <si>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</si>
  <si>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</si>
  <si>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</si>
  <si>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</si>
  <si>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</si>
  <si>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</si>
  <si>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</si>
  <si>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</si>
  <si>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</si>
  <si>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</si>
  <si>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</si>
  <si>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</si>
  <si>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</si>
  <si>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</si>
  <si>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</si>
  <si>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</si>
  <si>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</si>
  <si>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</si>
  <si>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</si>
  <si>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</si>
  <si>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</si>
  <si>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</si>
  <si>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</si>
  <si>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</si>
  <si>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</si>
  <si>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</si>
  <si>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</si>
  <si>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</si>
  <si>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</si>
  <si>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</si>
  <si>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</si>
  <si>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</si>
  <si>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</si>
  <si>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</si>
  <si>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</si>
  <si>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</si>
  <si>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</si>
  <si>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</si>
  <si>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</si>
  <si>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</si>
  <si>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</si>
  <si>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</si>
  <si>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</si>
  <si>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</si>
  <si>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</si>
  <si>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</si>
  <si>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</si>
  <si>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</si>
  <si>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</si>
  <si>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</si>
  <si>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</si>
  <si>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</si>
  <si>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</si>
  <si>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</si>
  <si>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</si>
  <si>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</si>
  <si>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</si>
  <si>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</si>
  <si>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</si>
  <si>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</si>
  <si>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</si>
  <si>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</si>
  <si>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</si>
  <si>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</si>
  <si>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</si>
  <si>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</si>
  <si>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</si>
  <si>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</si>
  <si>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</si>
  <si>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</si>
  <si>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</si>
  <si>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</si>
  <si>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</si>
  <si>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</si>
  <si>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</si>
  <si>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</si>
  <si>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</si>
  <si>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</si>
  <si>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</si>
  <si>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</si>
  <si>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</si>
  <si>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</si>
  <si>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</si>
  <si>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</si>
  <si>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</si>
  <si>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</si>
  <si>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</si>
  <si>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</si>
  <si>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</si>
  <si>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</si>
  <si>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</si>
  <si>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</si>
  <si>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</si>
  <si>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</si>
  <si>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</si>
  <si>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</si>
  <si>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</si>
  <si>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</si>
  <si>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</si>
  <si>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</si>
  <si>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</si>
  <si>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</si>
  <si>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</si>
  <si>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</si>
  <si>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</si>
  <si>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</si>
  <si>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</si>
  <si>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</si>
  <si>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</si>
  <si>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</si>
  <si>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</si>
  <si>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</si>
  <si>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</si>
  <si>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</si>
  <si>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</si>
  <si>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</si>
  <si>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</si>
  <si>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Edwards, Richland, Wayne</t>
  </si>
  <si>
    <t>361 West Main Street</t>
  </si>
  <si>
    <t>Albion</t>
  </si>
  <si>
    <t>David Cowger</t>
  </si>
  <si>
    <t>dcowger@eccusd.com</t>
  </si>
  <si>
    <t>Kemper CPA Group LLP</t>
  </si>
  <si>
    <t>Krista McLaren</t>
  </si>
  <si>
    <t>703 W. Main St, PO Box 447</t>
  </si>
  <si>
    <t>Olney</t>
  </si>
  <si>
    <t>IL</t>
  </si>
  <si>
    <t>618-395-2105</t>
  </si>
  <si>
    <t>618-395-7079</t>
  </si>
  <si>
    <t>kmclaren@kempercpa.com</t>
  </si>
  <si>
    <t>618-445-2814</t>
  </si>
  <si>
    <t>618-445-2272</t>
  </si>
  <si>
    <t>Part C, Number 23: The Auditor's Report contains a qualified opinion because the financial statements do not include disclosures regarding postemployment health insurance benefits required by the financial reporting provisions of the ISBE.</t>
  </si>
  <si>
    <t>Egyptian Trust</t>
  </si>
  <si>
    <t>Job Bank through ROE #20</t>
  </si>
  <si>
    <t>Wabash Ohio Valley Special Education (See below)</t>
  </si>
  <si>
    <t>Ohio Wabash Valley Regional Vocation System (See below)</t>
  </si>
  <si>
    <t>Line 26 - School districts in the Illinois counties of Edwards, Gallatin, Hamilton, Hardin, Pope, Saline, Wabash, Wayne, and White.</t>
  </si>
  <si>
    <t>Line 31 - School districts in the Illinois counties of Edwards, Gallatin, Hardin, Pope, Saline, Wabash, Wayne, and White.</t>
  </si>
  <si>
    <t>Page 18, Line 171; Debt Service - Debt Services Other - Object 600 - Bond Registrar Fees $371</t>
  </si>
  <si>
    <t>N/A</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</si>
  <si>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</si>
  <si>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expertise to draft the footnotes to the financial statements prepared in accordance with the financial reporting provisions of the Illinois State Board of Education.</t>
  </si>
  <si>
    <t>The District cannot prepare the notes to the financial statements presented in accordance with the financial reporting provisions of the Illinois State Board of Education.</t>
  </si>
  <si>
    <t>The District's personnel have not obtained the necessary knowledge, training, or expertise.</t>
  </si>
  <si>
    <t>The District should provide necessary training to personnel or contract with an independent contractor with the knowledge to properly prepare the notes to the financial statements in accordance with the financial reporting provisions of the Illinois State Board of Education.</t>
  </si>
  <si>
    <t>The District does not intend to correct the finding in the next fiscal year.</t>
  </si>
  <si>
    <t xml:space="preserve">The District does not currently employ an </t>
  </si>
  <si>
    <t>individual with the necessary knowledge and</t>
  </si>
  <si>
    <t>expertise to draft the footnotes to the financial</t>
  </si>
  <si>
    <t>statements.</t>
  </si>
  <si>
    <t>Repeated as 2020-001</t>
  </si>
  <si>
    <t>2019-001</t>
  </si>
  <si>
    <t>Page 10, Line 74; Educational - Other Food Services - Misc. Revenue $3,313</t>
  </si>
  <si>
    <t>Page 10, Line 72; Educational - Sales to Pupils - Other - Student Milk $615</t>
  </si>
  <si>
    <t>Page 15, Line 41; Educational - Other Support Services - Pupils - Object 400 - Supplies for Graduation $1,157</t>
  </si>
  <si>
    <t>Page 10, Line 107; Transportation - Other Local Revenue - Other Revenue - $301</t>
  </si>
  <si>
    <t>Education - Board of Education - Purchased Services</t>
  </si>
  <si>
    <t>Bushue Human Resources</t>
  </si>
  <si>
    <t>Clearwave</t>
  </si>
  <si>
    <t>Scholastic Risk Management Services Inc</t>
  </si>
  <si>
    <t>Energy.ME</t>
  </si>
  <si>
    <t>Schneider Electric</t>
  </si>
  <si>
    <t>J.E. Shekell, Inc</t>
  </si>
  <si>
    <t>AT&amp;T</t>
  </si>
  <si>
    <t>Accident Fund</t>
  </si>
  <si>
    <t>ADG</t>
  </si>
  <si>
    <t>Robbins-Schwartz Attorney</t>
  </si>
  <si>
    <t>Wabash Communications</t>
  </si>
  <si>
    <t>Operations &amp; Maintenance - Care &amp; Upkeep - Communications</t>
  </si>
  <si>
    <t>Tort Fund - Insurance Payment</t>
  </si>
  <si>
    <t>Operations &amp; Maintenance - Care &amp; Upkeep - Electricity</t>
  </si>
  <si>
    <t>Operations &amp; Maintenance - Care &amp; Upkeep - TAC Agreement</t>
  </si>
  <si>
    <t>Transportation - Vehicle Oper. Service - Supplies</t>
  </si>
  <si>
    <t>Tort Fund - Workers Compensation - Purchased Services</t>
  </si>
  <si>
    <t>Fire Prevention and Safety - Facilities Acquisition &amp; Construction Services - Purchased Services</t>
  </si>
  <si>
    <t>Operations &amp; Maintenance - Care &amp; Upkeep - Repairs &amp; Maint.</t>
  </si>
  <si>
    <t>Series 2012A QZAB Bonds</t>
  </si>
  <si>
    <t>Series 2015 G.O. Bonds</t>
  </si>
  <si>
    <t>QZAB Bond</t>
  </si>
  <si>
    <t>Page 10, Line 107; Educational - Other Local Revenues - Other Revenue $2,928</t>
  </si>
  <si>
    <t>Page 12, Line 168; Educational - Other Restricted Revenue from States Souces - State Library Grant $750</t>
  </si>
  <si>
    <t>Page 10, Line 107; Operations &amp; Maintenance - Other Local Revenues - Other Revenue $561</t>
  </si>
  <si>
    <t>Page 10, Line 107; Tort - Other Local Revenues - Other Revenue $706</t>
  </si>
  <si>
    <t>Series 2020 G.O. Bonds</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</si>
  <si>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</si>
  <si>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 xml:space="preserve">  Edward Cty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</si>
</sst>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66" fillId="0" borderId="0" xfId="0" applyFont="1" applyAlignment="1">
      <alignment horizontal="center"/>
    </xf>
    <xf numFmtId="164" fontId="58" fillId="0" borderId="0" xfId="0" applyNumberFormat="1" applyFont="1" applyFill="1"/>
    <xf numFmtId="0" fontId="66" fillId="0" borderId="0" xfId="0" applyFont="1" applyFill="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6</xdr:row>
          <xdr:rowOff>152400</xdr:rowOff>
        </xdr:from>
        <xdr:to>
          <xdr:col>1</xdr:col>
          <xdr:colOff>2009775</xdr:colOff>
          <xdr:row>11</xdr:row>
          <xdr:rowOff>28575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6</xdr:row>
          <xdr:rowOff>152400</xdr:rowOff>
        </xdr:from>
        <xdr:to>
          <xdr:col>1</xdr:col>
          <xdr:colOff>3076575</xdr:colOff>
          <xdr:row>11</xdr:row>
          <xdr:rowOff>28575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6</xdr:row>
          <xdr:rowOff>142875</xdr:rowOff>
        </xdr:from>
        <xdr:to>
          <xdr:col>2</xdr:col>
          <xdr:colOff>161925</xdr:colOff>
          <xdr:row>11</xdr:row>
          <xdr:rowOff>19050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20024001026</v>
      </c>
      <c r="B13" s="2102"/>
      <c r="C13" s="2102"/>
      <c r="D13" s="2102"/>
      <c r="E13" s="2102"/>
      <c r="F13" s="2102"/>
      <c r="G13" s="2102"/>
      <c r="H13" s="2103"/>
      <c r="I13" s="31"/>
      <c r="J13" s="30"/>
      <c r="K13" s="28"/>
      <c r="L13" s="30"/>
      <c r="M13" s="30"/>
      <c r="N13" s="30"/>
      <c r="O13" s="30"/>
      <c r="P13" s="30"/>
      <c r="Q13" s="30"/>
      <c r="R13" s="30"/>
      <c r="S13" s="30"/>
      <c r="T13" s="2107" t="s">
        <v>2057</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2058</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2121</v>
      </c>
      <c r="B17" s="2075"/>
      <c r="C17" s="2075"/>
      <c r="D17" s="2075"/>
      <c r="E17" s="2075"/>
      <c r="F17" s="2075"/>
      <c r="G17" s="2075"/>
      <c r="H17" s="2100"/>
      <c r="T17" s="2118" t="s">
        <v>2059</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2060</v>
      </c>
      <c r="U19" s="2039"/>
      <c r="V19" s="2039"/>
      <c r="W19" s="2040"/>
      <c r="X19" s="2116" t="s">
        <v>2061</v>
      </c>
      <c r="Y19" s="2117"/>
      <c r="Z19" s="2114">
        <v>62450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2062</v>
      </c>
      <c r="U21" s="2130"/>
      <c r="V21" s="2130"/>
      <c r="W21" s="2130"/>
      <c r="X21" s="2135" t="s">
        <v>2063</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v>65.032562999999996</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62806</v>
      </c>
      <c r="B25" s="2039"/>
      <c r="C25" s="2039"/>
      <c r="D25" s="2039"/>
      <c r="E25" s="2039"/>
      <c r="F25" s="2039"/>
      <c r="G25" s="2039"/>
      <c r="H25" s="2040"/>
      <c r="I25" s="110"/>
      <c r="J25" s="2063"/>
      <c r="K25" s="2063"/>
      <c r="L25" s="2063"/>
      <c r="M25" s="2063"/>
      <c r="N25" s="2063"/>
      <c r="O25" s="2063"/>
      <c r="P25" s="2063"/>
      <c r="Q25" s="2063"/>
      <c r="R25" s="2063"/>
      <c r="S25" s="2064"/>
      <c r="T25" s="2125" t="s">
        <v>2064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2056</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2065</v>
      </c>
      <c r="B42" s="2058"/>
      <c r="C42" s="2059"/>
      <c r="D42" s="2057" t="s">
        <v>2066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10"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D38" sqref="D3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1460638</v>
      </c>
      <c r="C4" s="1722"/>
      <c r="D4" s="1723">
        <f>B4-C4</f>
        <v>1460638</v>
      </c>
      <c r="E4" s="1722">
        <v>1486409</v>
      </c>
      <c r="F4" s="1723">
        <f>E4-C4</f>
        <v>1486409</v>
      </c>
    </row>
    <row r="5" spans="1:8" ht="13.7" customHeight="1" x14ac:dyDescent="0.2">
      <c r="A5" s="579" t="s">
        <v>865</v>
      </c>
      <c r="B5" s="1724">
        <f>'Revenues 9-14'!D5</f>
        <v>396913</v>
      </c>
      <c r="C5" s="1664"/>
      <c r="D5" s="1725">
        <f t="shared" ref="D5:D18" si="0">B5-C5</f>
        <v>396913</v>
      </c>
      <c r="E5" s="1664">
        <v>403916</v>
      </c>
      <c r="F5" s="1725">
        <f>E5-C5</f>
        <v>403916</v>
      </c>
    </row>
    <row r="6" spans="1:8" ht="13.7" customHeight="1" x14ac:dyDescent="0.2">
      <c r="A6" s="579" t="s">
        <v>408</v>
      </c>
      <c r="B6" s="1724">
        <f>'Revenues 9-14'!E5</f>
        <v>299851</v>
      </c>
      <c r="C6" s="1664"/>
      <c r="D6" s="1725">
        <f t="shared" si="0"/>
        <v>299851</v>
      </c>
      <c r="E6" s="1664">
        <v>301216</v>
      </c>
      <c r="F6" s="1725">
        <f t="shared" ref="F6:F18" si="1">E6-C6</f>
        <v>301216</v>
      </c>
    </row>
    <row r="7" spans="1:8" ht="13.7" customHeight="1" x14ac:dyDescent="0.2">
      <c r="A7" s="579" t="s">
        <v>154</v>
      </c>
      <c r="B7" s="1724">
        <f>'Revenues 9-14'!F5</f>
        <v>158765</v>
      </c>
      <c r="C7" s="1664"/>
      <c r="D7" s="1725">
        <f t="shared" si="0"/>
        <v>158765</v>
      </c>
      <c r="E7" s="1664">
        <v>161566</v>
      </c>
      <c r="F7" s="1725">
        <f t="shared" si="1"/>
        <v>161566</v>
      </c>
    </row>
    <row r="8" spans="1:8" ht="13.7" customHeight="1" x14ac:dyDescent="0.2">
      <c r="A8" s="579" t="s">
        <v>1169</v>
      </c>
      <c r="B8" s="1724">
        <f>'Revenues 9-14'!G5</f>
        <v>99784</v>
      </c>
      <c r="C8" s="1664"/>
      <c r="D8" s="1725">
        <f t="shared" si="0"/>
        <v>99784</v>
      </c>
      <c r="E8" s="1664">
        <v>150006</v>
      </c>
      <c r="F8" s="1725">
        <f t="shared" si="1"/>
        <v>150006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39691</v>
      </c>
      <c r="C10" s="1664"/>
      <c r="D10" s="1725">
        <f t="shared" si="0"/>
        <v>39691</v>
      </c>
      <c r="E10" s="1664">
        <v>40392</v>
      </c>
      <c r="F10" s="1725">
        <f t="shared" si="1"/>
        <v>40392</v>
      </c>
    </row>
    <row r="11" spans="1:8" x14ac:dyDescent="0.2">
      <c r="A11" s="579" t="s">
        <v>406</v>
      </c>
      <c r="B11" s="1724">
        <f>'Revenues 9-14'!J5</f>
        <v>209905</v>
      </c>
      <c r="C11" s="1664"/>
      <c r="D11" s="1725">
        <f t="shared" si="0"/>
        <v>209905</v>
      </c>
      <c r="E11" s="1664">
        <v>210000</v>
      </c>
      <c r="F11" s="1725">
        <f t="shared" si="1"/>
        <v>210000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39691</v>
      </c>
      <c r="C13" s="1664"/>
      <c r="D13" s="1725">
        <f t="shared" si="0"/>
        <v>39691</v>
      </c>
      <c r="E13" s="1664">
        <v>40392</v>
      </c>
      <c r="F13" s="1725">
        <f t="shared" si="1"/>
        <v>40392</v>
      </c>
    </row>
    <row r="14" spans="1:8" ht="13.7" customHeight="1" x14ac:dyDescent="0.2">
      <c r="A14" s="579" t="s">
        <v>407</v>
      </c>
      <c r="B14" s="1724">
        <f>SUM('Revenues 9-14'!C7:D7,'Revenues 9-14'!F7:H7)</f>
        <v>31753</v>
      </c>
      <c r="C14" s="1664"/>
      <c r="D14" s="1725">
        <f t="shared" si="0"/>
        <v>31753</v>
      </c>
      <c r="E14" s="1664">
        <v>32313</v>
      </c>
      <c r="F14" s="1725">
        <f t="shared" si="1"/>
        <v>32313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200086</v>
      </c>
      <c r="C16" s="1664"/>
      <c r="D16" s="1725">
        <f t="shared" si="0"/>
        <v>200086</v>
      </c>
      <c r="E16" s="1664">
        <v>150006</v>
      </c>
      <c r="F16" s="1725">
        <f t="shared" si="1"/>
        <v>150006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2937077</v>
      </c>
      <c r="C19" s="1726">
        <f>SUM(C4:C18)</f>
        <v>0</v>
      </c>
      <c r="D19" s="1726">
        <f>SUM(D4:D18)</f>
        <v>2937077</v>
      </c>
      <c r="E19" s="1726">
        <f>SUM(E4:E18)</f>
        <v>2976216</v>
      </c>
      <c r="F19" s="1726">
        <f>SUM(F4:F18)</f>
        <v>2976216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A34" sqref="A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2112</v>
      </c>
      <c r="B31" s="595">
        <v>40913</v>
      </c>
      <c r="C31" s="1734">
        <v>708907</v>
      </c>
      <c r="D31" s="1735">
        <v>7</v>
      </c>
      <c r="E31" s="1734">
        <v>708907</v>
      </c>
      <c r="F31" s="1734"/>
      <c r="G31" s="1734"/>
      <c r="H31" s="1734"/>
      <c r="I31" s="1736">
        <f>((E31+F31)-H31)+G31</f>
        <v>708907</v>
      </c>
      <c r="J31" s="1734">
        <v>708907</v>
      </c>
      <c r="K31" s="596"/>
    </row>
    <row r="32" spans="1:11" ht="12" customHeight="1" x14ac:dyDescent="0.2">
      <c r="A32" s="594" t="s">
        <v>2113</v>
      </c>
      <c r="B32" s="595">
        <v>42053</v>
      </c>
      <c r="C32" s="1734">
        <v>637330</v>
      </c>
      <c r="D32" s="1735">
        <v>4</v>
      </c>
      <c r="E32" s="1734">
        <v>162989</v>
      </c>
      <c r="F32" s="1734"/>
      <c r="G32" s="1734"/>
      <c r="H32" s="1734">
        <v>123287</v>
      </c>
      <c r="I32" s="1736">
        <f>((E32+F32)-H32)+G32</f>
        <v>39702</v>
      </c>
      <c r="J32" s="1734">
        <v>39702</v>
      </c>
      <c r="K32" s="596"/>
    </row>
    <row r="33" spans="1:11" ht="12" customHeight="1" x14ac:dyDescent="0.2">
      <c r="A33" s="594" t="s">
        <v>2113</v>
      </c>
      <c r="B33" s="595">
        <v>42053</v>
      </c>
      <c r="C33" s="1734">
        <v>887670</v>
      </c>
      <c r="D33" s="1735">
        <v>1</v>
      </c>
      <c r="E33" s="1734">
        <v>227011</v>
      </c>
      <c r="F33" s="1734"/>
      <c r="G33" s="1734"/>
      <c r="H33" s="1734">
        <v>171713</v>
      </c>
      <c r="I33" s="1736">
        <f t="shared" ref="I33:I48" si="1">((E33+F33)-H33)+G33</f>
        <v>55298</v>
      </c>
      <c r="J33" s="1734">
        <v>55298</v>
      </c>
      <c r="K33" s="596"/>
    </row>
    <row r="34" spans="1:11" ht="12" customHeight="1" x14ac:dyDescent="0.2">
      <c r="A34" s="594" t="s">
        <v>2119</v>
      </c>
      <c r="B34" s="595">
        <v>43894</v>
      </c>
      <c r="C34" s="1734">
        <v>1800000</v>
      </c>
      <c r="D34" s="1735">
        <v>1</v>
      </c>
      <c r="E34" s="1734"/>
      <c r="F34" s="1734">
        <v>1800000</v>
      </c>
      <c r="G34" s="1734"/>
      <c r="H34" s="1734"/>
      <c r="I34" s="1736">
        <f t="shared" si="1"/>
        <v>1800000</v>
      </c>
      <c r="J34" s="1734">
        <v>1257424</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4033907</v>
      </c>
      <c r="D49" s="1742"/>
      <c r="E49" s="1736">
        <f t="shared" ref="E49:J49" si="2">SUM(E31:E48)</f>
        <v>1098907</v>
      </c>
      <c r="F49" s="1736">
        <f t="shared" si="2"/>
        <v>1800000</v>
      </c>
      <c r="G49" s="1736">
        <f t="shared" si="2"/>
        <v>0</v>
      </c>
      <c r="H49" s="1736">
        <f t="shared" si="2"/>
        <v>295000</v>
      </c>
      <c r="I49" s="1736">
        <f t="shared" si="2"/>
        <v>2603907</v>
      </c>
      <c r="J49" s="1736">
        <f t="shared" si="2"/>
        <v>2061331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2114</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10"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J7" sqref="J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186136</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31753</v>
      </c>
      <c r="I5" s="1750"/>
      <c r="J5" s="1751"/>
      <c r="K5" s="1751"/>
    </row>
    <row r="6" spans="1:11" x14ac:dyDescent="0.2">
      <c r="A6" s="625" t="s">
        <v>715</v>
      </c>
      <c r="B6" s="626"/>
      <c r="C6" s="626"/>
      <c r="D6" s="626"/>
      <c r="E6" s="627"/>
      <c r="F6" s="628" t="s">
        <v>844</v>
      </c>
      <c r="G6" s="1744"/>
      <c r="H6" s="1744"/>
      <c r="I6" s="1744"/>
      <c r="J6" s="1745">
        <v>588</v>
      </c>
      <c r="K6" s="1745"/>
    </row>
    <row r="7" spans="1:11" x14ac:dyDescent="0.2">
      <c r="A7" s="629" t="s">
        <v>244</v>
      </c>
      <c r="B7" s="630"/>
      <c r="C7" s="630"/>
      <c r="D7" s="630"/>
      <c r="E7" s="631"/>
      <c r="F7" s="622" t="s">
        <v>845</v>
      </c>
      <c r="G7" s="1746"/>
      <c r="H7" s="1746"/>
      <c r="I7" s="1746"/>
      <c r="J7" s="1752"/>
      <c r="K7" s="1745">
        <v>4800</v>
      </c>
    </row>
    <row r="8" spans="1:11" x14ac:dyDescent="0.2">
      <c r="A8" s="629" t="s">
        <v>342</v>
      </c>
      <c r="B8" s="630"/>
      <c r="C8" s="630"/>
      <c r="D8" s="630"/>
      <c r="E8" s="631"/>
      <c r="F8" s="622" t="s">
        <v>846</v>
      </c>
      <c r="G8" s="1753"/>
      <c r="H8" s="1753"/>
      <c r="I8" s="1753"/>
      <c r="J8" s="1745">
        <v>319494</v>
      </c>
      <c r="K8" s="1748"/>
    </row>
    <row r="9" spans="1:11" x14ac:dyDescent="0.2">
      <c r="A9" s="629" t="s">
        <v>137</v>
      </c>
      <c r="B9" s="630"/>
      <c r="C9" s="630"/>
      <c r="D9" s="630"/>
      <c r="E9" s="631"/>
      <c r="F9" s="628" t="s">
        <v>848</v>
      </c>
      <c r="G9" s="1753"/>
      <c r="H9" s="1749"/>
      <c r="I9" s="1749"/>
      <c r="J9" s="1752"/>
      <c r="K9" s="1745">
        <v>10005</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31753</v>
      </c>
      <c r="I12" s="1755">
        <f>SUM(I5:I11)</f>
        <v>0</v>
      </c>
      <c r="J12" s="1755">
        <f>SUM(J5:J11)</f>
        <v>320082</v>
      </c>
      <c r="K12" s="1755">
        <f>SUM(K5:K11)</f>
        <v>14805</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31753</v>
      </c>
      <c r="I14" s="1749"/>
      <c r="J14" s="1751"/>
      <c r="K14" s="1745">
        <v>14805</v>
      </c>
    </row>
    <row r="15" spans="1:11" x14ac:dyDescent="0.2">
      <c r="A15" s="2324" t="s">
        <v>4</v>
      </c>
      <c r="B15" s="2324"/>
      <c r="C15" s="2324"/>
      <c r="D15" s="2324"/>
      <c r="E15" s="2325"/>
      <c r="F15" s="635" t="s">
        <v>850</v>
      </c>
      <c r="G15" s="1749"/>
      <c r="H15" s="1744"/>
      <c r="I15" s="1744"/>
      <c r="J15" s="1745">
        <v>62198</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v>100000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100000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31753</v>
      </c>
      <c r="I23" s="1755">
        <f>SUM(I14:I16,I21,I22)</f>
        <v>0</v>
      </c>
      <c r="J23" s="1755">
        <f>SUM(J14:J16,J21,J22)</f>
        <v>162198</v>
      </c>
      <c r="K23" s="1755">
        <f>SUM(K14:K16,K21,K22)</f>
        <v>14805</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344020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344020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26" sqref="H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122582</v>
      </c>
      <c r="D5" s="1770"/>
      <c r="E5" s="1770"/>
      <c r="F5" s="1765">
        <f>(C5+D5)-E5</f>
        <v>122582</v>
      </c>
      <c r="G5" s="676"/>
      <c r="H5" s="680"/>
      <c r="I5" s="680"/>
      <c r="J5" s="680"/>
      <c r="K5" s="637"/>
      <c r="L5" s="1442">
        <f>F5-K5</f>
        <v>122582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9495991</v>
      </c>
      <c r="D8" s="1771"/>
      <c r="E8" s="1771"/>
      <c r="F8" s="1765">
        <f>(C8+D8)-E8</f>
        <v>9495991</v>
      </c>
      <c r="G8" s="681">
        <v>50</v>
      </c>
      <c r="H8" s="619">
        <v>5341029</v>
      </c>
      <c r="I8" s="619">
        <v>189887</v>
      </c>
      <c r="J8" s="619"/>
      <c r="K8" s="1442">
        <f>(H8+I8)-J8</f>
        <v>5530916</v>
      </c>
      <c r="L8" s="1442">
        <f>F8-K8</f>
        <v>3965075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1000156</v>
      </c>
      <c r="D10" s="1772">
        <v>183220</v>
      </c>
      <c r="E10" s="1772"/>
      <c r="F10" s="1773">
        <f>(C10+D10)-E10</f>
        <v>1183376</v>
      </c>
      <c r="G10" s="681">
        <v>20</v>
      </c>
      <c r="H10" s="683">
        <v>134179</v>
      </c>
      <c r="I10" s="683">
        <v>21469</v>
      </c>
      <c r="J10" s="683"/>
      <c r="K10" s="1442">
        <f>(H10+I10)-J10</f>
        <v>155648</v>
      </c>
      <c r="L10" s="1442">
        <f>F10-K10</f>
        <v>1027728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539845</v>
      </c>
      <c r="D12" s="1771">
        <v>25700</v>
      </c>
      <c r="E12" s="1771">
        <v>213318</v>
      </c>
      <c r="F12" s="1765">
        <f>(C12+D12)-E12</f>
        <v>352227</v>
      </c>
      <c r="G12" s="681">
        <v>10</v>
      </c>
      <c r="H12" s="619">
        <v>345809</v>
      </c>
      <c r="I12" s="619">
        <v>56174</v>
      </c>
      <c r="J12" s="619">
        <v>213318</v>
      </c>
      <c r="K12" s="1442">
        <f>(H12+I12)-J12</f>
        <v>188665</v>
      </c>
      <c r="L12" s="1442">
        <f>F12-K12</f>
        <v>163562</v>
      </c>
    </row>
    <row r="13" spans="1:14" ht="14.25" thickTop="1" thickBot="1" x14ac:dyDescent="0.25">
      <c r="A13" s="684" t="s">
        <v>1112</v>
      </c>
      <c r="B13" s="679">
        <v>252</v>
      </c>
      <c r="C13" s="1771">
        <v>1766662</v>
      </c>
      <c r="D13" s="1771">
        <v>189627</v>
      </c>
      <c r="E13" s="1771"/>
      <c r="F13" s="1765">
        <f>(C13+D13)-E13</f>
        <v>1956289</v>
      </c>
      <c r="G13" s="681">
        <v>5</v>
      </c>
      <c r="H13" s="619">
        <v>1616925</v>
      </c>
      <c r="I13" s="619">
        <v>88422</v>
      </c>
      <c r="J13" s="619"/>
      <c r="K13" s="1442">
        <f>(H13+I13)-J13</f>
        <v>1705347</v>
      </c>
      <c r="L13" s="1442">
        <f>F13-K13</f>
        <v>250942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7500</v>
      </c>
      <c r="E15" s="1771"/>
      <c r="F15" s="1765">
        <f>(C15+D15)-E15</f>
        <v>7500</v>
      </c>
      <c r="G15" s="685" t="s">
        <v>857</v>
      </c>
      <c r="H15" s="632"/>
      <c r="I15" s="632"/>
      <c r="J15" s="632"/>
      <c r="K15" s="632"/>
      <c r="L15" s="1442">
        <f>F15-K15</f>
        <v>7500</v>
      </c>
    </row>
    <row r="16" spans="1:14" ht="15" customHeight="1" thickTop="1" thickBot="1" x14ac:dyDescent="0.25">
      <c r="A16" s="1438" t="s">
        <v>638</v>
      </c>
      <c r="B16" s="1439">
        <v>200</v>
      </c>
      <c r="C16" s="1765">
        <f>SUM(C3,C5:C6,C8:C10,C12:C15)</f>
        <v>12925236</v>
      </c>
      <c r="D16" s="1765">
        <f>SUM(D3,D5:D6,D8:D10,D12:D15)</f>
        <v>406047</v>
      </c>
      <c r="E16" s="1765">
        <f>SUM(E3,E5:E6,E8:E10,E12:E15)</f>
        <v>213318</v>
      </c>
      <c r="F16" s="1765">
        <f>SUM(F3,F5:F6,F8:F10,F12:F15)</f>
        <v>13117965</v>
      </c>
      <c r="G16" s="681"/>
      <c r="H16" s="1435">
        <f>SUM(H3,H6,H8:H10,H12:H14,)</f>
        <v>7437942</v>
      </c>
      <c r="I16" s="1435">
        <f>SUM(I3,I6,I8:I10,I12:I14,)</f>
        <v>355952</v>
      </c>
      <c r="J16" s="1435">
        <f>SUM(J3,J6,J8:J10,J12:J14,)</f>
        <v>213318</v>
      </c>
      <c r="K16" s="1435">
        <f>(H16+I16)-J16</f>
        <v>7580576</v>
      </c>
      <c r="L16" s="1435">
        <f>F16-K16</f>
        <v>5537389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355952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1"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6601660</v>
      </c>
      <c r="G8" s="701"/>
    </row>
    <row r="9" spans="1:9" x14ac:dyDescent="0.2">
      <c r="A9" s="705" t="s">
        <v>457</v>
      </c>
      <c r="B9" s="706" t="s">
        <v>1848</v>
      </c>
      <c r="C9" s="707"/>
      <c r="D9" s="705" t="s">
        <v>498</v>
      </c>
      <c r="E9" s="704"/>
      <c r="F9" s="1775">
        <f>'Expenditures 15-22'!K151</f>
        <v>649503</v>
      </c>
      <c r="G9" s="708"/>
    </row>
    <row r="10" spans="1:9" x14ac:dyDescent="0.2">
      <c r="A10" s="705" t="s">
        <v>496</v>
      </c>
      <c r="B10" s="706" t="s">
        <v>1849</v>
      </c>
      <c r="C10" s="707"/>
      <c r="D10" s="705" t="s">
        <v>498</v>
      </c>
      <c r="E10" s="704"/>
      <c r="F10" s="1775">
        <f>'Expenditures 15-22'!K174</f>
        <v>301234</v>
      </c>
      <c r="G10" s="708"/>
    </row>
    <row r="11" spans="1:9" x14ac:dyDescent="0.2">
      <c r="A11" s="705" t="s">
        <v>458</v>
      </c>
      <c r="B11" s="706" t="s">
        <v>1850</v>
      </c>
      <c r="C11" s="707"/>
      <c r="D11" s="705" t="s">
        <v>498</v>
      </c>
      <c r="E11" s="704"/>
      <c r="F11" s="1775">
        <f>'Expenditures 15-22'!K210</f>
        <v>672529</v>
      </c>
      <c r="G11" s="708"/>
    </row>
    <row r="12" spans="1:9" x14ac:dyDescent="0.2">
      <c r="A12" s="705" t="s">
        <v>459</v>
      </c>
      <c r="B12" s="706" t="s">
        <v>1851</v>
      </c>
      <c r="C12" s="707"/>
      <c r="D12" s="705" t="s">
        <v>498</v>
      </c>
      <c r="E12" s="704"/>
      <c r="F12" s="1775">
        <f>'Expenditures 15-22'!K295</f>
        <v>280488</v>
      </c>
      <c r="G12" s="708"/>
    </row>
    <row r="13" spans="1:9" x14ac:dyDescent="0.2">
      <c r="A13" s="705" t="s">
        <v>106</v>
      </c>
      <c r="B13" s="706" t="s">
        <v>1852</v>
      </c>
      <c r="C13" s="707"/>
      <c r="D13" s="705" t="s">
        <v>498</v>
      </c>
      <c r="E13" s="704"/>
      <c r="F13" s="1775">
        <f>'Expenditures 15-22'!K342</f>
        <v>125499</v>
      </c>
      <c r="G13" s="709"/>
    </row>
    <row r="14" spans="1:9" ht="12" customHeight="1" thickBot="1" x14ac:dyDescent="0.25">
      <c r="A14" s="1443"/>
      <c r="B14" s="1444"/>
      <c r="C14" s="1445"/>
      <c r="D14" s="1446" t="s">
        <v>498</v>
      </c>
      <c r="E14" s="1447" t="s">
        <v>952</v>
      </c>
      <c r="F14" s="1776">
        <f>SUM(F8:F13)</f>
        <v>8630913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95674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78652</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266131</v>
      </c>
      <c r="G53" s="701"/>
    </row>
    <row r="54" spans="1:7" x14ac:dyDescent="0.2">
      <c r="A54" s="705" t="s">
        <v>456</v>
      </c>
      <c r="B54" s="705" t="s">
        <v>1459</v>
      </c>
      <c r="C54" s="724" t="s">
        <v>975</v>
      </c>
      <c r="D54" s="720" t="s">
        <v>1086</v>
      </c>
      <c r="E54" s="704"/>
      <c r="F54" s="1782">
        <f>'Expenditures 15-22'!G114</f>
        <v>17763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23836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295000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189627</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4643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3108</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974434</v>
      </c>
      <c r="G77" s="701"/>
    </row>
    <row r="78" spans="1:9" s="728" customFormat="1" ht="12" customHeight="1" thickTop="1" thickBot="1" x14ac:dyDescent="0.25">
      <c r="A78" s="1450"/>
      <c r="B78" s="1448"/>
      <c r="C78" s="1445"/>
      <c r="D78" s="1449" t="s">
        <v>2012</v>
      </c>
      <c r="E78" s="1447"/>
      <c r="F78" s="1788">
        <f>(F14-F77)</f>
        <v>7656479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910.3</v>
      </c>
      <c r="G79" s="733"/>
      <c r="H79" s="705"/>
      <c r="I79" s="705"/>
    </row>
    <row r="80" spans="1:9" s="728" customFormat="1" ht="12" customHeight="1" thickBot="1" x14ac:dyDescent="0.25">
      <c r="A80" s="1452"/>
      <c r="B80" s="1448"/>
      <c r="C80" s="1445"/>
      <c r="D80" s="1449" t="s">
        <v>2013</v>
      </c>
      <c r="E80" s="1447" t="s">
        <v>952</v>
      </c>
      <c r="F80" s="1790">
        <f>IF(F79&gt;0,F78/F79," Complete Line 79")</f>
        <v>8410.9403493353839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3459</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139705</v>
      </c>
      <c r="G95" s="745"/>
    </row>
    <row r="96" spans="1:7" x14ac:dyDescent="0.2">
      <c r="A96" s="741" t="s">
        <v>139</v>
      </c>
      <c r="B96" s="741" t="s">
        <v>174</v>
      </c>
      <c r="C96" s="743">
        <v>1700</v>
      </c>
      <c r="D96" s="751" t="str">
        <f>'Revenues 9-14'!A82</f>
        <v>Total District/School Activity Income</v>
      </c>
      <c r="E96" s="739"/>
      <c r="F96" s="1793">
        <f>SUM('Revenues 9-14'!C82,'Revenues 9-14'!D82)</f>
        <v>53331</v>
      </c>
      <c r="G96" s="745"/>
    </row>
    <row r="97" spans="1:7" x14ac:dyDescent="0.2">
      <c r="A97" s="741" t="s">
        <v>456</v>
      </c>
      <c r="B97" s="741" t="s">
        <v>175</v>
      </c>
      <c r="C97" s="743">
        <f>'Revenues 9-14'!B84</f>
        <v>1811</v>
      </c>
      <c r="D97" s="744" t="str">
        <f>'Revenues 9-14'!A84</f>
        <v>Rentals - Regular Textbooks</v>
      </c>
      <c r="E97" s="739"/>
      <c r="F97" s="1793">
        <f>'Revenues 9-14'!C84</f>
        <v>47686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3108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18935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22675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1894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10005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388173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45370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205153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154861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5395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122818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31827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8858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45328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306806.53000000003</v>
      </c>
      <c r="G172" s="760"/>
    </row>
    <row r="173" spans="1:7" x14ac:dyDescent="0.2">
      <c r="A173" s="1529" t="s">
        <v>659</v>
      </c>
      <c r="B173" s="1530" t="s">
        <v>1885</v>
      </c>
      <c r="C173" s="1531">
        <v>3300</v>
      </c>
      <c r="D173" s="1532" t="s">
        <v>1888</v>
      </c>
      <c r="E173" s="739"/>
      <c r="F173" s="1794">
        <v>227.1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1666364.6300000001</v>
      </c>
    </row>
    <row r="176" spans="1:7" ht="12" customHeight="1" x14ac:dyDescent="0.2">
      <c r="A176" s="1443"/>
      <c r="B176" s="1453"/>
      <c r="C176" s="1454"/>
      <c r="D176" s="1455" t="s">
        <v>2014</v>
      </c>
      <c r="E176" s="1456"/>
      <c r="F176" s="1793">
        <f>'PCTC-OEPP 27-28'!F78-F175</f>
        <v>5990114.3700000001</v>
      </c>
    </row>
    <row r="177" spans="1:9" ht="12" customHeight="1" x14ac:dyDescent="0.2">
      <c r="A177" s="1443"/>
      <c r="B177" s="1453"/>
      <c r="C177" s="1454"/>
      <c r="D177" s="1455" t="s">
        <v>1794</v>
      </c>
      <c r="E177" s="1456"/>
      <c r="F177" s="1793">
        <f>'Cap Outlay Deprec 26'!I18</f>
        <v>355952</v>
      </c>
    </row>
    <row r="178" spans="1:9" ht="12" customHeight="1" x14ac:dyDescent="0.2">
      <c r="A178" s="1443"/>
      <c r="B178" s="1453"/>
      <c r="C178" s="1454"/>
      <c r="D178" s="1455" t="s">
        <v>2015</v>
      </c>
      <c r="E178" s="1456"/>
      <c r="F178" s="1793">
        <f>F176+F177</f>
        <v>6346066.3700000001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910.3</v>
      </c>
      <c r="G179" s="763"/>
      <c r="I179" s="701"/>
    </row>
    <row r="180" spans="1:9" ht="12" customHeight="1" thickBot="1" x14ac:dyDescent="0.25">
      <c r="A180" s="1443"/>
      <c r="B180" s="1457"/>
      <c r="C180" s="1454"/>
      <c r="D180" s="1455" t="s">
        <v>2017</v>
      </c>
      <c r="E180" s="1456" t="s">
        <v>1528</v>
      </c>
      <c r="F180" s="1798">
        <f>F178/F179</f>
        <v>6971.4010436119961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3"/>
  <sheetViews>
    <sheetView showGridLines="0" topLeftCell="A19" zoomScaleNormal="100" workbookViewId="0">
      <selection activeCell="B20" sqref="B20"/>
    </sheetView>
  </sheetViews>
  <sheetFormatPr defaultRowHeight="15" x14ac:dyDescent="0.25"/>
  <cols>
    <col min="1" max="1" width="52" style="1893" customWidth="1"/>
    <col min="2" max="2" width="16.42578125" style="1894" bestFit="1" customWidth="1"/>
    <col min="3" max="3" width="37.42578125" style="1895" bestFit="1"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0" t="s">
        <v>1987</v>
      </c>
      <c r="B8" s="1901"/>
      <c r="C8" s="1901"/>
      <c r="D8" s="1901"/>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5" t="s">
        <v>1799</v>
      </c>
      <c r="C17" s="1881" t="s">
        <v>1797</v>
      </c>
      <c r="D17" s="1882">
        <v>500000</v>
      </c>
      <c r="E17" s="1882" t="str">
        <f>IF(D17&lt;25000,D17,"25,000")</f>
        <v>25,000</v>
      </c>
      <c r="F17" s="1883">
        <f>IF(D17&gt;=25000,(D17-E17),"0")</f>
        <v>475000</v>
      </c>
    </row>
    <row r="18" spans="1:7" x14ac:dyDescent="0.25">
      <c r="A18" s="2036" t="s">
        <v>2092</v>
      </c>
      <c r="B18" s="1906">
        <v>102300300</v>
      </c>
      <c r="C18" s="2037" t="s">
        <v>2093</v>
      </c>
      <c r="D18" s="1884">
        <v>11284</v>
      </c>
      <c r="E18" s="1904">
        <f t="shared" ref="E18:E28" si="0">IF(D18&lt;25000,D18,"25,000")</f>
        <v>11284</v>
      </c>
      <c r="F18" s="1904" t="str">
        <f t="shared" ref="F18:F28" si="1">IF(D18&gt;=25000,(D18-E18),"0")</f>
        <v>0</v>
      </c>
      <c r="G18" s="1885"/>
    </row>
    <row r="19" spans="1:7" ht="30" x14ac:dyDescent="0.25">
      <c r="A19" s="2036" t="s">
        <v>2104</v>
      </c>
      <c r="B19" s="1906">
        <v>202540300</v>
      </c>
      <c r="C19" s="2037" t="s">
        <v>2094</v>
      </c>
      <c r="D19" s="1884">
        <v>38280</v>
      </c>
      <c r="E19" s="1904" t="str">
        <f t="shared" si="0"/>
        <v>25,000</v>
      </c>
      <c r="F19" s="1904">
        <f t="shared" si="1"/>
        <v>13280</v>
      </c>
    </row>
    <row r="20" spans="1:7" x14ac:dyDescent="0.25">
      <c r="A20" s="2036" t="s">
        <v>2105</v>
      </c>
      <c r="B20" s="1906">
        <v>802300300</v>
      </c>
      <c r="C20" s="2037" t="s">
        <v>2095</v>
      </c>
      <c r="D20" s="1884">
        <v>64988</v>
      </c>
      <c r="E20" s="1904" t="str">
        <f t="shared" si="0"/>
        <v>25,000</v>
      </c>
      <c r="F20" s="1904">
        <f t="shared" si="1"/>
        <v>39988</v>
      </c>
    </row>
    <row r="21" spans="1:7" x14ac:dyDescent="0.25">
      <c r="A21" s="2036" t="s">
        <v>2106</v>
      </c>
      <c r="B21" s="1906">
        <v>202540400</v>
      </c>
      <c r="C21" s="2037" t="s">
        <v>2096</v>
      </c>
      <c r="D21" s="1884">
        <v>38233</v>
      </c>
      <c r="E21" s="1904" t="str">
        <f t="shared" si="0"/>
        <v>25,000</v>
      </c>
      <c r="F21" s="1904">
        <f t="shared" si="1"/>
        <v>13233</v>
      </c>
    </row>
    <row r="22" spans="1:7" ht="30" x14ac:dyDescent="0.25">
      <c r="A22" s="2036" t="s">
        <v>2107</v>
      </c>
      <c r="B22" s="1906">
        <v>202540300</v>
      </c>
      <c r="C22" s="2037" t="s">
        <v>2097</v>
      </c>
      <c r="D22" s="1884">
        <v>5864</v>
      </c>
      <c r="E22" s="1904">
        <f t="shared" si="0"/>
        <v>5864</v>
      </c>
      <c r="F22" s="1904" t="str">
        <f t="shared" si="1"/>
        <v>0</v>
      </c>
    </row>
    <row r="23" spans="1:7" ht="30" x14ac:dyDescent="0.25">
      <c r="A23" s="2036" t="s">
        <v>2111</v>
      </c>
      <c r="B23" s="1906">
        <v>202540300</v>
      </c>
      <c r="C23" s="2037" t="s">
        <v>2098</v>
      </c>
      <c r="D23" s="1884">
        <v>17258</v>
      </c>
      <c r="E23" s="1904">
        <f t="shared" si="0"/>
        <v>17258</v>
      </c>
      <c r="F23" s="1904" t="str">
        <f t="shared" si="1"/>
        <v>0</v>
      </c>
    </row>
    <row r="24" spans="1:7" x14ac:dyDescent="0.25">
      <c r="A24" s="2036" t="s">
        <v>2108</v>
      </c>
      <c r="B24" s="1906">
        <v>402550400</v>
      </c>
      <c r="C24" s="2037" t="s">
        <v>2099</v>
      </c>
      <c r="D24" s="1884">
        <v>2968</v>
      </c>
      <c r="E24" s="1904">
        <f t="shared" si="0"/>
        <v>2968</v>
      </c>
      <c r="F24" s="1904" t="str">
        <f t="shared" si="1"/>
        <v>0</v>
      </c>
    </row>
    <row r="25" spans="1:7" x14ac:dyDescent="0.25">
      <c r="A25" s="2036" t="s">
        <v>2109</v>
      </c>
      <c r="B25" s="1906">
        <v>802300300</v>
      </c>
      <c r="C25" s="2037" t="s">
        <v>2100</v>
      </c>
      <c r="D25" s="1884">
        <v>47107</v>
      </c>
      <c r="E25" s="1904" t="str">
        <f t="shared" si="0"/>
        <v>25,000</v>
      </c>
      <c r="F25" s="1904">
        <f t="shared" si="1"/>
        <v>22107</v>
      </c>
    </row>
    <row r="26" spans="1:7" ht="30" x14ac:dyDescent="0.25">
      <c r="A26" s="2036" t="s">
        <v>2110</v>
      </c>
      <c r="B26" s="1906">
        <v>902540300</v>
      </c>
      <c r="C26" s="2037" t="s">
        <v>2101</v>
      </c>
      <c r="D26" s="1884">
        <v>14802</v>
      </c>
      <c r="E26" s="1904">
        <f t="shared" si="0"/>
        <v>14802</v>
      </c>
      <c r="F26" s="1904" t="str">
        <f t="shared" si="1"/>
        <v>0</v>
      </c>
    </row>
    <row r="27" spans="1:7" x14ac:dyDescent="0.25">
      <c r="A27" s="2036" t="s">
        <v>2092</v>
      </c>
      <c r="B27" s="1906">
        <v>102300300</v>
      </c>
      <c r="C27" s="2037" t="s">
        <v>2102</v>
      </c>
      <c r="D27" s="1884">
        <v>7716</v>
      </c>
      <c r="E27" s="1904">
        <f t="shared" si="0"/>
        <v>7716</v>
      </c>
      <c r="F27" s="1904" t="str">
        <f t="shared" si="1"/>
        <v>0</v>
      </c>
    </row>
    <row r="28" spans="1:7" ht="30" x14ac:dyDescent="0.25">
      <c r="A28" s="2036" t="s">
        <v>2104</v>
      </c>
      <c r="B28" s="1906">
        <v>202540300</v>
      </c>
      <c r="C28" s="2037" t="s">
        <v>2103</v>
      </c>
      <c r="D28" s="1884">
        <v>3379</v>
      </c>
      <c r="E28" s="1904">
        <f t="shared" si="0"/>
        <v>3379</v>
      </c>
      <c r="F28" s="1904" t="str">
        <f t="shared" si="1"/>
        <v>0</v>
      </c>
    </row>
    <row r="29" spans="1:7" x14ac:dyDescent="0.25">
      <c r="A29" s="1886"/>
      <c r="B29" s="1907"/>
      <c r="C29" s="1887"/>
      <c r="D29" s="1884"/>
      <c r="E29" s="1904">
        <f t="shared" ref="E29:E32" si="2">IF(D29&lt;25000,D29,"25,000")</f>
        <v>0</v>
      </c>
      <c r="F29" s="1904" t="str">
        <f t="shared" ref="F29:F32" si="3">IF(D29&gt;=25000,(D29-E29),"0")</f>
        <v>0</v>
      </c>
    </row>
    <row r="30" spans="1:7" x14ac:dyDescent="0.25">
      <c r="A30" s="1886"/>
      <c r="B30" s="1907"/>
      <c r="C30" s="1887"/>
      <c r="D30" s="1884"/>
      <c r="E30" s="1904">
        <f t="shared" si="2"/>
        <v>0</v>
      </c>
      <c r="F30" s="1904" t="str">
        <f t="shared" si="3"/>
        <v>0</v>
      </c>
    </row>
    <row r="31" spans="1:7" x14ac:dyDescent="0.25">
      <c r="A31" s="1886"/>
      <c r="B31" s="1907"/>
      <c r="C31" s="1887"/>
      <c r="D31" s="1884"/>
      <c r="E31" s="1904">
        <f t="shared" si="2"/>
        <v>0</v>
      </c>
      <c r="F31" s="1904" t="str">
        <f t="shared" si="3"/>
        <v>0</v>
      </c>
    </row>
    <row r="32" spans="1:7" x14ac:dyDescent="0.25">
      <c r="A32" s="1886"/>
      <c r="B32" s="1908"/>
      <c r="C32" s="1887"/>
      <c r="D32" s="1884"/>
      <c r="E32" s="1904">
        <f t="shared" si="2"/>
        <v>0</v>
      </c>
      <c r="F32" s="1904" t="str">
        <f t="shared" si="3"/>
        <v>0</v>
      </c>
    </row>
    <row r="33" spans="1:6" x14ac:dyDescent="0.25">
      <c r="A33" s="1888" t="s">
        <v>155</v>
      </c>
      <c r="B33" s="1909"/>
      <c r="C33" s="1889"/>
      <c r="D33" s="1890">
        <f>SUM(D18:D32)</f>
        <v>251879</v>
      </c>
      <c r="E33" s="1891">
        <f>SUM(E18:E32)</f>
        <v>63271</v>
      </c>
      <c r="F33" s="1892">
        <f>SUM(F18:F32)</f>
        <v>88608</v>
      </c>
    </row>
  </sheetData>
  <sheetProtection selectLockedCells="1"/>
  <mergeCells count="6">
    <mergeCell ref="A15:F15"/>
    <mergeCell ref="A4:F5"/>
    <mergeCell ref="A7:F7"/>
    <mergeCell ref="A10:F10"/>
    <mergeCell ref="A11:F11"/>
    <mergeCell ref="A13:F13"/>
  </mergeCells>
  <pageMargins left="0.2" right="0.2" top="0.5" bottom="0.25" header="0.3" footer="0.3"/>
  <pageSetup scale="1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topLeftCell="A19" colorId="8" zoomScale="110" zoomScaleNormal="110" workbookViewId="0">
      <selection activeCell="J51" sqref="J5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168430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51060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4932616</v>
      </c>
      <c r="F19" s="1802"/>
      <c r="G19" s="1804">
        <f>'Expenditures 15-22'!K33-SUM('Expenditures 15-22'!G33,'Expenditures 15-22'!I33)+'Expenditures 15-22'!D229</f>
        <v>4932616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357324</v>
      </c>
      <c r="F21" s="1805"/>
      <c r="G21" s="1808">
        <f>'Expenditures 15-22'!K42-SUM('Expenditures 15-22'!G42,'Expenditures 15-22'!I42)+'Expenditures 15-22'!K120-SUM('Expenditures 15-22'!G120,'Expenditures 15-22'!I120)+'Expenditures 15-22'!K180-SUM('Expenditures 15-22'!G180,'Expenditures 15-22'!I180)+'Expenditures 15-22'!D238</f>
        <v>357324</v>
      </c>
      <c r="H21" s="817"/>
      <c r="I21" s="157"/>
    </row>
    <row r="22" spans="1:9" s="542" customFormat="1" ht="12" customHeight="1" x14ac:dyDescent="0.2">
      <c r="A22" s="824" t="s">
        <v>560</v>
      </c>
      <c r="B22" s="825"/>
      <c r="C22" s="823">
        <v>2200</v>
      </c>
      <c r="D22" s="1805"/>
      <c r="E22" s="1807">
        <f>'Expenditures 15-22'!K47-SUM('Expenditures 15-22'!G47,'Expenditures 15-22'!I47)+'Expenditures 15-22'!D243</f>
        <v>100273</v>
      </c>
      <c r="F22" s="1805"/>
      <c r="G22" s="1808">
        <f>'Expenditures 15-22'!K47-SUM('Expenditures 15-22'!G47,'Expenditures 15-22'!I47)+'Expenditures 15-22'!D243</f>
        <v>100273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322291</v>
      </c>
      <c r="F23" s="1805"/>
      <c r="G23" s="1807">
        <f>'Expenditures 15-22'!K53-SUM('Expenditures 15-22'!G53,'Expenditures 15-22'!I53)+'Expenditures 15-22'!D257+'Expenditures 15-22'!K330-SUM('Expenditures 15-22'!G330,'Expenditures 15-22'!I330)</f>
        <v>322291</v>
      </c>
      <c r="H23" s="817"/>
      <c r="I23" s="157"/>
    </row>
    <row r="24" spans="1:9" s="542" customFormat="1" ht="12" customHeight="1" x14ac:dyDescent="0.2">
      <c r="A24" s="824" t="s">
        <v>562</v>
      </c>
      <c r="B24" s="825"/>
      <c r="C24" s="823">
        <v>2400</v>
      </c>
      <c r="D24" s="1805"/>
      <c r="E24" s="1807">
        <f>'Expenditures 15-22'!K57-SUM('Expenditures 15-22'!G57,'Expenditures 15-22'!I57)+'Expenditures 15-22'!D261</f>
        <v>469572</v>
      </c>
      <c r="F24" s="1805"/>
      <c r="G24" s="1808">
        <f>'Expenditures 15-22'!K57-SUM('Expenditures 15-22'!G57,'Expenditures 15-22'!I57)+'Expenditures 15-22'!D261</f>
        <v>469572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53907</v>
      </c>
      <c r="E27" s="1807">
        <f>E8</f>
        <v>0</v>
      </c>
      <c r="F27" s="1807">
        <f>'Expenditures 15-22'!K60-SUM('Expenditures 15-22'!G60,'Expenditures 15-22'!I60)+'Expenditures 15-22'!D264-E8</f>
        <v>53907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674127</v>
      </c>
      <c r="F28" s="1809">
        <f>'Expenditures 15-22'!K61-SUM('Expenditures 15-22'!G61,'Expenditures 15-22'!I61)+'Expenditures 15-22'!K124-SUM('Expenditures 15-22'!G124,'Expenditures 15-22'!I124)+'Expenditures 15-22'!D266-E9</f>
        <v>674127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527825</v>
      </c>
      <c r="F29" s="1805"/>
      <c r="G29" s="1808">
        <f>'Expenditures 15-22'!K62-SUM('Expenditures 15-22'!G62,'Expenditures 15-22'!I62)+'Expenditures 15-22'!K125-SUM('Expenditures 15-22'!G125,'Expenditures 15-22'!I125)+'Expenditures 15-22'!K182-SUM('Expenditures 15-22'!G182,'Expenditures 15-22'!I182)+'Expenditures 15-22'!D267</f>
        <v>527825</v>
      </c>
      <c r="H29" s="815"/>
    </row>
    <row r="30" spans="1:9" ht="12" customHeight="1" x14ac:dyDescent="0.2">
      <c r="A30" s="824" t="s">
        <v>100</v>
      </c>
      <c r="B30" s="827"/>
      <c r="C30" s="823">
        <v>2560</v>
      </c>
      <c r="D30" s="1805"/>
      <c r="E30" s="1807">
        <f>'Expenditures 15-22'!K63-SUM('Expenditures 15-22'!G63,'Expenditures 15-22'!I63)+'Expenditures 15-22'!D268-E10</f>
        <v>225957</v>
      </c>
      <c r="F30" s="1805"/>
      <c r="G30" s="1807">
        <f>'Expenditures 15-22'!K63-SUM('Expenditures 15-22'!G63,'Expenditures 15-22'!I63)+'Expenditures 15-22'!D268-E10</f>
        <v>225957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29'!F33</f>
        <v>-88608</v>
      </c>
      <c r="F40" s="1805"/>
      <c r="G40" s="1809">
        <f>-'Contracts Paid in CY 29'!F33</f>
        <v>-88608</v>
      </c>
    </row>
    <row r="41" spans="1:7" ht="12" customHeight="1" x14ac:dyDescent="0.2">
      <c r="A41" s="828" t="s">
        <v>155</v>
      </c>
      <c r="B41" s="829"/>
      <c r="C41" s="830"/>
      <c r="D41" s="1809">
        <f>SUM(D19:D39)</f>
        <v>53907</v>
      </c>
      <c r="E41" s="1809">
        <f>SUM(E19:E40)</f>
        <v>7521377</v>
      </c>
      <c r="F41" s="1809">
        <f>SUM(F19:F39)</f>
        <v>728034</v>
      </c>
      <c r="G41" s="1809">
        <f>SUM(G19:G40)</f>
        <v>6847250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53907</v>
      </c>
      <c r="F43" s="1458" t="s">
        <v>470</v>
      </c>
      <c r="G43" s="1810">
        <f>F41</f>
        <v>728034</v>
      </c>
    </row>
    <row r="44" spans="1:7" ht="12" customHeight="1" x14ac:dyDescent="0.2">
      <c r="A44" s="817"/>
      <c r="B44" s="157"/>
      <c r="C44" s="831"/>
      <c r="D44" s="1458" t="s">
        <v>471</v>
      </c>
      <c r="E44" s="1810">
        <f>E41</f>
        <v>7521377</v>
      </c>
      <c r="F44" s="1458" t="s">
        <v>471</v>
      </c>
      <c r="G44" s="1810">
        <f>G41</f>
        <v>6847250</v>
      </c>
    </row>
    <row r="45" spans="1:7" ht="12" customHeight="1" x14ac:dyDescent="0.2">
      <c r="A45" s="817"/>
      <c r="B45" s="157"/>
      <c r="C45" s="157"/>
      <c r="D45" s="1459" t="s">
        <v>999</v>
      </c>
      <c r="E45" s="1811">
        <f>(E43/E44)</f>
        <v>7.1671716495530008E-3</v>
      </c>
      <c r="F45" s="1459" t="s">
        <v>999</v>
      </c>
      <c r="G45" s="1811">
        <f>(G43/G44)</f>
        <v>0.10632502099382964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1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E30" sqref="E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Edward Cty CUSD 1</v>
      </c>
      <c r="D6" s="2416"/>
      <c r="E6" s="2416"/>
      <c r="F6" s="1482"/>
      <c r="G6" s="1507"/>
      <c r="L6" s="1507"/>
      <c r="M6" s="1855"/>
      <c r="N6" s="1855"/>
      <c r="O6" s="1855"/>
    </row>
    <row r="7" spans="1:15" ht="11.25" customHeight="1" thickBot="1" x14ac:dyDescent="0.3">
      <c r="A7" s="1480"/>
      <c r="B7" s="1481"/>
      <c r="C7" s="2417">
        <f>COVER!A13</f>
        <v>20024001026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2068</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1497" t="s">
        <v>2069</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8"/>
      <c r="D35" s="2418"/>
      <c r="E35" s="2418"/>
      <c r="F35" s="2419"/>
    </row>
    <row r="36" spans="1:15" ht="12" customHeight="1" x14ac:dyDescent="0.2">
      <c r="A36" s="2401" t="s">
        <v>2072</v>
      </c>
      <c r="B36" s="2402"/>
      <c r="C36" s="2402"/>
      <c r="D36" s="2402"/>
      <c r="E36" s="2402"/>
      <c r="F36" s="2403"/>
    </row>
    <row r="37" spans="1:15" ht="12" customHeight="1" x14ac:dyDescent="0.2">
      <c r="A37" s="2401" t="s">
        <v>2073</v>
      </c>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1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B39" sqref="B39"/>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8" t="str">
        <f>COVER!A17</f>
        <v xml:space="preserve">  Edward Cty CUSD 1</v>
      </c>
      <c r="K6" s="2438"/>
      <c r="L6" s="2452"/>
      <c r="M6" s="838"/>
      <c r="N6" s="1996"/>
    </row>
    <row r="7" spans="1:14" x14ac:dyDescent="0.2">
      <c r="A7" s="2453" t="s">
        <v>864</v>
      </c>
      <c r="B7" s="2454"/>
      <c r="C7" s="2454"/>
      <c r="D7" s="2454"/>
      <c r="E7" s="2455"/>
      <c r="F7" s="839"/>
      <c r="G7" s="838"/>
      <c r="H7" s="838"/>
      <c r="I7" s="1922" t="s">
        <v>369</v>
      </c>
      <c r="J7" s="2440">
        <f>COVER!A13</f>
        <v>20024001026</v>
      </c>
      <c r="K7" s="2440"/>
      <c r="L7" s="2440"/>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6" t="s">
        <v>478</v>
      </c>
      <c r="B11" s="2457"/>
      <c r="C11" s="2458"/>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158134</v>
      </c>
      <c r="F12" s="1940"/>
      <c r="G12" s="1966">
        <f>G68</f>
        <v>0</v>
      </c>
      <c r="H12" s="1942">
        <f t="shared" ref="H12:H18" si="0">SUM(E12:G12)</f>
        <v>158134</v>
      </c>
      <c r="I12" s="1941">
        <v>164979</v>
      </c>
      <c r="J12" s="1940"/>
      <c r="K12" s="1941"/>
      <c r="L12" s="1942">
        <f t="shared" ref="L12:L18" si="1">SUM(I12:K12)</f>
        <v>164979</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9" t="s">
        <v>7</v>
      </c>
      <c r="C18" s="2460"/>
      <c r="D18" s="2461"/>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158134</v>
      </c>
      <c r="F19" s="1948">
        <f t="shared" si="2"/>
        <v>0</v>
      </c>
      <c r="G19" s="1948">
        <f t="shared" ref="G19" si="3">SUM(G12:G17)-G18</f>
        <v>0</v>
      </c>
      <c r="H19" s="1948">
        <f t="shared" si="2"/>
        <v>158134</v>
      </c>
      <c r="I19" s="1948">
        <f t="shared" si="2"/>
        <v>164979</v>
      </c>
      <c r="J19" s="1948">
        <f t="shared" si="2"/>
        <v>0</v>
      </c>
      <c r="K19" s="1948">
        <f t="shared" si="2"/>
        <v>0</v>
      </c>
      <c r="L19" s="1948">
        <f t="shared" si="2"/>
        <v>164979</v>
      </c>
      <c r="M19" s="838"/>
      <c r="N19" s="1996"/>
    </row>
    <row r="20" spans="1:14" ht="13.5" thickTop="1" x14ac:dyDescent="0.2">
      <c r="A20" s="2001">
        <v>9</v>
      </c>
      <c r="B20" s="2462" t="s">
        <v>2021</v>
      </c>
      <c r="C20" s="2462"/>
      <c r="D20" s="2463"/>
      <c r="E20" s="1949"/>
      <c r="F20" s="1949"/>
      <c r="G20" s="1949"/>
      <c r="H20" s="1949"/>
      <c r="I20" s="1949"/>
      <c r="J20" s="1949"/>
      <c r="K20" s="1949"/>
      <c r="L20" s="1950">
        <f>IF(AND(H19&gt;0,L19&gt;0),(((L19-H19)/H19)),"Enter Budget Data")</f>
        <v>4.3286073836113673E-2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4"/>
      <c r="D27" s="2464"/>
      <c r="E27" s="843"/>
      <c r="F27" s="2465"/>
      <c r="G27" s="2465"/>
      <c r="H27" s="2465"/>
      <c r="I27" s="838"/>
      <c r="J27" s="838"/>
      <c r="K27" s="838"/>
      <c r="L27" s="838"/>
      <c r="M27" s="838"/>
      <c r="N27" s="1996"/>
    </row>
    <row r="28" spans="1:14" x14ac:dyDescent="0.2">
      <c r="A28" s="1995"/>
      <c r="B28" s="2005"/>
      <c r="C28" s="1955" t="s">
        <v>1026</v>
      </c>
      <c r="D28" s="844"/>
      <c r="E28" s="1956"/>
      <c r="F28" s="2466" t="s">
        <v>1492</v>
      </c>
      <c r="G28" s="2466"/>
      <c r="H28" s="2466"/>
      <c r="I28" s="838"/>
      <c r="J28" s="838"/>
      <c r="K28" s="838"/>
      <c r="L28" s="838"/>
      <c r="M28" s="838"/>
      <c r="N28" s="1996"/>
    </row>
    <row r="29" spans="1:14" x14ac:dyDescent="0.2">
      <c r="A29" s="1995"/>
      <c r="B29" s="2005"/>
      <c r="C29" s="2467" t="s">
        <v>2055</v>
      </c>
      <c r="D29" s="2467"/>
      <c r="E29" s="845"/>
      <c r="F29" s="2467" t="s">
        <v>2065</v>
      </c>
      <c r="G29" s="2467"/>
      <c r="H29" s="2467"/>
      <c r="I29" s="838"/>
      <c r="J29" s="838"/>
      <c r="K29" s="838"/>
      <c r="L29" s="838"/>
      <c r="M29" s="838"/>
      <c r="N29" s="1996"/>
    </row>
    <row r="30" spans="1:14" x14ac:dyDescent="0.2">
      <c r="A30" s="1995"/>
      <c r="B30" s="2005"/>
      <c r="C30" s="1958" t="s">
        <v>1544</v>
      </c>
      <c r="D30" s="838"/>
      <c r="E30" s="1957"/>
      <c r="F30" s="2451" t="s">
        <v>1493</v>
      </c>
      <c r="G30" s="2451"/>
      <c r="H30" s="2451"/>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8" t="s">
        <v>2024</v>
      </c>
      <c r="D34" s="2429"/>
      <c r="E34" s="2429"/>
      <c r="F34" s="2429"/>
      <c r="G34" s="2429"/>
      <c r="H34" s="2429"/>
      <c r="I34" s="2429"/>
      <c r="J34" s="2429"/>
      <c r="K34" s="2014"/>
      <c r="L34" s="838"/>
      <c r="M34" s="838"/>
      <c r="N34" s="1996"/>
    </row>
    <row r="35" spans="1:14" x14ac:dyDescent="0.2">
      <c r="A35" s="1995"/>
      <c r="B35" s="838"/>
      <c r="C35" s="2429"/>
      <c r="D35" s="2429"/>
      <c r="E35" s="2429"/>
      <c r="F35" s="2429"/>
      <c r="G35" s="2429"/>
      <c r="H35" s="2429"/>
      <c r="I35" s="2429"/>
      <c r="J35" s="2429"/>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8" t="s">
        <v>2025</v>
      </c>
      <c r="D37" s="2429"/>
      <c r="E37" s="2429"/>
      <c r="F37" s="2429"/>
      <c r="G37" s="2429"/>
      <c r="H37" s="2429"/>
      <c r="I37" s="2429"/>
      <c r="J37" s="2429"/>
      <c r="K37" s="2014"/>
      <c r="L37" s="2016"/>
      <c r="M37" s="838"/>
      <c r="N37" s="1996"/>
    </row>
    <row r="38" spans="1:14" x14ac:dyDescent="0.2">
      <c r="A38" s="1995"/>
      <c r="B38" s="838"/>
      <c r="C38" s="2429"/>
      <c r="D38" s="2429"/>
      <c r="E38" s="2429"/>
      <c r="F38" s="2429"/>
      <c r="G38" s="2429"/>
      <c r="H38" s="2429"/>
      <c r="I38" s="2429"/>
      <c r="J38" s="2429"/>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0" t="s">
        <v>2026</v>
      </c>
      <c r="D40" s="2431"/>
      <c r="E40" s="2431"/>
      <c r="F40" s="2431"/>
      <c r="G40" s="2431"/>
      <c r="H40" s="2431"/>
      <c r="I40" s="2431"/>
      <c r="J40" s="2431"/>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8" t="str">
        <f>J6</f>
        <v xml:space="preserve">  Edward Cty CUSD 1</v>
      </c>
      <c r="M52" s="2438"/>
      <c r="N52" s="2439"/>
    </row>
    <row r="53" spans="1:14" x14ac:dyDescent="0.2">
      <c r="A53" s="1980"/>
      <c r="B53" s="1981"/>
      <c r="C53" s="1981"/>
      <c r="D53" s="1981"/>
      <c r="E53" s="1981"/>
      <c r="F53" s="1981"/>
      <c r="G53" s="1981"/>
      <c r="H53" s="1981"/>
      <c r="I53" s="1981"/>
      <c r="J53" s="1981"/>
      <c r="K53" s="1922" t="s">
        <v>369</v>
      </c>
      <c r="L53" s="2440">
        <f>J7</f>
        <v>20024001026</v>
      </c>
      <c r="M53" s="2440"/>
      <c r="N53" s="2441"/>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2"/>
      <c r="B55" s="2443"/>
      <c r="C55" s="2443"/>
      <c r="D55" s="1968"/>
      <c r="E55" s="1968"/>
      <c r="F55" s="1968"/>
      <c r="G55" s="2444" t="s">
        <v>2030</v>
      </c>
      <c r="H55" s="2444"/>
      <c r="I55" s="2444"/>
      <c r="J55" s="2444"/>
      <c r="K55" s="2444"/>
      <c r="L55" s="2444"/>
      <c r="M55" s="2444"/>
      <c r="N55" s="2445"/>
    </row>
    <row r="56" spans="1:14" ht="63.75" x14ac:dyDescent="0.2">
      <c r="A56" s="2446" t="s">
        <v>2031</v>
      </c>
      <c r="B56" s="2447"/>
      <c r="C56" s="2448"/>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9" t="s">
        <v>296</v>
      </c>
      <c r="B57" s="2450"/>
      <c r="C57" s="2450"/>
      <c r="D57" s="1964">
        <v>2361</v>
      </c>
      <c r="E57" s="1974">
        <f>'Expenditures 15-22'!K319</f>
        <v>0</v>
      </c>
      <c r="F57" s="1970"/>
      <c r="G57" s="2027"/>
      <c r="H57" s="2028"/>
      <c r="I57" s="2028"/>
      <c r="J57" s="2028"/>
      <c r="K57" s="2028"/>
      <c r="L57" s="2028"/>
      <c r="M57" s="2028">
        <v>0</v>
      </c>
      <c r="N57" s="1973">
        <f>IF((SUM(G57:M57))=E57,SUM(G57:M57),"Column N does not agree with Column E")</f>
        <v>0</v>
      </c>
    </row>
    <row r="58" spans="1:14" ht="24" customHeight="1" x14ac:dyDescent="0.2">
      <c r="A58" s="2426" t="s">
        <v>2041</v>
      </c>
      <c r="B58" s="2427"/>
      <c r="C58" s="2427"/>
      <c r="D58" s="1965">
        <v>2362</v>
      </c>
      <c r="E58" s="1975">
        <f>'Expenditures 15-22'!K320</f>
        <v>46271</v>
      </c>
      <c r="F58" s="1970"/>
      <c r="G58" s="2029"/>
      <c r="H58" s="2030"/>
      <c r="I58" s="2030"/>
      <c r="J58" s="2030"/>
      <c r="K58" s="2030"/>
      <c r="L58" s="2030"/>
      <c r="M58" s="2030">
        <v>46271</v>
      </c>
      <c r="N58" s="1973">
        <f>IF((SUM(G58:M58))=E58,SUM(G58:M58),"Column N does not agree with Column E")</f>
        <v>46271</v>
      </c>
    </row>
    <row r="59" spans="1:14" ht="24.75" customHeight="1" x14ac:dyDescent="0.2">
      <c r="A59" s="2420" t="s">
        <v>297</v>
      </c>
      <c r="B59" s="2421"/>
      <c r="C59" s="2421"/>
      <c r="D59" s="1965">
        <v>2363</v>
      </c>
      <c r="E59" s="1975">
        <f>'Expenditures 15-22'!K321</f>
        <v>0</v>
      </c>
      <c r="F59" s="1970"/>
      <c r="G59" s="2029"/>
      <c r="H59" s="2030"/>
      <c r="I59" s="2030"/>
      <c r="J59" s="2030"/>
      <c r="K59" s="2030"/>
      <c r="L59" s="2030"/>
      <c r="M59" s="2030">
        <v>0</v>
      </c>
      <c r="N59" s="1973">
        <f>IF((SUM(G59:M59))=E59,SUM(G59:M59),"Column N does not agree with Column E")</f>
        <v>0</v>
      </c>
    </row>
    <row r="60" spans="1:14" ht="24" customHeight="1" x14ac:dyDescent="0.2">
      <c r="A60" s="2420" t="s">
        <v>236</v>
      </c>
      <c r="B60" s="2421"/>
      <c r="C60" s="2421"/>
      <c r="D60" s="1965">
        <v>2364</v>
      </c>
      <c r="E60" s="1975">
        <f>'Expenditures 15-22'!K322</f>
        <v>79228</v>
      </c>
      <c r="F60" s="1970"/>
      <c r="G60" s="2029"/>
      <c r="H60" s="2030"/>
      <c r="I60" s="2030"/>
      <c r="J60" s="2030"/>
      <c r="K60" s="2030"/>
      <c r="L60" s="2030"/>
      <c r="M60" s="2030">
        <v>79228</v>
      </c>
      <c r="N60" s="1973">
        <f t="shared" ref="N60:N67" si="4">IF((SUM(G60:M60))=E60,SUM(G60:M60),"Column N does not agree with Column E")</f>
        <v>79228</v>
      </c>
    </row>
    <row r="61" spans="1:14" ht="24.75" customHeight="1" x14ac:dyDescent="0.2">
      <c r="A61" s="2420" t="s">
        <v>697</v>
      </c>
      <c r="B61" s="2421"/>
      <c r="C61" s="2421"/>
      <c r="D61" s="1965">
        <v>2365</v>
      </c>
      <c r="E61" s="1975">
        <f>'Expenditures 15-22'!K323</f>
        <v>0</v>
      </c>
      <c r="F61" s="1970"/>
      <c r="G61" s="2029"/>
      <c r="H61" s="2030"/>
      <c r="I61" s="2030"/>
      <c r="J61" s="2030"/>
      <c r="K61" s="2030"/>
      <c r="L61" s="2030"/>
      <c r="M61" s="2030">
        <v>0</v>
      </c>
      <c r="N61" s="1973">
        <f t="shared" si="4"/>
        <v>0</v>
      </c>
    </row>
    <row r="62" spans="1:14" ht="24" customHeight="1" x14ac:dyDescent="0.2">
      <c r="A62" s="2420" t="s">
        <v>237</v>
      </c>
      <c r="B62" s="2421"/>
      <c r="C62" s="2421"/>
      <c r="D62" s="1965">
        <v>2366</v>
      </c>
      <c r="E62" s="1975">
        <f>'Expenditures 15-22'!K324</f>
        <v>0</v>
      </c>
      <c r="F62" s="1970"/>
      <c r="G62" s="2029"/>
      <c r="H62" s="2030"/>
      <c r="I62" s="2030"/>
      <c r="J62" s="2030"/>
      <c r="K62" s="2030"/>
      <c r="L62" s="2030"/>
      <c r="M62" s="2030">
        <v>0</v>
      </c>
      <c r="N62" s="1973">
        <f t="shared" si="4"/>
        <v>0</v>
      </c>
    </row>
    <row r="63" spans="1:14" ht="24" customHeight="1" x14ac:dyDescent="0.2">
      <c r="A63" s="2426" t="s">
        <v>1022</v>
      </c>
      <c r="B63" s="2427"/>
      <c r="C63" s="2427"/>
      <c r="D63" s="1965">
        <v>2367</v>
      </c>
      <c r="E63" s="1975">
        <f>'Expenditures 15-22'!K325</f>
        <v>0</v>
      </c>
      <c r="F63" s="1970"/>
      <c r="G63" s="2029"/>
      <c r="H63" s="2030"/>
      <c r="I63" s="2030"/>
      <c r="J63" s="2030"/>
      <c r="K63" s="2030"/>
      <c r="L63" s="2030"/>
      <c r="M63" s="2030">
        <v>0</v>
      </c>
      <c r="N63" s="1973">
        <f t="shared" si="4"/>
        <v>0</v>
      </c>
    </row>
    <row r="64" spans="1:14" ht="24" customHeight="1" x14ac:dyDescent="0.2">
      <c r="A64" s="2420" t="s">
        <v>1023</v>
      </c>
      <c r="B64" s="2421"/>
      <c r="C64" s="2421"/>
      <c r="D64" s="1965">
        <v>2368</v>
      </c>
      <c r="E64" s="1975">
        <f>'Expenditures 15-22'!K326</f>
        <v>0</v>
      </c>
      <c r="F64" s="1970"/>
      <c r="G64" s="2029"/>
      <c r="H64" s="2030"/>
      <c r="I64" s="2030"/>
      <c r="J64" s="2030"/>
      <c r="K64" s="2030"/>
      <c r="L64" s="2030"/>
      <c r="M64" s="2030">
        <v>0</v>
      </c>
      <c r="N64" s="1973">
        <f t="shared" si="4"/>
        <v>0</v>
      </c>
    </row>
    <row r="65" spans="1:14" ht="24" customHeight="1" x14ac:dyDescent="0.2">
      <c r="A65" s="2420" t="s">
        <v>965</v>
      </c>
      <c r="B65" s="2421"/>
      <c r="C65" s="2421"/>
      <c r="D65" s="1965">
        <v>2369</v>
      </c>
      <c r="E65" s="1975">
        <f>'Expenditures 15-22'!K327</f>
        <v>0</v>
      </c>
      <c r="F65" s="1970"/>
      <c r="G65" s="2029"/>
      <c r="H65" s="2030"/>
      <c r="I65" s="2030"/>
      <c r="J65" s="2030"/>
      <c r="K65" s="2030"/>
      <c r="L65" s="2030"/>
      <c r="M65" s="2030">
        <v>0</v>
      </c>
      <c r="N65" s="1973">
        <f t="shared" si="4"/>
        <v>0</v>
      </c>
    </row>
    <row r="66" spans="1:14" ht="24" customHeight="1" x14ac:dyDescent="0.2">
      <c r="A66" s="2420" t="s">
        <v>469</v>
      </c>
      <c r="B66" s="2421"/>
      <c r="C66" s="2421"/>
      <c r="D66" s="1965">
        <v>2371</v>
      </c>
      <c r="E66" s="1975">
        <f>'Expenditures 15-22'!K328</f>
        <v>0</v>
      </c>
      <c r="F66" s="1970"/>
      <c r="G66" s="2029"/>
      <c r="H66" s="2030"/>
      <c r="I66" s="2030"/>
      <c r="J66" s="2030"/>
      <c r="K66" s="2030"/>
      <c r="L66" s="2030"/>
      <c r="M66" s="2030">
        <v>0</v>
      </c>
      <c r="N66" s="1973">
        <f t="shared" si="4"/>
        <v>0</v>
      </c>
    </row>
    <row r="67" spans="1:14" ht="24.75" customHeight="1" x14ac:dyDescent="0.2">
      <c r="A67" s="2422" t="s">
        <v>2042</v>
      </c>
      <c r="B67" s="2423"/>
      <c r="C67" s="2423"/>
      <c r="D67" s="1967">
        <v>2372</v>
      </c>
      <c r="E67" s="1976">
        <f>'Expenditures 15-22'!K329</f>
        <v>0</v>
      </c>
      <c r="F67" s="1970"/>
      <c r="G67" s="2031"/>
      <c r="H67" s="2032"/>
      <c r="I67" s="2032"/>
      <c r="J67" s="2032"/>
      <c r="K67" s="2032"/>
      <c r="L67" s="2032"/>
      <c r="M67" s="2032">
        <v>0</v>
      </c>
      <c r="N67" s="1973">
        <f t="shared" si="4"/>
        <v>0</v>
      </c>
    </row>
    <row r="68" spans="1:14" x14ac:dyDescent="0.2">
      <c r="A68" s="2424" t="s">
        <v>1151</v>
      </c>
      <c r="B68" s="2425"/>
      <c r="C68" s="2425"/>
      <c r="D68" s="1968"/>
      <c r="E68" s="1972">
        <f>SUM(E57:E67)</f>
        <v>125499</v>
      </c>
      <c r="F68" s="1971"/>
      <c r="G68" s="1972">
        <f t="shared" ref="G68:N68" si="5">SUM(G57:G67)</f>
        <v>0</v>
      </c>
      <c r="H68" s="1972">
        <f t="shared" si="5"/>
        <v>0</v>
      </c>
      <c r="I68" s="1972">
        <f t="shared" si="5"/>
        <v>0</v>
      </c>
      <c r="J68" s="1972">
        <f t="shared" si="5"/>
        <v>0</v>
      </c>
      <c r="K68" s="1972">
        <f t="shared" si="5"/>
        <v>0</v>
      </c>
      <c r="L68" s="1972">
        <f t="shared" si="5"/>
        <v>0</v>
      </c>
      <c r="M68" s="1972">
        <f t="shared" si="5"/>
        <v>125499</v>
      </c>
      <c r="N68" s="1986">
        <f t="shared" si="5"/>
        <v>125499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1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2"/>
  <sheetViews>
    <sheetView showGridLines="0" zoomScale="110" zoomScaleNormal="110" workbookViewId="0">
      <selection activeCell="B24" sqref="B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3" t="s">
        <v>1145</v>
      </c>
    </row>
    <row r="5" spans="1:2" x14ac:dyDescent="0.2">
      <c r="A5" s="847">
        <v>1.2</v>
      </c>
      <c r="B5" s="368" t="s">
        <v>2089</v>
      </c>
    </row>
    <row r="6" spans="1:2" x14ac:dyDescent="0.2">
      <c r="A6" s="847">
        <v>2</v>
      </c>
      <c r="B6" s="548" t="s">
        <v>2088</v>
      </c>
    </row>
    <row r="7" spans="1:2" x14ac:dyDescent="0.2">
      <c r="A7" s="847">
        <v>3</v>
      </c>
      <c r="B7" s="548" t="s">
        <v>2115</v>
      </c>
    </row>
    <row r="8" spans="1:2" x14ac:dyDescent="0.2">
      <c r="A8" s="847">
        <v>4</v>
      </c>
      <c r="B8" s="548" t="s">
        <v>2116</v>
      </c>
    </row>
    <row r="9" spans="1:2" x14ac:dyDescent="0.2">
      <c r="A9" s="847">
        <v>5</v>
      </c>
      <c r="B9" s="548" t="s">
        <v>2090</v>
      </c>
    </row>
    <row r="10" spans="1:2" x14ac:dyDescent="0.2">
      <c r="A10" s="848"/>
      <c r="B10" s="2033"/>
    </row>
    <row r="11" spans="1:2" x14ac:dyDescent="0.2">
      <c r="A11" s="848"/>
      <c r="B11" s="2033" t="s">
        <v>865</v>
      </c>
    </row>
    <row r="12" spans="1:2" x14ac:dyDescent="0.2">
      <c r="A12" s="848">
        <v>1</v>
      </c>
      <c r="B12" s="548" t="s">
        <v>2117</v>
      </c>
    </row>
    <row r="13" spans="1:2" x14ac:dyDescent="0.2">
      <c r="A13" s="848"/>
    </row>
    <row r="14" spans="1:2" x14ac:dyDescent="0.2">
      <c r="A14" s="848"/>
      <c r="B14" s="2033" t="s">
        <v>447</v>
      </c>
    </row>
    <row r="15" spans="1:2" x14ac:dyDescent="0.2">
      <c r="A15" s="848">
        <v>1</v>
      </c>
      <c r="B15" s="548" t="s">
        <v>2074</v>
      </c>
    </row>
    <row r="16" spans="1:2" x14ac:dyDescent="0.2">
      <c r="A16" s="848"/>
    </row>
    <row r="17" spans="1:2" x14ac:dyDescent="0.2">
      <c r="A17" s="848"/>
      <c r="B17" s="2033" t="s">
        <v>154</v>
      </c>
    </row>
    <row r="18" spans="1:2" x14ac:dyDescent="0.2">
      <c r="A18" s="848">
        <v>1</v>
      </c>
      <c r="B18" s="548" t="s">
        <v>2091</v>
      </c>
    </row>
    <row r="19" spans="1:2" x14ac:dyDescent="0.2">
      <c r="A19" s="848"/>
      <c r="B19" s="548"/>
    </row>
    <row r="20" spans="1:2" x14ac:dyDescent="0.2">
      <c r="A20" s="2034"/>
      <c r="B20" s="2035" t="s">
        <v>433</v>
      </c>
    </row>
    <row r="21" spans="1:2" x14ac:dyDescent="0.2">
      <c r="A21" s="2034">
        <v>1</v>
      </c>
      <c r="B21" s="548" t="s">
        <v>2118</v>
      </c>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 xml:space="preserve">  Edward Cty CUSD 1</v>
      </c>
    </row>
    <row r="62" spans="1:2" x14ac:dyDescent="0.2">
      <c r="A62" s="848"/>
      <c r="B62" s="849">
        <f>COVER!A13</f>
        <v>20024001026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52" zoomScale="110" zoomScaleNormal="110" workbookViewId="0">
      <selection activeCell="B29" sqref="B2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10"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D12" sqref="D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1095375</xdr:colOff>
                <xdr:row>6</xdr:row>
                <xdr:rowOff>152400</xdr:rowOff>
              </from>
              <to>
                <xdr:col>1</xdr:col>
                <xdr:colOff>2009775</xdr:colOff>
                <xdr:row>11</xdr:row>
                <xdr:rowOff>28575</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2162175</xdr:colOff>
                <xdr:row>6</xdr:row>
                <xdr:rowOff>152400</xdr:rowOff>
              </from>
              <to>
                <xdr:col>1</xdr:col>
                <xdr:colOff>3076575</xdr:colOff>
                <xdr:row>11</xdr:row>
                <xdr:rowOff>28575</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1</xdr:col>
                <xdr:colOff>3228975</xdr:colOff>
                <xdr:row>6</xdr:row>
                <xdr:rowOff>142875</xdr:rowOff>
              </from>
              <to>
                <xdr:col>2</xdr:col>
                <xdr:colOff>161925</xdr:colOff>
                <xdr:row>11</xdr:row>
                <xdr:rowOff>19050</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6829218</v>
      </c>
      <c r="C8" s="1813">
        <f>'Acct Summary 7-8'!D8</f>
        <v>705388</v>
      </c>
      <c r="D8" s="1813">
        <f>'Acct Summary 7-8'!F8</f>
        <v>626292</v>
      </c>
      <c r="E8" s="1813">
        <f>'Acct Summary 7-8'!I8</f>
        <v>48612</v>
      </c>
      <c r="F8" s="1813">
        <f>SUM(B8:E8)</f>
        <v>8209510</v>
      </c>
    </row>
    <row r="9" spans="1:8" s="858" customFormat="1" ht="14.25" customHeight="1" thickBot="1" x14ac:dyDescent="0.25">
      <c r="A9" s="857" t="s">
        <v>1353</v>
      </c>
      <c r="B9" s="1814">
        <f>'Acct Summary 7-8'!C17</f>
        <v>6601660</v>
      </c>
      <c r="C9" s="1814">
        <f>'Acct Summary 7-8'!D17</f>
        <v>649503</v>
      </c>
      <c r="D9" s="1814">
        <f>'Acct Summary 7-8'!F17</f>
        <v>672529</v>
      </c>
      <c r="E9" s="1813"/>
      <c r="F9" s="1813">
        <f>SUM(B9:E9)</f>
        <v>7923692</v>
      </c>
    </row>
    <row r="10" spans="1:8" s="858" customFormat="1" ht="14.25" thickTop="1" thickBot="1" x14ac:dyDescent="0.25">
      <c r="A10" s="859" t="s">
        <v>1354</v>
      </c>
      <c r="B10" s="1815">
        <f>(B8-B9)</f>
        <v>227558</v>
      </c>
      <c r="C10" s="1815">
        <f>(C8-C9)</f>
        <v>55885</v>
      </c>
      <c r="D10" s="1815">
        <f>(D8-D9)</f>
        <v>-46237</v>
      </c>
      <c r="E10" s="1814">
        <f>(E8-E9)</f>
        <v>48612</v>
      </c>
      <c r="F10" s="1816">
        <f>SUM(F8-F9)</f>
        <v>285818</v>
      </c>
    </row>
    <row r="11" spans="1:8" s="858" customFormat="1" ht="14.25" thickTop="1" thickBot="1" x14ac:dyDescent="0.25">
      <c r="A11" s="860" t="s">
        <v>1903</v>
      </c>
      <c r="B11" s="1817">
        <f>'Acct Summary 7-8'!C81</f>
        <v>1856399</v>
      </c>
      <c r="C11" s="1817">
        <f>'Acct Summary 7-8'!D81</f>
        <v>60597</v>
      </c>
      <c r="D11" s="1817">
        <f>'Acct Summary 7-8'!F81</f>
        <v>5736</v>
      </c>
      <c r="E11" s="1817">
        <f>'Acct Summary 7-8'!I81</f>
        <v>2834700</v>
      </c>
      <c r="F11" s="1818">
        <f>SUM(B11:E11)</f>
        <v>4757432</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9" t="str">
        <f>IF('Contracts Paid in CY 29'!$D$33&gt;0,"OK","PLEASE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1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8" t="s">
        <v>1978</v>
      </c>
    </row>
    <row r="2" spans="1:7" ht="15.75" x14ac:dyDescent="0.25">
      <c r="A2" t="s">
        <v>260</v>
      </c>
      <c r="B2" s="135">
        <f>COVER!A13</f>
        <v>20024001026</v>
      </c>
      <c r="E2" s="1542">
        <v>2020</v>
      </c>
      <c r="F2" s="1542">
        <v>1</v>
      </c>
      <c r="G2" s="1897">
        <v>101000300</v>
      </c>
    </row>
    <row r="3" spans="1:7" ht="15" x14ac:dyDescent="0.25">
      <c r="A3" t="s">
        <v>950</v>
      </c>
      <c r="B3" s="135" t="str">
        <f>COVER!A15</f>
        <v>Edwards, Richland, Wayne</v>
      </c>
      <c r="E3" s="1830" t="s">
        <v>1971</v>
      </c>
      <c r="F3" s="1830" t="s">
        <v>1970</v>
      </c>
      <c r="G3" s="1897">
        <v>101000400</v>
      </c>
    </row>
    <row r="4" spans="1:7" ht="15" x14ac:dyDescent="0.25">
      <c r="A4" t="s">
        <v>1000</v>
      </c>
      <c r="B4" s="135" t="str">
        <f>COVER!A17</f>
        <v xml:space="preserve">  Edward Cty CUSD 1</v>
      </c>
      <c r="E4" s="1828">
        <v>44119</v>
      </c>
      <c r="F4" s="1829">
        <v>44151</v>
      </c>
      <c r="G4" s="1897">
        <v>101000600</v>
      </c>
    </row>
    <row r="5" spans="1:7" ht="15" x14ac:dyDescent="0.25">
      <c r="A5" t="s">
        <v>699</v>
      </c>
      <c r="B5" s="135" t="str">
        <f>COVER!A38</f>
        <v>David Cowger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f>COVER!T23</f>
        <v>65.032562999999996</v>
      </c>
      <c r="G15" s="1897">
        <v>402100400</v>
      </c>
    </row>
    <row r="16" spans="1:7" ht="15" x14ac:dyDescent="0.25">
      <c r="A16" t="s">
        <v>419</v>
      </c>
      <c r="B16" s="135" t="str">
        <f>COVER!T13</f>
        <v>Kemper CPA Group LLP</v>
      </c>
      <c r="G16" s="1897">
        <v>402100600</v>
      </c>
    </row>
    <row r="17" spans="1:7" ht="15" x14ac:dyDescent="0.25">
      <c r="A17" t="s">
        <v>878</v>
      </c>
      <c r="B17" s="135" t="str">
        <f>COVER!T15</f>
        <v>Krista McLaren</v>
      </c>
      <c r="G17" s="1897">
        <v>402100800</v>
      </c>
    </row>
    <row r="18" spans="1:7" ht="15" x14ac:dyDescent="0.25">
      <c r="A18" t="s">
        <v>1140</v>
      </c>
      <c r="B18" s="135" t="str">
        <f>COVER!T17</f>
        <v>703 W. Main St, PO Box 447</v>
      </c>
      <c r="G18" s="1897">
        <v>102200300</v>
      </c>
    </row>
    <row r="19" spans="1:7" ht="15" x14ac:dyDescent="0.25">
      <c r="A19" t="s">
        <v>880</v>
      </c>
      <c r="B19" s="135" t="str">
        <f>COVER!T25</f>
        <v>kmclaren@kempercpa.com</v>
      </c>
      <c r="G19" s="1897">
        <v>102200400</v>
      </c>
    </row>
    <row r="20" spans="1:7" ht="15" x14ac:dyDescent="0.25">
      <c r="A20" t="s">
        <v>881</v>
      </c>
      <c r="B20" s="135" t="str">
        <f>COVER!T19</f>
        <v>Olney</v>
      </c>
      <c r="G20" s="1897">
        <v>102200600</v>
      </c>
    </row>
    <row r="21" spans="1:7" ht="15" x14ac:dyDescent="0.25">
      <c r="A21" t="s">
        <v>476</v>
      </c>
      <c r="B21" s="135" t="str">
        <f>COVER!X19</f>
        <v>IL</v>
      </c>
      <c r="G21" s="1897">
        <v>102200800</v>
      </c>
    </row>
    <row r="22" spans="1:7" ht="15" x14ac:dyDescent="0.25">
      <c r="A22" t="s">
        <v>882</v>
      </c>
      <c r="B22" s="135">
        <f>COVER!Z19</f>
        <v>62450</v>
      </c>
      <c r="G22" s="1897">
        <v>102300300</v>
      </c>
    </row>
    <row r="23" spans="1:7" ht="15" x14ac:dyDescent="0.25">
      <c r="A23" t="s">
        <v>1142</v>
      </c>
      <c r="B23" s="135" t="str">
        <f>COVER!T21</f>
        <v>618-395-2105</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1787127</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1856399</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569</v>
      </c>
      <c r="D91" s="2" t="str">
        <f t="shared" si="0"/>
        <v>Error?</v>
      </c>
      <c r="G91" s="1897">
        <v>102640400</v>
      </c>
    </row>
    <row r="92" spans="1:7" ht="15" x14ac:dyDescent="0.25">
      <c r="A92" s="5">
        <v>31</v>
      </c>
      <c r="B92" s="1832">
        <f>'Assets-Liab 5-6'!C39</f>
        <v>1848942</v>
      </c>
      <c r="D92" s="2" t="str">
        <f t="shared" si="0"/>
        <v>Error?</v>
      </c>
      <c r="G92" s="1897">
        <v>102640600</v>
      </c>
    </row>
    <row r="93" spans="1:7" ht="15" x14ac:dyDescent="0.25">
      <c r="A93" s="5">
        <v>32</v>
      </c>
      <c r="B93" s="1832">
        <f>'Assets-Liab 5-6'!C41</f>
        <v>1856399</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60597</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10597</v>
      </c>
      <c r="D123" s="2" t="str">
        <f t="shared" si="0"/>
        <v>Error?</v>
      </c>
      <c r="G123" s="1897">
        <v>203000400</v>
      </c>
    </row>
    <row r="124" spans="1:7" ht="15" x14ac:dyDescent="0.25">
      <c r="A124" s="5">
        <v>63</v>
      </c>
      <c r="B124" s="1832">
        <f>'Assets-Liab 5-6'!D41</f>
        <v>60597</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522604</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542576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45678</v>
      </c>
      <c r="D140" s="2" t="str">
        <f t="shared" si="1"/>
        <v>Error?</v>
      </c>
    </row>
    <row r="141" spans="1:7" x14ac:dyDescent="0.2">
      <c r="A141" s="5">
        <v>80</v>
      </c>
      <c r="B141" s="1832">
        <f>'Assets-Liab 5-6'!E41</f>
        <v>542576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5736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5736</v>
      </c>
      <c r="D170" s="2" t="str">
        <f t="shared" si="1"/>
        <v>Error?</v>
      </c>
    </row>
    <row r="171" spans="1:4" x14ac:dyDescent="0.2">
      <c r="A171" s="5">
        <v>110</v>
      </c>
      <c r="B171" s="1832">
        <f>'Assets-Liab 5-6'!F41</f>
        <v>5736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237661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311201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204584</v>
      </c>
      <c r="D189" s="2" t="str">
        <f t="shared" si="1"/>
        <v>Error?</v>
      </c>
    </row>
    <row r="190" spans="1:4" x14ac:dyDescent="0.2">
      <c r="A190" s="5">
        <v>129</v>
      </c>
      <c r="B190" s="1832">
        <f>'Assets-Liab 5-6'!G41</f>
        <v>311201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100586</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453425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453425</v>
      </c>
      <c r="D212" s="2" t="str">
        <f t="shared" si="2"/>
        <v>Error?</v>
      </c>
    </row>
    <row r="213" spans="1:4" x14ac:dyDescent="0.2">
      <c r="A213" s="12">
        <v>152</v>
      </c>
      <c r="B213" s="1832">
        <f>'Assets-Liab 5-6'!H41</f>
        <v>453425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122582</v>
      </c>
      <c r="D273" s="2" t="str">
        <f t="shared" si="3"/>
        <v>Error?</v>
      </c>
    </row>
    <row r="274" spans="1:4" x14ac:dyDescent="0.2">
      <c r="A274" s="5">
        <v>213</v>
      </c>
      <c r="B274" s="1832">
        <f>'Assets-Liab 5-6'!M17</f>
        <v>9495991</v>
      </c>
      <c r="D274" s="2" t="str">
        <f t="shared" si="3"/>
        <v>Error?</v>
      </c>
    </row>
    <row r="275" spans="1:4" x14ac:dyDescent="0.2">
      <c r="A275" s="5">
        <v>214</v>
      </c>
      <c r="B275" s="1832">
        <f>'Assets-Liab 5-6'!M18</f>
        <v>1183376</v>
      </c>
      <c r="D275" s="2" t="str">
        <f t="shared" si="3"/>
        <v>Error?</v>
      </c>
    </row>
    <row r="276" spans="1:4" x14ac:dyDescent="0.2">
      <c r="A276" s="5">
        <v>215</v>
      </c>
      <c r="B276" s="1832">
        <f>'Assets-Liab 5-6'!M19</f>
        <v>2308516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13117965</v>
      </c>
      <c r="C279" s="2" t="s">
        <v>569</v>
      </c>
      <c r="D279" s="2" t="str">
        <f t="shared" si="3"/>
        <v>Error?</v>
      </c>
    </row>
    <row r="280" spans="1:4" x14ac:dyDescent="0.2">
      <c r="A280" s="5">
        <v>219</v>
      </c>
      <c r="B280" s="1832">
        <f>'Assets-Liab 5-6'!M40</f>
        <v>13117965</v>
      </c>
      <c r="D280" s="2" t="str">
        <f t="shared" si="3"/>
        <v>Error?</v>
      </c>
    </row>
    <row r="281" spans="1:4" x14ac:dyDescent="0.2">
      <c r="A281" s="5">
        <v>220</v>
      </c>
      <c r="B281" s="1832">
        <f>'Assets-Liab 5-6'!M41</f>
        <v>13117965</v>
      </c>
      <c r="C281" s="2" t="s">
        <v>569</v>
      </c>
      <c r="D281" s="2" t="str">
        <f t="shared" si="3"/>
        <v>Error?</v>
      </c>
    </row>
    <row r="282" spans="1:4" x14ac:dyDescent="0.2">
      <c r="A282" s="5">
        <v>221</v>
      </c>
      <c r="B282" s="1832">
        <f>'Assets-Liab 5-6'!N21</f>
        <v>542576</v>
      </c>
      <c r="D282" s="2" t="str">
        <f t="shared" si="3"/>
        <v>Error?</v>
      </c>
    </row>
    <row r="283" spans="1:4" x14ac:dyDescent="0.2">
      <c r="A283" s="5">
        <v>222</v>
      </c>
      <c r="B283" s="1832">
        <f>'Assets-Liab 5-6'!N22</f>
        <v>2061331</v>
      </c>
      <c r="D283" s="2" t="str">
        <f t="shared" si="3"/>
        <v>Error?</v>
      </c>
    </row>
    <row r="284" spans="1:4" x14ac:dyDescent="0.2">
      <c r="A284" s="5">
        <v>223</v>
      </c>
      <c r="B284" s="1832">
        <f>'Assets-Liab 5-6'!N23</f>
        <v>2603907</v>
      </c>
      <c r="C284" s="2" t="s">
        <v>569</v>
      </c>
      <c r="D284" s="2" t="str">
        <f t="shared" si="3"/>
        <v>Error?</v>
      </c>
    </row>
    <row r="285" spans="1:4" x14ac:dyDescent="0.2">
      <c r="A285" s="5">
        <v>224</v>
      </c>
      <c r="B285" s="1832">
        <f>'Assets-Liab 5-6'!N36</f>
        <v>2603907</v>
      </c>
      <c r="D285" s="2" t="str">
        <f t="shared" si="3"/>
        <v>Error?</v>
      </c>
    </row>
    <row r="286" spans="1:4" x14ac:dyDescent="0.2">
      <c r="A286" s="10">
        <v>225</v>
      </c>
      <c r="B286" s="1832"/>
      <c r="D286" s="2" t="str">
        <f t="shared" si="3"/>
        <v>OK</v>
      </c>
    </row>
    <row r="287" spans="1:4" x14ac:dyDescent="0.2">
      <c r="A287" s="5">
        <v>226</v>
      </c>
      <c r="B287" s="1832">
        <f>'Assets-Liab 5-6'!N37</f>
        <v>2603907</v>
      </c>
      <c r="C287" s="2" t="s">
        <v>569</v>
      </c>
      <c r="D287" s="2" t="str">
        <f t="shared" si="3"/>
        <v>Error?</v>
      </c>
    </row>
    <row r="288" spans="1:4" x14ac:dyDescent="0.2">
      <c r="A288" s="5">
        <v>227</v>
      </c>
      <c r="B288" s="1832">
        <f>'Assets-Liab 5-6'!N41</f>
        <v>2603907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1800000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2237893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244189</v>
      </c>
      <c r="D717" s="2" t="str">
        <f t="shared" si="10"/>
        <v>Error?</v>
      </c>
    </row>
    <row r="718" spans="1:4" x14ac:dyDescent="0.2">
      <c r="A718" s="5">
        <v>657</v>
      </c>
      <c r="B718" s="1832">
        <f>'Expenditures 15-22'!C14</f>
        <v>243195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3804238</v>
      </c>
      <c r="C720" s="2" t="s">
        <v>569</v>
      </c>
      <c r="D720" s="2" t="str">
        <f t="shared" si="10"/>
        <v>Error?</v>
      </c>
    </row>
    <row r="721" spans="1:4" x14ac:dyDescent="0.2">
      <c r="A721" s="5">
        <v>660</v>
      </c>
      <c r="B721" s="1832">
        <f>'Expenditures 15-22'!C36</f>
        <v>38412</v>
      </c>
      <c r="D721" s="2" t="str">
        <f t="shared" si="10"/>
        <v>Error?</v>
      </c>
    </row>
    <row r="722" spans="1:4" x14ac:dyDescent="0.2">
      <c r="A722" s="5">
        <v>661</v>
      </c>
      <c r="B722" s="1832">
        <f>'Expenditures 15-22'!C37</f>
        <v>61901</v>
      </c>
      <c r="D722" s="2" t="str">
        <f t="shared" si="10"/>
        <v>Error?</v>
      </c>
    </row>
    <row r="723" spans="1:4" x14ac:dyDescent="0.2">
      <c r="A723" s="5">
        <v>662</v>
      </c>
      <c r="B723" s="1832">
        <f>'Expenditures 15-22'!C38</f>
        <v>77124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103745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281182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77463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77463</v>
      </c>
      <c r="C731" s="2" t="s">
        <v>569</v>
      </c>
      <c r="D731" s="2" t="str">
        <f t="shared" si="10"/>
        <v>Error?</v>
      </c>
    </row>
    <row r="732" spans="1:4" x14ac:dyDescent="0.2">
      <c r="A732" s="5">
        <v>671</v>
      </c>
      <c r="B732" s="1832">
        <f>'Expenditures 15-22'!C49</f>
        <v>33149</v>
      </c>
      <c r="D732" s="2" t="str">
        <f t="shared" si="10"/>
        <v>Error?</v>
      </c>
    </row>
    <row r="733" spans="1:4" x14ac:dyDescent="0.2">
      <c r="A733" s="5">
        <v>672</v>
      </c>
      <c r="B733" s="1832">
        <f>'Expenditures 15-22'!C50</f>
        <v>134518</v>
      </c>
      <c r="D733" s="2" t="str">
        <f t="shared" si="10"/>
        <v>Error?</v>
      </c>
    </row>
    <row r="734" spans="1:4" x14ac:dyDescent="0.2">
      <c r="A734" s="5">
        <v>673</v>
      </c>
      <c r="B734" s="1832">
        <f>'Expenditures 15-22'!C53</f>
        <v>167667</v>
      </c>
      <c r="C734" s="2" t="s">
        <v>569</v>
      </c>
      <c r="D734" s="2" t="str">
        <f t="shared" si="10"/>
        <v>Error?</v>
      </c>
    </row>
    <row r="735" spans="1:4" x14ac:dyDescent="0.2">
      <c r="A735" s="5">
        <v>674</v>
      </c>
      <c r="B735" s="1832">
        <f>'Expenditures 15-22'!C55</f>
        <v>340672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340672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29080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166942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196022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1063006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4867244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489013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47384</v>
      </c>
      <c r="D775" s="2" t="str">
        <f t="shared" si="11"/>
        <v>Error?</v>
      </c>
    </row>
    <row r="776" spans="1:4" x14ac:dyDescent="0.2">
      <c r="A776" s="5">
        <v>715</v>
      </c>
      <c r="B776" s="1832">
        <f>'Expenditures 15-22'!D14</f>
        <v>48149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815009</v>
      </c>
      <c r="C778" s="2" t="s">
        <v>569</v>
      </c>
      <c r="D778" s="2" t="str">
        <f t="shared" si="11"/>
        <v>Error?</v>
      </c>
    </row>
    <row r="779" spans="1:4" x14ac:dyDescent="0.2">
      <c r="A779" s="5">
        <v>718</v>
      </c>
      <c r="B779" s="1832">
        <f>'Expenditures 15-22'!D36</f>
        <v>10524</v>
      </c>
      <c r="D779" s="2" t="str">
        <f t="shared" si="11"/>
        <v>Error?</v>
      </c>
    </row>
    <row r="780" spans="1:4" x14ac:dyDescent="0.2">
      <c r="A780" s="5">
        <v>719</v>
      </c>
      <c r="B780" s="1832">
        <f>'Expenditures 15-22'!D37</f>
        <v>13406</v>
      </c>
      <c r="D780" s="2" t="str">
        <f t="shared" si="11"/>
        <v>Error?</v>
      </c>
    </row>
    <row r="781" spans="1:4" x14ac:dyDescent="0.2">
      <c r="A781" s="5">
        <v>720</v>
      </c>
      <c r="B781" s="1832">
        <f>'Expenditures 15-22'!D38</f>
        <v>13236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24276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61442</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16278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16278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22500</v>
      </c>
      <c r="D791" s="2" t="str">
        <f t="shared" si="11"/>
        <v>Error?</v>
      </c>
    </row>
    <row r="792" spans="1:4" x14ac:dyDescent="0.2">
      <c r="A792" s="5">
        <v>731</v>
      </c>
      <c r="B792" s="1832">
        <f>'Expenditures 15-22'!D53</f>
        <v>22500</v>
      </c>
      <c r="C792" s="2" t="s">
        <v>569</v>
      </c>
      <c r="D792" s="2" t="str">
        <f t="shared" si="11"/>
        <v>Error?</v>
      </c>
    </row>
    <row r="793" spans="1:4" x14ac:dyDescent="0.2">
      <c r="A793" s="5">
        <v>732</v>
      </c>
      <c r="B793" s="1832">
        <f>'Expenditures 15-22'!D55</f>
        <v>65660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65660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4434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31809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36243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202123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1017132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14260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200</v>
      </c>
      <c r="D833" s="2" t="str">
        <f t="shared" si="12"/>
        <v>Error?</v>
      </c>
    </row>
    <row r="834" spans="1:4" x14ac:dyDescent="0.2">
      <c r="A834" s="5">
        <v>773</v>
      </c>
      <c r="B834" s="1832">
        <f>'Expenditures 15-22'!E14</f>
        <v>23178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54291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6260</v>
      </c>
      <c r="D838" s="2" t="str">
        <f t="shared" si="12"/>
        <v>Error?</v>
      </c>
    </row>
    <row r="839" spans="1:4" x14ac:dyDescent="0.2">
      <c r="A839" s="5">
        <v>778</v>
      </c>
      <c r="B839" s="1832">
        <f>'Expenditures 15-22'!E38</f>
        <v>412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508</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7180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292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292</v>
      </c>
      <c r="C847" s="2" t="s">
        <v>569</v>
      </c>
      <c r="D847" s="2" t="str">
        <f t="shared" si="12"/>
        <v>Error?</v>
      </c>
    </row>
    <row r="848" spans="1:4" x14ac:dyDescent="0.2">
      <c r="A848" s="5">
        <v>787</v>
      </c>
      <c r="B848" s="1832">
        <f>'Expenditures 15-22'!E49</f>
        <v>3299</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3299</v>
      </c>
      <c r="C850" s="2" t="s">
        <v>569</v>
      </c>
      <c r="D850" s="2" t="str">
        <f t="shared" si="12"/>
        <v>Error?</v>
      </c>
    </row>
    <row r="851" spans="1:4" x14ac:dyDescent="0.2">
      <c r="A851" s="5">
        <v>790</v>
      </c>
      <c r="B851" s="1832">
        <f>'Expenditures 15-22'!E55</f>
        <v>36965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36965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15660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15122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30782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78518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398940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74301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11802</v>
      </c>
      <c r="D891" s="2" t="str">
        <f t="shared" si="12"/>
        <v>Error?</v>
      </c>
    </row>
    <row r="892" spans="1:4" x14ac:dyDescent="0.2">
      <c r="A892" s="5">
        <v>831</v>
      </c>
      <c r="B892" s="1832">
        <f>'Expenditures 15-22'!F14</f>
        <v>2815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127738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960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91</v>
      </c>
      <c r="D899" s="2" t="str">
        <f t="shared" si="13"/>
        <v>Error?</v>
      </c>
    </row>
    <row r="900" spans="1:4" x14ac:dyDescent="0.2">
      <c r="A900" s="5">
        <v>839</v>
      </c>
      <c r="B900" s="1832">
        <f>'Expenditures 15-22'!F41</f>
        <v>1157</v>
      </c>
      <c r="D900" s="2" t="str">
        <f t="shared" si="13"/>
        <v>Error?</v>
      </c>
    </row>
    <row r="901" spans="1:4" x14ac:dyDescent="0.2">
      <c r="A901" s="5">
        <v>840</v>
      </c>
      <c r="B901" s="1832">
        <f>'Expenditures 15-22'!F42</f>
        <v>2208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2765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2765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62</v>
      </c>
      <c r="D907" s="2" t="str">
        <f t="shared" si="13"/>
        <v>Error?</v>
      </c>
    </row>
    <row r="908" spans="1:4" x14ac:dyDescent="0.2">
      <c r="A908" s="5">
        <v>847</v>
      </c>
      <c r="B908" s="1832">
        <f>'Expenditures 15-22'!F53</f>
        <v>62</v>
      </c>
      <c r="C908" s="2" t="s">
        <v>569</v>
      </c>
      <c r="D908" s="2" t="str">
        <f t="shared" si="13"/>
        <v>Error?</v>
      </c>
    </row>
    <row r="909" spans="1:4" x14ac:dyDescent="0.2">
      <c r="A909" s="5">
        <v>848</v>
      </c>
      <c r="B909" s="1832">
        <f>'Expenditures 15-22'!F55</f>
        <v>2087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2087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153308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153308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160430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288168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16499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16499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1264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1264</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1264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17763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535</v>
      </c>
      <c r="D1007" s="2" t="str">
        <f t="shared" si="14"/>
        <v>Error?</v>
      </c>
    </row>
    <row r="1008" spans="1:4" x14ac:dyDescent="0.2">
      <c r="A1008" s="5">
        <v>947</v>
      </c>
      <c r="B1008" s="1832">
        <f>'Expenditures 15-22'!H14</f>
        <v>3145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8934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275</v>
      </c>
      <c r="D1022" s="2" t="str">
        <f t="shared" si="14"/>
        <v>Error?</v>
      </c>
    </row>
    <row r="1023" spans="1:4" x14ac:dyDescent="0.2">
      <c r="A1023" s="5">
        <v>962</v>
      </c>
      <c r="B1023" s="1832">
        <f>'Expenditures 15-22'!H50</f>
        <v>1054</v>
      </c>
      <c r="D1023" s="2" t="str">
        <f t="shared" ref="D1023:D1086" si="15">IF(ISBLANK(B1023),"OK",IF(A1023-B1023=0,"OK","Error?"))</f>
        <v>Error?</v>
      </c>
    </row>
    <row r="1024" spans="1:4" x14ac:dyDescent="0.2">
      <c r="A1024" s="5">
        <v>963</v>
      </c>
      <c r="B1024" s="1832">
        <f>'Expenditures 15-22'!H53</f>
        <v>1329</v>
      </c>
      <c r="C1024" s="2" t="s">
        <v>569</v>
      </c>
      <c r="D1024" s="2" t="str">
        <f t="shared" si="15"/>
        <v>Error?</v>
      </c>
    </row>
    <row r="1025" spans="1:4" x14ac:dyDescent="0.2">
      <c r="A1025" s="5">
        <v>964</v>
      </c>
      <c r="B1025" s="1832">
        <f>'Expenditures 15-22'!H55</f>
        <v>2150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2150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3479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12413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2831966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304110</v>
      </c>
      <c r="C1105" s="2" t="s">
        <v>569</v>
      </c>
      <c r="D1105" s="2" t="str">
        <f t="shared" si="16"/>
        <v>Error?</v>
      </c>
    </row>
    <row r="1106" spans="1:4" x14ac:dyDescent="0.2">
      <c r="A1106" s="5">
        <v>1045</v>
      </c>
      <c r="B1106" s="1832">
        <f>'Expenditures 15-22'!K14</f>
        <v>320482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4826709</v>
      </c>
      <c r="C1108" s="2" t="s">
        <v>569</v>
      </c>
      <c r="D1108" s="2" t="str">
        <f t="shared" si="16"/>
        <v>Error?</v>
      </c>
    </row>
    <row r="1109" spans="1:4" x14ac:dyDescent="0.2">
      <c r="A1109" s="5">
        <v>1048</v>
      </c>
      <c r="B1109" s="1832">
        <f>'Expenditures 15-22'!K36</f>
        <v>48936</v>
      </c>
      <c r="C1109" s="2" t="s">
        <v>569</v>
      </c>
      <c r="D1109" s="2" t="str">
        <f t="shared" si="16"/>
        <v>Error?</v>
      </c>
    </row>
    <row r="1110" spans="1:4" x14ac:dyDescent="0.2">
      <c r="A1110" s="5">
        <v>1049</v>
      </c>
      <c r="B1110" s="1832">
        <f>'Expenditures 15-22'!K37</f>
        <v>81567</v>
      </c>
      <c r="C1110" s="2" t="s">
        <v>569</v>
      </c>
      <c r="D1110" s="2" t="str">
        <f t="shared" si="16"/>
        <v>Error?</v>
      </c>
    </row>
    <row r="1111" spans="1:4" x14ac:dyDescent="0.2">
      <c r="A1111" s="5">
        <v>1050</v>
      </c>
      <c r="B1111" s="1832">
        <f>'Expenditures 15-22'!K38</f>
        <v>91732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128620</v>
      </c>
      <c r="C1113" s="2" t="s">
        <v>569</v>
      </c>
      <c r="D1113" s="2" t="str">
        <f t="shared" si="16"/>
        <v>Error?</v>
      </c>
    </row>
    <row r="1114" spans="1:4" x14ac:dyDescent="0.2">
      <c r="A1114" s="5">
        <v>1053</v>
      </c>
      <c r="B1114" s="1832">
        <f>'Expenditures 15-22'!K41</f>
        <v>1157</v>
      </c>
      <c r="C1114" s="2" t="s">
        <v>569</v>
      </c>
      <c r="D1114" s="2" t="str">
        <f t="shared" si="16"/>
        <v>Error?</v>
      </c>
    </row>
    <row r="1115" spans="1:4" x14ac:dyDescent="0.2">
      <c r="A1115" s="5">
        <v>1054</v>
      </c>
      <c r="B1115" s="1832">
        <f>'Expenditures 15-22'!K42</f>
        <v>352012</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96798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96798</v>
      </c>
      <c r="C1119" s="2" t="s">
        <v>569</v>
      </c>
      <c r="D1119" s="2" t="str">
        <f t="shared" si="16"/>
        <v>Error?</v>
      </c>
    </row>
    <row r="1120" spans="1:4" x14ac:dyDescent="0.2">
      <c r="A1120" s="5">
        <v>1059</v>
      </c>
      <c r="B1120" s="1832">
        <f>'Expenditures 15-22'!K49</f>
        <v>36723</v>
      </c>
      <c r="C1120" s="2" t="s">
        <v>569</v>
      </c>
      <c r="D1120" s="2" t="str">
        <f t="shared" si="16"/>
        <v>Error?</v>
      </c>
    </row>
    <row r="1121" spans="1:4" x14ac:dyDescent="0.2">
      <c r="A1121" s="5">
        <v>1060</v>
      </c>
      <c r="B1121" s="1832">
        <f>'Expenditures 15-22'!K50</f>
        <v>158134</v>
      </c>
      <c r="C1121" s="2" t="s">
        <v>569</v>
      </c>
      <c r="D1121" s="2" t="str">
        <f t="shared" si="16"/>
        <v>Error?</v>
      </c>
    </row>
    <row r="1122" spans="1:4" x14ac:dyDescent="0.2">
      <c r="A1122" s="5">
        <v>1061</v>
      </c>
      <c r="B1122" s="1832">
        <f>'Expenditures 15-22'!K53</f>
        <v>194857</v>
      </c>
      <c r="C1122" s="2" t="s">
        <v>569</v>
      </c>
      <c r="D1122" s="2" t="str">
        <f t="shared" si="16"/>
        <v>Error?</v>
      </c>
    </row>
    <row r="1123" spans="1:4" x14ac:dyDescent="0.2">
      <c r="A1123" s="5">
        <v>1062</v>
      </c>
      <c r="B1123" s="1832">
        <f>'Expenditures 15-22'!K55</f>
        <v>447534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447534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49174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368445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417619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1508820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266131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6601660</v>
      </c>
      <c r="C1152" s="2" t="s">
        <v>569</v>
      </c>
      <c r="D1152" s="2" t="str">
        <f t="shared" si="17"/>
        <v>Error?</v>
      </c>
    </row>
    <row r="1153" spans="1:4" x14ac:dyDescent="0.2">
      <c r="A1153" s="5">
        <v>1092</v>
      </c>
      <c r="B1153" s="1832">
        <f>'Expenditures 15-22'!K115</f>
        <v>227558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299081</v>
      </c>
      <c r="D1221" s="2" t="str">
        <f t="shared" si="18"/>
        <v>Error?</v>
      </c>
    </row>
    <row r="1222" spans="1:4" x14ac:dyDescent="0.2">
      <c r="A1222" s="10">
        <v>1161</v>
      </c>
      <c r="B1222" s="1832"/>
      <c r="D1222" s="2" t="str">
        <f t="shared" si="18"/>
        <v>OK</v>
      </c>
    </row>
    <row r="1223" spans="1:4" x14ac:dyDescent="0.2">
      <c r="A1223" s="5">
        <v>1162</v>
      </c>
      <c r="B1223" s="1832">
        <f>'Expenditures 15-22'!C127</f>
        <v>299081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299081</v>
      </c>
      <c r="C1225" s="2" t="s">
        <v>569</v>
      </c>
      <c r="D1225" s="2" t="str">
        <f t="shared" si="18"/>
        <v>Error?</v>
      </c>
    </row>
    <row r="1226" spans="1:4" x14ac:dyDescent="0.2">
      <c r="A1226" s="5">
        <v>1165</v>
      </c>
      <c r="B1226" s="1832">
        <f>'Expenditures 15-22'!C151</f>
        <v>299081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47214</v>
      </c>
      <c r="D1229" s="2" t="str">
        <f t="shared" si="18"/>
        <v>Error?</v>
      </c>
    </row>
    <row r="1230" spans="1:4" x14ac:dyDescent="0.2">
      <c r="A1230" s="10">
        <v>1169</v>
      </c>
      <c r="B1230" s="1832"/>
      <c r="D1230" s="2" t="str">
        <f t="shared" si="18"/>
        <v>OK</v>
      </c>
    </row>
    <row r="1231" spans="1:4" x14ac:dyDescent="0.2">
      <c r="A1231" s="5">
        <v>1170</v>
      </c>
      <c r="B1231" s="1832">
        <f>'Expenditures 15-22'!D127</f>
        <v>47214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47214</v>
      </c>
      <c r="C1233" s="2" t="s">
        <v>569</v>
      </c>
      <c r="D1233" s="2" t="str">
        <f t="shared" si="18"/>
        <v>Error?</v>
      </c>
    </row>
    <row r="1234" spans="1:4" x14ac:dyDescent="0.2">
      <c r="A1234" s="5">
        <v>1173</v>
      </c>
      <c r="B1234" s="1832">
        <f>'Expenditures 15-22'!D151</f>
        <v>47214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162938</v>
      </c>
      <c r="D1237" s="2" t="str">
        <f t="shared" si="18"/>
        <v>Error?</v>
      </c>
    </row>
    <row r="1238" spans="1:4" x14ac:dyDescent="0.2">
      <c r="A1238" s="10">
        <v>1177</v>
      </c>
      <c r="B1238" s="1832"/>
      <c r="D1238" s="2" t="str">
        <f t="shared" si="18"/>
        <v>OK</v>
      </c>
    </row>
    <row r="1239" spans="1:4" x14ac:dyDescent="0.2">
      <c r="A1239" s="5">
        <v>1178</v>
      </c>
      <c r="B1239" s="1832">
        <f>'Expenditures 15-22'!E127</f>
        <v>162938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162938</v>
      </c>
      <c r="C1241" s="2" t="s">
        <v>569</v>
      </c>
      <c r="D1241" s="2" t="str">
        <f t="shared" si="18"/>
        <v>Error?</v>
      </c>
    </row>
    <row r="1242" spans="1:4" x14ac:dyDescent="0.2">
      <c r="A1242" s="5">
        <v>1181</v>
      </c>
      <c r="B1242" s="1832">
        <f>'Expenditures 15-22'!E151</f>
        <v>162938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116434</v>
      </c>
      <c r="D1245" s="2" t="str">
        <f t="shared" si="18"/>
        <v>Error?</v>
      </c>
    </row>
    <row r="1246" spans="1:4" x14ac:dyDescent="0.2">
      <c r="A1246" s="10">
        <v>1185</v>
      </c>
      <c r="B1246" s="1832"/>
      <c r="D1246" s="2" t="str">
        <f t="shared" si="18"/>
        <v>OK</v>
      </c>
    </row>
    <row r="1247" spans="1:4" x14ac:dyDescent="0.2">
      <c r="A1247" s="5">
        <v>1186</v>
      </c>
      <c r="B1247" s="1832">
        <f>'Expenditures 15-22'!F127</f>
        <v>116434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116434</v>
      </c>
      <c r="C1249" s="2" t="s">
        <v>569</v>
      </c>
      <c r="D1249" s="2" t="str">
        <f t="shared" si="18"/>
        <v>Error?</v>
      </c>
    </row>
    <row r="1250" spans="1:4" x14ac:dyDescent="0.2">
      <c r="A1250" s="5">
        <v>1189</v>
      </c>
      <c r="B1250" s="1832">
        <f>'Expenditures 15-22'!F151</f>
        <v>116434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23836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23836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23836</v>
      </c>
      <c r="C1258" s="2" t="s">
        <v>569</v>
      </c>
      <c r="D1258" s="2" t="str">
        <f t="shared" si="18"/>
        <v>Error?</v>
      </c>
    </row>
    <row r="1259" spans="1:4" x14ac:dyDescent="0.2">
      <c r="A1259" s="5">
        <v>1198</v>
      </c>
      <c r="B1259" s="1832">
        <f>'Expenditures 15-22'!G151</f>
        <v>23836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649503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649503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649503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649503</v>
      </c>
      <c r="C1288" s="2" t="s">
        <v>569</v>
      </c>
      <c r="D1288" s="2" t="str">
        <f t="shared" si="19"/>
        <v>Error?</v>
      </c>
    </row>
    <row r="1289" spans="1:4" x14ac:dyDescent="0.2">
      <c r="A1289" s="5">
        <v>1228</v>
      </c>
      <c r="B1289" s="1832">
        <f>'Expenditures 15-22'!K152</f>
        <v>55885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5863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295000</v>
      </c>
      <c r="D1315" s="2" t="str">
        <f t="shared" si="19"/>
        <v>Error?</v>
      </c>
    </row>
    <row r="1316" spans="1:4" x14ac:dyDescent="0.2">
      <c r="A1316" s="5">
        <v>1255</v>
      </c>
      <c r="B1316" s="1832">
        <f>'Expenditures 15-22'!H171</f>
        <v>371</v>
      </c>
      <c r="D1316" s="2" t="str">
        <f t="shared" si="19"/>
        <v>Error?</v>
      </c>
    </row>
    <row r="1317" spans="1:4" x14ac:dyDescent="0.2">
      <c r="A1317" s="5">
        <v>1256</v>
      </c>
      <c r="B1317" s="1832">
        <f>'Expenditures 15-22'!H172</f>
        <v>301234</v>
      </c>
      <c r="C1317" s="2" t="s">
        <v>569</v>
      </c>
      <c r="D1317" s="2" t="str">
        <f t="shared" si="19"/>
        <v>Error?</v>
      </c>
    </row>
    <row r="1318" spans="1:4" x14ac:dyDescent="0.2">
      <c r="A1318" s="5">
        <v>1257</v>
      </c>
      <c r="B1318" s="1832">
        <f>'Expenditures 15-22'!H174</f>
        <v>301234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5863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295000</v>
      </c>
      <c r="C1329" s="2" t="s">
        <v>569</v>
      </c>
      <c r="D1329" s="2" t="str">
        <f t="shared" si="19"/>
        <v>Error?</v>
      </c>
    </row>
    <row r="1330" spans="1:4" x14ac:dyDescent="0.2">
      <c r="A1330" s="5">
        <v>1269</v>
      </c>
      <c r="B1330" s="1832">
        <f>'Expenditures 15-22'!K171</f>
        <v>371</v>
      </c>
      <c r="C1330" s="2" t="s">
        <v>569</v>
      </c>
      <c r="D1330" s="2" t="str">
        <f t="shared" si="19"/>
        <v>Error?</v>
      </c>
    </row>
    <row r="1331" spans="1:4" x14ac:dyDescent="0.2">
      <c r="A1331" s="5">
        <v>1270</v>
      </c>
      <c r="B1331" s="1832">
        <f>'Expenditures 15-22'!K172</f>
        <v>301234</v>
      </c>
      <c r="C1331" s="2" t="s">
        <v>569</v>
      </c>
      <c r="D1331" s="2" t="str">
        <f t="shared" si="19"/>
        <v>Error?</v>
      </c>
    </row>
    <row r="1332" spans="1:4" x14ac:dyDescent="0.2">
      <c r="A1332" s="5">
        <v>1271</v>
      </c>
      <c r="B1332" s="1832">
        <f>'Expenditures 15-22'!K174</f>
        <v>301234</v>
      </c>
      <c r="C1332" s="2" t="s">
        <v>569</v>
      </c>
      <c r="D1332" s="2" t="str">
        <f t="shared" si="19"/>
        <v>Error?</v>
      </c>
    </row>
    <row r="1333" spans="1:4" x14ac:dyDescent="0.2">
      <c r="A1333" s="5">
        <v>1272</v>
      </c>
      <c r="B1333" s="1832">
        <f>'Expenditures 15-22'!K175</f>
        <v>107427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329883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329883</v>
      </c>
      <c r="C1339" s="2" t="s">
        <v>569</v>
      </c>
      <c r="D1339" s="2" t="str">
        <f t="shared" si="19"/>
        <v>Error?</v>
      </c>
    </row>
    <row r="1340" spans="1:4" x14ac:dyDescent="0.2">
      <c r="A1340" s="5">
        <v>1279</v>
      </c>
      <c r="B1340" s="1832">
        <f>'Expenditures 15-22'!C210</f>
        <v>329883</v>
      </c>
      <c r="C1340" s="2" t="s">
        <v>569</v>
      </c>
      <c r="D1340" s="2" t="str">
        <f t="shared" si="19"/>
        <v>Error?</v>
      </c>
    </row>
    <row r="1341" spans="1:4" x14ac:dyDescent="0.2">
      <c r="A1341" s="5">
        <v>1280</v>
      </c>
      <c r="B1341" s="1832">
        <f>'Expenditures 15-22'!D182</f>
        <v>26967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26967</v>
      </c>
      <c r="C1345" s="2" t="s">
        <v>569</v>
      </c>
      <c r="D1345" s="2" t="str">
        <f t="shared" si="20"/>
        <v>Error?</v>
      </c>
    </row>
    <row r="1346" spans="1:4" x14ac:dyDescent="0.2">
      <c r="A1346" s="5">
        <v>1285</v>
      </c>
      <c r="B1346" s="1832">
        <f>'Expenditures 15-22'!D210</f>
        <v>26967</v>
      </c>
      <c r="C1346" s="2" t="s">
        <v>569</v>
      </c>
      <c r="D1346" s="2" t="str">
        <f t="shared" si="20"/>
        <v>Error?</v>
      </c>
    </row>
    <row r="1347" spans="1:4" x14ac:dyDescent="0.2">
      <c r="A1347" s="5">
        <v>1286</v>
      </c>
      <c r="B1347" s="1832">
        <f>'Expenditures 15-22'!E182</f>
        <v>6787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6787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6787</v>
      </c>
      <c r="C1353" s="2" t="s">
        <v>569</v>
      </c>
      <c r="D1353" s="2" t="str">
        <f t="shared" si="20"/>
        <v>Error?</v>
      </c>
    </row>
    <row r="1354" spans="1:4" x14ac:dyDescent="0.2">
      <c r="A1354" s="5">
        <v>1293</v>
      </c>
      <c r="B1354" s="1832">
        <f>'Expenditures 15-22'!F182</f>
        <v>119265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119265</v>
      </c>
      <c r="C1358" s="2" t="s">
        <v>569</v>
      </c>
      <c r="D1358" s="2" t="str">
        <f t="shared" si="20"/>
        <v>Error?</v>
      </c>
    </row>
    <row r="1359" spans="1:4" x14ac:dyDescent="0.2">
      <c r="A1359" s="5">
        <v>1298</v>
      </c>
      <c r="B1359" s="1832">
        <f>'Expenditures 15-22'!F210</f>
        <v>119265</v>
      </c>
      <c r="C1359" s="2" t="s">
        <v>569</v>
      </c>
      <c r="D1359" s="2" t="str">
        <f t="shared" si="20"/>
        <v>Error?</v>
      </c>
    </row>
    <row r="1360" spans="1:4" x14ac:dyDescent="0.2">
      <c r="A1360" s="5">
        <v>1299</v>
      </c>
      <c r="B1360" s="1832">
        <f>'Expenditures 15-22'!G182</f>
        <v>189627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189627</v>
      </c>
      <c r="C1364" s="2" t="s">
        <v>569</v>
      </c>
      <c r="D1364" s="2" t="str">
        <f t="shared" si="20"/>
        <v>Error?</v>
      </c>
    </row>
    <row r="1365" spans="1:4" x14ac:dyDescent="0.2">
      <c r="A1365" s="5">
        <v>1304</v>
      </c>
      <c r="B1365" s="1832">
        <f>'Expenditures 15-22'!G210</f>
        <v>189627</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672529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672529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672529</v>
      </c>
      <c r="C1388" s="2" t="s">
        <v>569</v>
      </c>
      <c r="D1388" s="2" t="str">
        <f t="shared" si="20"/>
        <v>Error?</v>
      </c>
    </row>
    <row r="1389" spans="1:4" x14ac:dyDescent="0.2">
      <c r="A1389" s="5">
        <v>1328</v>
      </c>
      <c r="B1389" s="1832">
        <f>'Expenditures 15-22'!K211</f>
        <v>-46237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3378</v>
      </c>
      <c r="D1407" s="2" t="str">
        <f t="shared" ref="D1407:D1470" si="21">IF(ISBLANK(B1407),"OK",IF(A1407-B1407=0,"OK","Error?"))</f>
        <v>Error?</v>
      </c>
    </row>
    <row r="1408" spans="1:4" x14ac:dyDescent="0.2">
      <c r="A1408" s="5">
        <v>1347</v>
      </c>
      <c r="B1408" s="1832">
        <f>'Expenditures 15-22'!D223</f>
        <v>9470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122406</v>
      </c>
      <c r="C1410" s="2" t="s">
        <v>569</v>
      </c>
      <c r="D1410" s="2" t="str">
        <f t="shared" si="21"/>
        <v>Error?</v>
      </c>
    </row>
    <row r="1411" spans="1:4" x14ac:dyDescent="0.2">
      <c r="A1411" s="5">
        <v>1350</v>
      </c>
      <c r="B1411" s="1832">
        <f>'Expenditures 15-22'!D232</f>
        <v>518</v>
      </c>
      <c r="D1411" s="2" t="str">
        <f t="shared" si="21"/>
        <v>Error?</v>
      </c>
    </row>
    <row r="1412" spans="1:4" x14ac:dyDescent="0.2">
      <c r="A1412" s="5">
        <v>1351</v>
      </c>
      <c r="B1412" s="1832">
        <f>'Expenditures 15-22'!D233</f>
        <v>700</v>
      </c>
      <c r="D1412" s="2" t="str">
        <f t="shared" si="21"/>
        <v>Error?</v>
      </c>
    </row>
    <row r="1413" spans="1:4" x14ac:dyDescent="0.2">
      <c r="A1413" s="5">
        <v>1352</v>
      </c>
      <c r="B1413" s="1832">
        <f>'Expenditures 15-22'!D234</f>
        <v>2645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1449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5312</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3475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3475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1935</v>
      </c>
      <c r="D1423" s="2" t="str">
        <f t="shared" si="21"/>
        <v>Error?</v>
      </c>
    </row>
    <row r="1424" spans="1:4" x14ac:dyDescent="0.2">
      <c r="A1424" s="5">
        <v>1363</v>
      </c>
      <c r="B1424" s="1832">
        <f>'Expenditures 15-22'!D257</f>
        <v>1935</v>
      </c>
      <c r="C1424" s="2" t="s">
        <v>569</v>
      </c>
      <c r="D1424" s="2" t="str">
        <f t="shared" si="21"/>
        <v>Error?</v>
      </c>
    </row>
    <row r="1425" spans="1:4" x14ac:dyDescent="0.2">
      <c r="A1425" s="5">
        <v>1364</v>
      </c>
      <c r="B1425" s="1832">
        <f>'Expenditures 15-22'!D259</f>
        <v>22038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22038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4733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48460</v>
      </c>
      <c r="D1431" s="2" t="str">
        <f t="shared" si="21"/>
        <v>Error?</v>
      </c>
    </row>
    <row r="1432" spans="1:4" x14ac:dyDescent="0.2">
      <c r="A1432" s="5">
        <v>1371</v>
      </c>
      <c r="B1432" s="1832">
        <f>'Expenditures 15-22'!D267</f>
        <v>44923</v>
      </c>
      <c r="D1432" s="2" t="str">
        <f t="shared" si="21"/>
        <v>Error?</v>
      </c>
    </row>
    <row r="1433" spans="1:4" x14ac:dyDescent="0.2">
      <c r="A1433" s="5">
        <v>1372</v>
      </c>
      <c r="B1433" s="1832">
        <f>'Expenditures 15-22'!D268</f>
        <v>27206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125322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158082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280488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3378</v>
      </c>
      <c r="C1471" s="2" t="s">
        <v>569</v>
      </c>
      <c r="D1471" s="2" t="str">
        <f t="shared" ref="D1471:D1534" si="22">IF(ISBLANK(B1471),"OK",IF(A1471-B1471=0,"OK","Error?"))</f>
        <v>Error?</v>
      </c>
    </row>
    <row r="1472" spans="1:4" x14ac:dyDescent="0.2">
      <c r="A1472" s="5">
        <v>1411</v>
      </c>
      <c r="B1472" s="1832">
        <f>'Expenditures 15-22'!K223</f>
        <v>9470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122406</v>
      </c>
      <c r="C1474" s="2" t="s">
        <v>569</v>
      </c>
      <c r="D1474" s="2" t="str">
        <f t="shared" si="22"/>
        <v>Error?</v>
      </c>
    </row>
    <row r="1475" spans="1:4" x14ac:dyDescent="0.2">
      <c r="A1475" s="5">
        <v>1414</v>
      </c>
      <c r="B1475" s="1832">
        <f>'Expenditures 15-22'!K232</f>
        <v>518</v>
      </c>
      <c r="C1475" s="2" t="s">
        <v>569</v>
      </c>
      <c r="D1475" s="2" t="str">
        <f t="shared" si="22"/>
        <v>Error?</v>
      </c>
    </row>
    <row r="1476" spans="1:4" x14ac:dyDescent="0.2">
      <c r="A1476" s="5">
        <v>1415</v>
      </c>
      <c r="B1476" s="1832">
        <f>'Expenditures 15-22'!K233</f>
        <v>700</v>
      </c>
      <c r="C1476" s="2" t="s">
        <v>569</v>
      </c>
      <c r="D1476" s="2" t="str">
        <f t="shared" si="22"/>
        <v>Error?</v>
      </c>
    </row>
    <row r="1477" spans="1:4" x14ac:dyDescent="0.2">
      <c r="A1477" s="5">
        <v>1416</v>
      </c>
      <c r="B1477" s="1832">
        <f>'Expenditures 15-22'!K234</f>
        <v>2645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1449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5312</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3475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3475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1935</v>
      </c>
      <c r="C1487" s="2" t="s">
        <v>569</v>
      </c>
      <c r="D1487" s="2" t="str">
        <f t="shared" si="22"/>
        <v>Error?</v>
      </c>
    </row>
    <row r="1488" spans="1:4" x14ac:dyDescent="0.2">
      <c r="A1488" s="5">
        <v>1427</v>
      </c>
      <c r="B1488" s="1832">
        <f>'Expenditures 15-22'!K257</f>
        <v>1935</v>
      </c>
      <c r="C1488" s="2" t="s">
        <v>569</v>
      </c>
      <c r="D1488" s="2" t="str">
        <f t="shared" si="22"/>
        <v>Error?</v>
      </c>
    </row>
    <row r="1489" spans="1:4" x14ac:dyDescent="0.2">
      <c r="A1489" s="5">
        <v>1428</v>
      </c>
      <c r="B1489" s="1832">
        <f>'Expenditures 15-22'!K259</f>
        <v>22038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22038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4733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48460</v>
      </c>
      <c r="C1495" s="2" t="s">
        <v>569</v>
      </c>
      <c r="D1495" s="2" t="str">
        <f t="shared" si="22"/>
        <v>Error?</v>
      </c>
    </row>
    <row r="1496" spans="1:4" x14ac:dyDescent="0.2">
      <c r="A1496" s="5">
        <v>1435</v>
      </c>
      <c r="B1496" s="1832">
        <f>'Expenditures 15-22'!K267</f>
        <v>44923</v>
      </c>
      <c r="C1496" s="2" t="s">
        <v>569</v>
      </c>
      <c r="D1496" s="2" t="str">
        <f t="shared" si="22"/>
        <v>Error?</v>
      </c>
    </row>
    <row r="1497" spans="1:4" x14ac:dyDescent="0.2">
      <c r="A1497" s="5">
        <v>1436</v>
      </c>
      <c r="B1497" s="1832">
        <f>'Expenditures 15-22'!K268</f>
        <v>27206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125322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158082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280488</v>
      </c>
      <c r="C1517" s="2" t="s">
        <v>569</v>
      </c>
      <c r="D1517" s="2" t="str">
        <f t="shared" si="22"/>
        <v>Error?</v>
      </c>
    </row>
    <row r="1518" spans="1:4" x14ac:dyDescent="0.2">
      <c r="A1518" s="5">
        <v>1457</v>
      </c>
      <c r="B1518" s="1832">
        <f>'Expenditures 15-22'!K296</f>
        <v>34609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5946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5946</v>
      </c>
      <c r="C1535" s="2" t="s">
        <v>569</v>
      </c>
      <c r="D1535" s="2" t="str">
        <f t="shared" ref="D1535:D1598" si="23">IF(ISBLANK(B1535),"OK",IF(A1535-B1535=0,"OK","Error?"))</f>
        <v>Error?</v>
      </c>
    </row>
    <row r="1536" spans="1:4" x14ac:dyDescent="0.2">
      <c r="A1536" s="5">
        <v>1475</v>
      </c>
      <c r="B1536" s="1832">
        <f>'Expenditures 15-22'!E312</f>
        <v>5946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56252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56252</v>
      </c>
      <c r="C1547" s="2" t="s">
        <v>569</v>
      </c>
      <c r="D1547" s="2" t="str">
        <f t="shared" si="23"/>
        <v>Error?</v>
      </c>
    </row>
    <row r="1548" spans="1:4" x14ac:dyDescent="0.2">
      <c r="A1548" s="5">
        <v>1487</v>
      </c>
      <c r="B1548" s="1832">
        <f>'Expenditures 15-22'!G312</f>
        <v>56252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62198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62198</v>
      </c>
      <c r="C1559" s="2" t="s">
        <v>569</v>
      </c>
      <c r="D1559" s="2" t="str">
        <f t="shared" si="23"/>
        <v>Error?</v>
      </c>
    </row>
    <row r="1560" spans="1:4" x14ac:dyDescent="0.2">
      <c r="A1560" s="5">
        <v>1499</v>
      </c>
      <c r="B1560" s="1832">
        <f>'Expenditures 15-22'!K312</f>
        <v>62198</v>
      </c>
      <c r="C1560" s="2" t="s">
        <v>569</v>
      </c>
      <c r="D1560" s="2" t="str">
        <f t="shared" si="23"/>
        <v>Error?</v>
      </c>
    </row>
    <row r="1561" spans="1:4" x14ac:dyDescent="0.2">
      <c r="A1561" s="5">
        <v>1500</v>
      </c>
      <c r="B1561" s="1832">
        <f>'Expenditures 15-22'!K313</f>
        <v>157884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1628841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1856399</v>
      </c>
      <c r="C1630" s="2" t="s">
        <v>569</v>
      </c>
      <c r="D1630" s="2" t="str">
        <f t="shared" si="24"/>
        <v>Error?</v>
      </c>
    </row>
    <row r="1631" spans="1:4" x14ac:dyDescent="0.2">
      <c r="A1631" s="5">
        <v>1570</v>
      </c>
      <c r="B1631" s="1832">
        <f>'Acct Summary 7-8'!D79</f>
        <v>4712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60597</v>
      </c>
      <c r="C1644" s="2" t="s">
        <v>569</v>
      </c>
      <c r="D1644" s="2" t="str">
        <f t="shared" si="24"/>
        <v>Error?</v>
      </c>
    </row>
    <row r="1645" spans="1:4" x14ac:dyDescent="0.2">
      <c r="A1645" s="5">
        <v>1584</v>
      </c>
      <c r="B1645" s="1832">
        <f>'Acct Summary 7-8'!E79</f>
        <v>435149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542576</v>
      </c>
      <c r="C1658" s="2" t="s">
        <v>569</v>
      </c>
      <c r="D1658" s="2" t="str">
        <f t="shared" si="24"/>
        <v>Error?</v>
      </c>
    </row>
    <row r="1659" spans="1:4" x14ac:dyDescent="0.2">
      <c r="A1659" s="5">
        <v>1598</v>
      </c>
      <c r="B1659" s="1832">
        <f>'Acct Summary 7-8'!F79</f>
        <v>51973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5736</v>
      </c>
      <c r="C1672" s="2" t="s">
        <v>569</v>
      </c>
      <c r="D1672" s="2" t="str">
        <f t="shared" si="25"/>
        <v>Error?</v>
      </c>
    </row>
    <row r="1673" spans="1:4" x14ac:dyDescent="0.2">
      <c r="A1673" s="5">
        <v>1612</v>
      </c>
      <c r="B1673" s="1832">
        <f>'Acct Summary 7-8'!G79</f>
        <v>276592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311201</v>
      </c>
      <c r="C1686" s="2" t="s">
        <v>569</v>
      </c>
      <c r="D1686" s="2" t="str">
        <f t="shared" si="25"/>
        <v>Error?</v>
      </c>
    </row>
    <row r="1687" spans="1:4" x14ac:dyDescent="0.2">
      <c r="A1687" s="5">
        <v>1626</v>
      </c>
      <c r="B1687" s="1832">
        <f>'Acct Summary 7-8'!H79</f>
        <v>295541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453425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1460638</v>
      </c>
      <c r="C1744" s="2" t="s">
        <v>569</v>
      </c>
      <c r="D1744" s="2" t="str">
        <f t="shared" si="26"/>
        <v>Error?</v>
      </c>
    </row>
    <row r="1745" spans="1:5" x14ac:dyDescent="0.2">
      <c r="A1745" s="5">
        <v>1684</v>
      </c>
      <c r="B1745" s="1832">
        <f>'Tax Sched 23'!B5</f>
        <v>396913</v>
      </c>
      <c r="C1745" s="2" t="s">
        <v>569</v>
      </c>
      <c r="D1745" s="2" t="str">
        <f t="shared" si="26"/>
        <v>Error?</v>
      </c>
    </row>
    <row r="1746" spans="1:5" x14ac:dyDescent="0.2">
      <c r="A1746" s="5">
        <v>1685</v>
      </c>
      <c r="B1746" s="1832">
        <f>'Tax Sched 23'!B6</f>
        <v>299851</v>
      </c>
      <c r="C1746" s="2" t="s">
        <v>569</v>
      </c>
      <c r="D1746" s="2" t="str">
        <f t="shared" si="26"/>
        <v>Error?</v>
      </c>
    </row>
    <row r="1747" spans="1:5" x14ac:dyDescent="0.2">
      <c r="A1747" s="5">
        <v>1686</v>
      </c>
      <c r="B1747" s="1832">
        <f>'Tax Sched 23'!B7</f>
        <v>158765</v>
      </c>
      <c r="C1747" s="2" t="s">
        <v>569</v>
      </c>
      <c r="D1747" s="2" t="str">
        <f t="shared" si="26"/>
        <v>Error?</v>
      </c>
    </row>
    <row r="1748" spans="1:5" x14ac:dyDescent="0.2">
      <c r="A1748" s="5">
        <v>1687</v>
      </c>
      <c r="B1748" s="1832">
        <f>'Tax Sched 23'!B8</f>
        <v>99784</v>
      </c>
      <c r="C1748" s="2" t="s">
        <v>569</v>
      </c>
      <c r="D1748" s="2" t="str">
        <f t="shared" si="26"/>
        <v>Error?</v>
      </c>
    </row>
    <row r="1749" spans="1:5" x14ac:dyDescent="0.2">
      <c r="A1749" s="5">
        <v>1688</v>
      </c>
      <c r="B1749" s="1832">
        <f>'Tax Sched 23'!B10</f>
        <v>39691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209905</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31753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2937077</v>
      </c>
      <c r="C1759" s="2" t="s">
        <v>569</v>
      </c>
      <c r="D1759" s="2" t="str">
        <f t="shared" si="26"/>
        <v>Error?</v>
      </c>
    </row>
    <row r="1760" spans="1:5" x14ac:dyDescent="0.2">
      <c r="A1760" s="5">
        <v>1699</v>
      </c>
      <c r="B1760" s="1832">
        <f>'Tax Sched 23'!D4</f>
        <v>1460638</v>
      </c>
      <c r="C1760" s="2" t="s">
        <v>569</v>
      </c>
      <c r="D1760" s="2" t="str">
        <f t="shared" si="26"/>
        <v>Error?</v>
      </c>
    </row>
    <row r="1761" spans="1:7" x14ac:dyDescent="0.2">
      <c r="A1761" s="5">
        <v>1700</v>
      </c>
      <c r="B1761" s="1832">
        <f>'Tax Sched 23'!D5</f>
        <v>396913</v>
      </c>
      <c r="C1761" s="2" t="s">
        <v>569</v>
      </c>
      <c r="D1761" s="2" t="str">
        <f t="shared" si="26"/>
        <v>Error?</v>
      </c>
    </row>
    <row r="1762" spans="1:7" s="8" customFormat="1" x14ac:dyDescent="0.2">
      <c r="A1762" s="5">
        <v>1701</v>
      </c>
      <c r="B1762" s="1832">
        <f>'Tax Sched 23'!D6</f>
        <v>299851</v>
      </c>
      <c r="C1762" s="2" t="s">
        <v>569</v>
      </c>
      <c r="D1762" s="2" t="str">
        <f t="shared" si="26"/>
        <v>Error?</v>
      </c>
      <c r="E1762" s="9"/>
      <c r="G1762"/>
    </row>
    <row r="1763" spans="1:7" x14ac:dyDescent="0.2">
      <c r="A1763" s="5">
        <v>1702</v>
      </c>
      <c r="B1763" s="1832">
        <f>'Tax Sched 23'!D7</f>
        <v>158765</v>
      </c>
      <c r="C1763" s="2" t="s">
        <v>569</v>
      </c>
      <c r="D1763" s="2" t="str">
        <f t="shared" si="26"/>
        <v>Error?</v>
      </c>
    </row>
    <row r="1764" spans="1:7" x14ac:dyDescent="0.2">
      <c r="A1764" s="5">
        <v>1703</v>
      </c>
      <c r="B1764" s="1832">
        <f>'Tax Sched 23'!D8</f>
        <v>99784</v>
      </c>
      <c r="C1764" s="2" t="s">
        <v>569</v>
      </c>
      <c r="D1764" s="2" t="str">
        <f t="shared" si="26"/>
        <v>Error?</v>
      </c>
    </row>
    <row r="1765" spans="1:7" x14ac:dyDescent="0.2">
      <c r="A1765" s="5">
        <v>1704</v>
      </c>
      <c r="B1765" s="1832">
        <f>'Tax Sched 23'!D10</f>
        <v>39691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209905</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31753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2937077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1486409</v>
      </c>
      <c r="C1792" s="2" t="s">
        <v>569</v>
      </c>
      <c r="D1792" s="2" t="str">
        <f t="shared" si="27"/>
        <v>Error?</v>
      </c>
    </row>
    <row r="1793" spans="1:4" x14ac:dyDescent="0.2">
      <c r="A1793" s="5">
        <v>1732</v>
      </c>
      <c r="B1793" s="1832">
        <f>'Tax Sched 23'!F5</f>
        <v>403916</v>
      </c>
      <c r="C1793" s="2" t="s">
        <v>569</v>
      </c>
      <c r="D1793" s="2" t="str">
        <f t="shared" si="27"/>
        <v>Error?</v>
      </c>
    </row>
    <row r="1794" spans="1:4" x14ac:dyDescent="0.2">
      <c r="A1794" s="5">
        <v>1733</v>
      </c>
      <c r="B1794" s="1832">
        <f>'Tax Sched 23'!F6</f>
        <v>301216</v>
      </c>
      <c r="C1794" s="2" t="s">
        <v>569</v>
      </c>
      <c r="D1794" s="2" t="str">
        <f t="shared" si="27"/>
        <v>Error?</v>
      </c>
    </row>
    <row r="1795" spans="1:4" x14ac:dyDescent="0.2">
      <c r="A1795" s="5">
        <v>1734</v>
      </c>
      <c r="B1795" s="1832">
        <f>'Tax Sched 23'!F7</f>
        <v>161566</v>
      </c>
      <c r="C1795" s="2" t="s">
        <v>569</v>
      </c>
      <c r="D1795" s="2" t="str">
        <f t="shared" si="27"/>
        <v>Error?</v>
      </c>
    </row>
    <row r="1796" spans="1:4" x14ac:dyDescent="0.2">
      <c r="A1796" s="5">
        <v>1735</v>
      </c>
      <c r="B1796" s="1832">
        <f>'Tax Sched 23'!F8</f>
        <v>150006</v>
      </c>
      <c r="C1796" s="2" t="s">
        <v>569</v>
      </c>
      <c r="D1796" s="2" t="str">
        <f t="shared" si="27"/>
        <v>Error?</v>
      </c>
    </row>
    <row r="1797" spans="1:4" x14ac:dyDescent="0.2">
      <c r="A1797" s="5">
        <v>1736</v>
      </c>
      <c r="B1797" s="1832">
        <f>'Tax Sched 23'!F10</f>
        <v>40392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210000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32313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2976216</v>
      </c>
      <c r="C1807" s="2" t="s">
        <v>569</v>
      </c>
      <c r="D1807" s="2" t="str">
        <f t="shared" si="27"/>
        <v>Error?</v>
      </c>
    </row>
    <row r="1808" spans="1:4" x14ac:dyDescent="0.2">
      <c r="A1808" s="5">
        <v>1747</v>
      </c>
      <c r="B1808" s="1832">
        <f>'Tax Sched 23'!E4</f>
        <v>1486409</v>
      </c>
      <c r="D1808" s="2" t="str">
        <f t="shared" si="27"/>
        <v>Error?</v>
      </c>
    </row>
    <row r="1809" spans="1:4" x14ac:dyDescent="0.2">
      <c r="A1809" s="5">
        <v>1748</v>
      </c>
      <c r="B1809" s="1832">
        <f>'Tax Sched 23'!E5</f>
        <v>403916</v>
      </c>
      <c r="D1809" s="2" t="str">
        <f t="shared" si="27"/>
        <v>Error?</v>
      </c>
    </row>
    <row r="1810" spans="1:4" x14ac:dyDescent="0.2">
      <c r="A1810" s="5">
        <v>1749</v>
      </c>
      <c r="B1810" s="1832">
        <f>'Tax Sched 23'!E6</f>
        <v>301216</v>
      </c>
      <c r="D1810" s="2" t="str">
        <f t="shared" si="27"/>
        <v>Error?</v>
      </c>
    </row>
    <row r="1811" spans="1:4" x14ac:dyDescent="0.2">
      <c r="A1811" s="5">
        <v>1750</v>
      </c>
      <c r="B1811" s="1832">
        <f>'Tax Sched 23'!E7</f>
        <v>161566</v>
      </c>
      <c r="D1811" s="2" t="str">
        <f t="shared" si="27"/>
        <v>Error?</v>
      </c>
    </row>
    <row r="1812" spans="1:4" x14ac:dyDescent="0.2">
      <c r="A1812" s="5">
        <v>1751</v>
      </c>
      <c r="B1812" s="1832">
        <f>'Tax Sched 23'!E8</f>
        <v>150006</v>
      </c>
      <c r="D1812" s="2" t="str">
        <f t="shared" si="27"/>
        <v>Error?</v>
      </c>
    </row>
    <row r="1813" spans="1:4" x14ac:dyDescent="0.2">
      <c r="A1813" s="5">
        <v>1752</v>
      </c>
      <c r="B1813" s="1832">
        <f>'Tax Sched 23'!E10</f>
        <v>40392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210000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32313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2976216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1098907</v>
      </c>
      <c r="C1939" s="2" t="s">
        <v>569</v>
      </c>
      <c r="D1939" s="2" t="str">
        <f t="shared" si="29"/>
        <v>Error?</v>
      </c>
    </row>
    <row r="1940" spans="1:5" x14ac:dyDescent="0.2">
      <c r="A1940" s="5">
        <v>1879</v>
      </c>
      <c r="B1940" s="1832">
        <f>'Short-Term Long-Term Debt 24'!F49</f>
        <v>1800000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31753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31753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31753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122582</v>
      </c>
      <c r="D2008" s="2" t="str">
        <f t="shared" si="30"/>
        <v>Error?</v>
      </c>
    </row>
    <row r="2009" spans="1:4" x14ac:dyDescent="0.2">
      <c r="A2009" s="5">
        <v>1948</v>
      </c>
      <c r="B2009" s="1832">
        <f>'Cap Outlay Deprec 26'!C8</f>
        <v>9495991</v>
      </c>
      <c r="D2009" s="2" t="str">
        <f t="shared" si="30"/>
        <v>Error?</v>
      </c>
    </row>
    <row r="2010" spans="1:4" x14ac:dyDescent="0.2">
      <c r="A2010" s="5">
        <v>1949</v>
      </c>
      <c r="B2010" s="1832">
        <f>'Cap Outlay Deprec 26'!C10</f>
        <v>1000156</v>
      </c>
      <c r="D2010" s="2" t="str">
        <f t="shared" si="30"/>
        <v>Error?</v>
      </c>
    </row>
    <row r="2011" spans="1:4" x14ac:dyDescent="0.2">
      <c r="A2011" s="5">
        <v>1950</v>
      </c>
      <c r="B2011" s="1832">
        <f>'Cap Outlay Deprec 26'!C12</f>
        <v>539845</v>
      </c>
      <c r="D2011" s="2" t="str">
        <f t="shared" si="30"/>
        <v>Error?</v>
      </c>
    </row>
    <row r="2012" spans="1:4" x14ac:dyDescent="0.2">
      <c r="A2012" s="5">
        <v>1951</v>
      </c>
      <c r="B2012" s="1832">
        <f>'Cap Outlay Deprec 26'!C13</f>
        <v>1766662</v>
      </c>
      <c r="D2012" s="2" t="str">
        <f t="shared" si="30"/>
        <v>Error?</v>
      </c>
    </row>
    <row r="2013" spans="1:4" x14ac:dyDescent="0.2">
      <c r="A2013" s="5">
        <v>1952</v>
      </c>
      <c r="B2013" s="1832">
        <f>'Cap Outlay Deprec 26'!C16</f>
        <v>12925236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183220</v>
      </c>
      <c r="D2016" s="2" t="str">
        <f t="shared" si="30"/>
        <v>Error?</v>
      </c>
    </row>
    <row r="2017" spans="1:4" x14ac:dyDescent="0.2">
      <c r="A2017" s="5">
        <v>1956</v>
      </c>
      <c r="B2017" s="1832">
        <f>'Cap Outlay Deprec 26'!D12</f>
        <v>25700</v>
      </c>
      <c r="D2017" s="2" t="str">
        <f t="shared" si="30"/>
        <v>Error?</v>
      </c>
    </row>
    <row r="2018" spans="1:4" x14ac:dyDescent="0.2">
      <c r="A2018" s="5">
        <v>1957</v>
      </c>
      <c r="B2018" s="1832">
        <f>'Cap Outlay Deprec 26'!D13</f>
        <v>189627</v>
      </c>
      <c r="D2018" s="2" t="str">
        <f t="shared" si="30"/>
        <v>Error?</v>
      </c>
    </row>
    <row r="2019" spans="1:4" x14ac:dyDescent="0.2">
      <c r="A2019" s="5">
        <v>1958</v>
      </c>
      <c r="B2019" s="1832">
        <f>'Cap Outlay Deprec 26'!D16</f>
        <v>406047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213318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213318</v>
      </c>
      <c r="C2025" s="2" t="s">
        <v>569</v>
      </c>
      <c r="D2025" s="2" t="str">
        <f t="shared" si="30"/>
        <v>Error?</v>
      </c>
    </row>
    <row r="2026" spans="1:4" x14ac:dyDescent="0.2">
      <c r="A2026" s="5">
        <v>1965</v>
      </c>
      <c r="B2026" s="1832">
        <f>'Cap Outlay Deprec 26'!F5</f>
        <v>122582</v>
      </c>
      <c r="C2026" s="2" t="s">
        <v>569</v>
      </c>
      <c r="D2026" s="2" t="str">
        <f t="shared" si="30"/>
        <v>Error?</v>
      </c>
    </row>
    <row r="2027" spans="1:4" x14ac:dyDescent="0.2">
      <c r="A2027" s="5">
        <v>1966</v>
      </c>
      <c r="B2027" s="1832">
        <f>'Cap Outlay Deprec 26'!F8</f>
        <v>9495991</v>
      </c>
      <c r="C2027" s="2" t="s">
        <v>569</v>
      </c>
      <c r="D2027" s="2" t="str">
        <f t="shared" si="30"/>
        <v>Error?</v>
      </c>
    </row>
    <row r="2028" spans="1:4" x14ac:dyDescent="0.2">
      <c r="A2028" s="5">
        <v>1967</v>
      </c>
      <c r="B2028" s="1832">
        <f>'Cap Outlay Deprec 26'!F10</f>
        <v>1183376</v>
      </c>
      <c r="C2028" s="2" t="s">
        <v>569</v>
      </c>
      <c r="D2028" s="2" t="str">
        <f t="shared" si="30"/>
        <v>Error?</v>
      </c>
    </row>
    <row r="2029" spans="1:4" x14ac:dyDescent="0.2">
      <c r="A2029" s="5">
        <v>1968</v>
      </c>
      <c r="B2029" s="1832">
        <f>'Cap Outlay Deprec 26'!F12</f>
        <v>352227</v>
      </c>
      <c r="C2029" s="2" t="s">
        <v>569</v>
      </c>
      <c r="D2029" s="2" t="str">
        <f t="shared" si="30"/>
        <v>Error?</v>
      </c>
    </row>
    <row r="2030" spans="1:4" x14ac:dyDescent="0.2">
      <c r="A2030" s="5">
        <v>1969</v>
      </c>
      <c r="B2030" s="1832">
        <f>'Cap Outlay Deprec 26'!F13</f>
        <v>1956289</v>
      </c>
      <c r="C2030" s="2" t="s">
        <v>569</v>
      </c>
      <c r="D2030" s="2" t="str">
        <f t="shared" si="30"/>
        <v>Error?</v>
      </c>
    </row>
    <row r="2031" spans="1:4" x14ac:dyDescent="0.2">
      <c r="A2031" s="5">
        <v>1970</v>
      </c>
      <c r="B2031" s="1832">
        <f>'Cap Outlay Deprec 26'!F16</f>
        <v>13117965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5341029</v>
      </c>
      <c r="D2033" s="2" t="str">
        <f t="shared" si="30"/>
        <v>Error?</v>
      </c>
    </row>
    <row r="2034" spans="1:4" x14ac:dyDescent="0.2">
      <c r="A2034" s="5">
        <v>1973</v>
      </c>
      <c r="B2034" s="1832">
        <f>'Cap Outlay Deprec 26'!H10</f>
        <v>134179</v>
      </c>
      <c r="D2034" s="2" t="str">
        <f t="shared" si="30"/>
        <v>Error?</v>
      </c>
    </row>
    <row r="2035" spans="1:4" x14ac:dyDescent="0.2">
      <c r="A2035" s="5">
        <v>1974</v>
      </c>
      <c r="B2035" s="1832">
        <f>'Cap Outlay Deprec 26'!H12</f>
        <v>345809</v>
      </c>
      <c r="D2035" s="2" t="str">
        <f t="shared" si="30"/>
        <v>Error?</v>
      </c>
    </row>
    <row r="2036" spans="1:4" x14ac:dyDescent="0.2">
      <c r="A2036" s="5">
        <v>1975</v>
      </c>
      <c r="B2036" s="1832">
        <f>'Cap Outlay Deprec 26'!H13</f>
        <v>1616925</v>
      </c>
      <c r="D2036" s="2" t="str">
        <f t="shared" si="30"/>
        <v>Error?</v>
      </c>
    </row>
    <row r="2037" spans="1:4" x14ac:dyDescent="0.2">
      <c r="A2037" s="5">
        <v>1976</v>
      </c>
      <c r="B2037" s="1832">
        <f>'Cap Outlay Deprec 26'!H16</f>
        <v>7437942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189887</v>
      </c>
      <c r="D2039" s="2" t="str">
        <f t="shared" si="30"/>
        <v>Error?</v>
      </c>
    </row>
    <row r="2040" spans="1:4" x14ac:dyDescent="0.2">
      <c r="A2040" s="5">
        <v>1979</v>
      </c>
      <c r="B2040" s="1832">
        <f>'Cap Outlay Deprec 26'!I10</f>
        <v>21469</v>
      </c>
      <c r="D2040" s="2" t="str">
        <f t="shared" si="30"/>
        <v>Error?</v>
      </c>
    </row>
    <row r="2041" spans="1:4" x14ac:dyDescent="0.2">
      <c r="A2041" s="5">
        <v>1980</v>
      </c>
      <c r="B2041" s="1832">
        <f>'Cap Outlay Deprec 26'!I12</f>
        <v>56174</v>
      </c>
      <c r="D2041" s="2" t="str">
        <f t="shared" si="30"/>
        <v>Error?</v>
      </c>
    </row>
    <row r="2042" spans="1:4" x14ac:dyDescent="0.2">
      <c r="A2042" s="5">
        <v>1981</v>
      </c>
      <c r="B2042" s="1832">
        <f>'Cap Outlay Deprec 26'!I13</f>
        <v>88422</v>
      </c>
      <c r="D2042" s="2" t="str">
        <f t="shared" si="30"/>
        <v>Error?</v>
      </c>
    </row>
    <row r="2043" spans="1:4" x14ac:dyDescent="0.2">
      <c r="A2043" s="5">
        <v>1982</v>
      </c>
      <c r="B2043" s="1832">
        <f>'Cap Outlay Deprec 26'!I16</f>
        <v>355952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213318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213318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5530916</v>
      </c>
      <c r="C2051" s="2" t="s">
        <v>569</v>
      </c>
      <c r="D2051" s="2" t="str">
        <f t="shared" si="31"/>
        <v>Error?</v>
      </c>
    </row>
    <row r="2052" spans="1:4" x14ac:dyDescent="0.2">
      <c r="A2052" s="5">
        <v>1991</v>
      </c>
      <c r="B2052" s="1832">
        <f>'Cap Outlay Deprec 26'!K10</f>
        <v>155648</v>
      </c>
      <c r="C2052" s="2" t="s">
        <v>569</v>
      </c>
      <c r="D2052" s="2" t="str">
        <f t="shared" si="31"/>
        <v>Error?</v>
      </c>
    </row>
    <row r="2053" spans="1:4" x14ac:dyDescent="0.2">
      <c r="A2053" s="5">
        <v>1992</v>
      </c>
      <c r="B2053" s="1832">
        <f>'Cap Outlay Deprec 26'!K12</f>
        <v>188665</v>
      </c>
      <c r="C2053" s="2" t="s">
        <v>569</v>
      </c>
      <c r="D2053" s="2" t="str">
        <f t="shared" si="31"/>
        <v>Error?</v>
      </c>
    </row>
    <row r="2054" spans="1:4" x14ac:dyDescent="0.2">
      <c r="A2054" s="5">
        <v>1993</v>
      </c>
      <c r="B2054" s="1832">
        <f>'Cap Outlay Deprec 26'!K13</f>
        <v>1705347</v>
      </c>
      <c r="C2054" s="2" t="s">
        <v>569</v>
      </c>
      <c r="D2054" s="2" t="str">
        <f t="shared" si="31"/>
        <v>Error?</v>
      </c>
    </row>
    <row r="2055" spans="1:4" x14ac:dyDescent="0.2">
      <c r="A2055" s="5">
        <v>1994</v>
      </c>
      <c r="B2055" s="1832">
        <f>'Cap Outlay Deprec 26'!K16</f>
        <v>7580576</v>
      </c>
      <c r="C2055" s="2" t="s">
        <v>569</v>
      </c>
      <c r="D2055" s="2" t="str">
        <f t="shared" si="31"/>
        <v>Error?</v>
      </c>
    </row>
    <row r="2056" spans="1:4" x14ac:dyDescent="0.2">
      <c r="A2056" s="5">
        <v>1995</v>
      </c>
      <c r="B2056" s="1832">
        <f>'Cap Outlay Deprec 26'!L5</f>
        <v>122582</v>
      </c>
      <c r="C2056" s="2" t="s">
        <v>569</v>
      </c>
      <c r="D2056" s="2" t="str">
        <f t="shared" si="31"/>
        <v>Error?</v>
      </c>
    </row>
    <row r="2057" spans="1:4" x14ac:dyDescent="0.2">
      <c r="A2057" s="5">
        <v>1996</v>
      </c>
      <c r="B2057" s="1832">
        <f>'Cap Outlay Deprec 26'!L8</f>
        <v>3965075</v>
      </c>
      <c r="C2057" s="2" t="s">
        <v>569</v>
      </c>
      <c r="D2057" s="2" t="str">
        <f t="shared" si="31"/>
        <v>Error?</v>
      </c>
    </row>
    <row r="2058" spans="1:4" x14ac:dyDescent="0.2">
      <c r="A2058" s="5">
        <v>1997</v>
      </c>
      <c r="B2058" s="1832">
        <f>'Cap Outlay Deprec 26'!L10</f>
        <v>1027728</v>
      </c>
      <c r="C2058" s="2" t="s">
        <v>569</v>
      </c>
      <c r="D2058" s="2" t="str">
        <f t="shared" si="31"/>
        <v>Error?</v>
      </c>
    </row>
    <row r="2059" spans="1:4" x14ac:dyDescent="0.2">
      <c r="A2059" s="5">
        <v>1998</v>
      </c>
      <c r="B2059" s="1832">
        <f>'Cap Outlay Deprec 26'!L12</f>
        <v>163562</v>
      </c>
      <c r="C2059" s="2" t="s">
        <v>569</v>
      </c>
      <c r="D2059" s="2" t="str">
        <f t="shared" si="31"/>
        <v>Error?</v>
      </c>
    </row>
    <row r="2060" spans="1:4" x14ac:dyDescent="0.2">
      <c r="A2060" s="5">
        <v>1999</v>
      </c>
      <c r="B2060" s="1832">
        <f>'Cap Outlay Deprec 26'!L13</f>
        <v>250942</v>
      </c>
      <c r="C2060" s="2" t="s">
        <v>569</v>
      </c>
      <c r="D2060" s="2" t="str">
        <f t="shared" si="31"/>
        <v>Error?</v>
      </c>
    </row>
    <row r="2061" spans="1:4" x14ac:dyDescent="0.2">
      <c r="A2061" s="5">
        <v>2000</v>
      </c>
      <c r="B2061" s="1832">
        <f>'Cap Outlay Deprec 26'!L16</f>
        <v>5537389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266131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7457</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106617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496898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1885008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4352852</v>
      </c>
      <c r="C2553" s="2" t="s">
        <v>569</v>
      </c>
      <c r="D2553" s="2" t="str">
        <f t="shared" si="38"/>
        <v>Error?</v>
      </c>
    </row>
    <row r="2554" spans="1:4" x14ac:dyDescent="0.2">
      <c r="A2554" s="5">
        <v>2493</v>
      </c>
      <c r="B2554" s="1832">
        <f>'Acct Summary 7-8'!C7</f>
        <v>579424</v>
      </c>
      <c r="C2554" s="2" t="s">
        <v>569</v>
      </c>
      <c r="D2554" s="2" t="str">
        <f t="shared" si="38"/>
        <v>Error?</v>
      </c>
    </row>
    <row r="2555" spans="1:4" x14ac:dyDescent="0.2">
      <c r="A2555" s="5">
        <v>2494</v>
      </c>
      <c r="B2555" s="1832">
        <f>'Acct Summary 7-8'!C8</f>
        <v>6829218</v>
      </c>
      <c r="C2555" s="2" t="s">
        <v>569</v>
      </c>
      <c r="D2555" s="2" t="str">
        <f t="shared" si="38"/>
        <v>Error?</v>
      </c>
    </row>
    <row r="2556" spans="1:4" x14ac:dyDescent="0.2">
      <c r="A2556" s="5">
        <v>2495</v>
      </c>
      <c r="B2556" s="1832">
        <f>'Acct Summary 7-8'!C12</f>
        <v>4826709</v>
      </c>
      <c r="C2556" s="2" t="s">
        <v>569</v>
      </c>
      <c r="D2556" s="2" t="str">
        <f t="shared" si="38"/>
        <v>Error?</v>
      </c>
    </row>
    <row r="2557" spans="1:4" x14ac:dyDescent="0.2">
      <c r="A2557" s="5">
        <v>2496</v>
      </c>
      <c r="B2557" s="1832">
        <f>'Acct Summary 7-8'!C13</f>
        <v>1508820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266131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6601660</v>
      </c>
      <c r="C2561" s="2" t="s">
        <v>569</v>
      </c>
      <c r="D2561" s="2" t="str">
        <f t="shared" si="39"/>
        <v>Error?</v>
      </c>
    </row>
    <row r="2562" spans="1:4" x14ac:dyDescent="0.2">
      <c r="A2562" s="5">
        <v>2501</v>
      </c>
      <c r="B2562" s="1832">
        <f>'Acct Summary 7-8'!C20</f>
        <v>227558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555388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705388</v>
      </c>
      <c r="C2568" s="2" t="s">
        <v>569</v>
      </c>
      <c r="D2568" s="2" t="str">
        <f t="shared" si="39"/>
        <v>Error?</v>
      </c>
    </row>
    <row r="2569" spans="1:4" x14ac:dyDescent="0.2">
      <c r="A2569" s="5">
        <v>2508</v>
      </c>
      <c r="B2569" s="1832">
        <f>'Acct Summary 7-8'!D13</f>
        <v>649503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649503</v>
      </c>
      <c r="C2573" s="2" t="s">
        <v>569</v>
      </c>
      <c r="D2573" s="2" t="str">
        <f t="shared" si="39"/>
        <v>Error?</v>
      </c>
    </row>
    <row r="2574" spans="1:4" x14ac:dyDescent="0.2">
      <c r="A2574" s="5">
        <v>2513</v>
      </c>
      <c r="B2574" s="1832">
        <f>'Acct Summary 7-8'!D20</f>
        <v>55885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163119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463173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626292</v>
      </c>
      <c r="C2595" s="2" t="s">
        <v>569</v>
      </c>
      <c r="D2595" s="2" t="str">
        <f t="shared" si="39"/>
        <v>Error?</v>
      </c>
    </row>
    <row r="2596" spans="1:4" x14ac:dyDescent="0.2">
      <c r="A2596" s="5">
        <v>2535</v>
      </c>
      <c r="B2596" s="1832">
        <f>'Acct Summary 7-8'!F13</f>
        <v>672529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672529</v>
      </c>
      <c r="C2600" s="2" t="s">
        <v>569</v>
      </c>
      <c r="D2600" s="2" t="str">
        <f t="shared" si="39"/>
        <v>Error?</v>
      </c>
    </row>
    <row r="2601" spans="1:4" x14ac:dyDescent="0.2">
      <c r="A2601" s="5">
        <v>2540</v>
      </c>
      <c r="B2601" s="1832">
        <f>'Acct Summary 7-8'!F20</f>
        <v>-46237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311083</v>
      </c>
      <c r="C2603" s="2" t="s">
        <v>569</v>
      </c>
      <c r="D2603" s="2" t="str">
        <f t="shared" si="39"/>
        <v>Error?</v>
      </c>
    </row>
    <row r="2604" spans="1:4" x14ac:dyDescent="0.2">
      <c r="A2604" s="5">
        <v>2543</v>
      </c>
      <c r="B2604" s="1832">
        <f>'Acct Summary 7-8'!G6</f>
        <v>4014</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315097</v>
      </c>
      <c r="C2606" s="2" t="s">
        <v>569</v>
      </c>
      <c r="D2606" s="2" t="str">
        <f t="shared" si="39"/>
        <v>Error?</v>
      </c>
    </row>
    <row r="2607" spans="1:4" x14ac:dyDescent="0.2">
      <c r="A2607" s="5">
        <v>2546</v>
      </c>
      <c r="B2607" s="1832">
        <f>'Acct Summary 7-8'!G12</f>
        <v>122406</v>
      </c>
      <c r="C2607" s="2" t="s">
        <v>569</v>
      </c>
      <c r="D2607" s="2" t="str">
        <f t="shared" si="39"/>
        <v>Error?</v>
      </c>
    </row>
    <row r="2608" spans="1:4" x14ac:dyDescent="0.2">
      <c r="A2608" s="5">
        <v>2547</v>
      </c>
      <c r="B2608" s="1832">
        <f>'Acct Summary 7-8'!G13</f>
        <v>158082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280488</v>
      </c>
      <c r="C2612" s="2" t="s">
        <v>569</v>
      </c>
      <c r="D2612" s="2" t="str">
        <f t="shared" si="39"/>
        <v>Error?</v>
      </c>
    </row>
    <row r="2613" spans="1:4" x14ac:dyDescent="0.2">
      <c r="A2613" s="5">
        <v>2552</v>
      </c>
      <c r="B2613" s="1832">
        <f>'Acct Summary 7-8'!G20</f>
        <v>34609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408661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408661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301234</v>
      </c>
      <c r="C2634" s="2" t="s">
        <v>569</v>
      </c>
      <c r="D2634" s="2" t="str">
        <f t="shared" si="40"/>
        <v>Error?</v>
      </c>
    </row>
    <row r="2635" spans="1:4" x14ac:dyDescent="0.2">
      <c r="A2635" s="5">
        <v>2574</v>
      </c>
      <c r="B2635" s="1832">
        <f>'Acct Summary 7-8'!E17</f>
        <v>301234</v>
      </c>
      <c r="C2635" s="2" t="s">
        <v>569</v>
      </c>
      <c r="D2635" s="2" t="str">
        <f t="shared" si="40"/>
        <v>Error?</v>
      </c>
    </row>
    <row r="2636" spans="1:4" x14ac:dyDescent="0.2">
      <c r="A2636" s="5">
        <v>2575</v>
      </c>
      <c r="B2636" s="1832">
        <f>'Acct Summary 7-8'!E20</f>
        <v>107427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220082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220082</v>
      </c>
      <c r="C2658" s="2" t="s">
        <v>569</v>
      </c>
      <c r="D2658" s="2" t="str">
        <f t="shared" si="40"/>
        <v>Error?</v>
      </c>
    </row>
    <row r="2659" spans="1:4" x14ac:dyDescent="0.2">
      <c r="A2659" s="5">
        <v>2598</v>
      </c>
      <c r="B2659" s="1832">
        <f>'Acct Summary 7-8'!H13</f>
        <v>62198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62198</v>
      </c>
      <c r="C2661" s="2" t="s">
        <v>569</v>
      </c>
      <c r="D2661" s="2" t="str">
        <f t="shared" si="40"/>
        <v>Error?</v>
      </c>
    </row>
    <row r="2662" spans="1:4" x14ac:dyDescent="0.2">
      <c r="A2662" s="5">
        <v>2601</v>
      </c>
      <c r="B2662" s="1832">
        <f>'Acct Summary 7-8'!H20</f>
        <v>157884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266131</v>
      </c>
      <c r="C2789" s="2" t="s">
        <v>569</v>
      </c>
      <c r="D2789" s="2" t="str">
        <f t="shared" si="42"/>
        <v>Error?</v>
      </c>
    </row>
    <row r="2790" spans="1:4" x14ac:dyDescent="0.2">
      <c r="A2790" s="5">
        <v>2729</v>
      </c>
      <c r="B2790" s="1832">
        <f>'Expenditures 15-22'!E102</f>
        <v>266131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7500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2824200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2834700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261566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2834700</v>
      </c>
      <c r="D2912" s="2" t="str">
        <f t="shared" si="44"/>
        <v>Error?</v>
      </c>
    </row>
    <row r="2913" spans="1:4" x14ac:dyDescent="0.2">
      <c r="A2913" s="5">
        <v>2852</v>
      </c>
      <c r="B2913" s="1832">
        <f>'Assets-Liab 5-6'!I41</f>
        <v>2834700</v>
      </c>
      <c r="C2913" s="2" t="s">
        <v>569</v>
      </c>
      <c r="D2913" s="2" t="str">
        <f t="shared" si="44"/>
        <v>Error?</v>
      </c>
    </row>
    <row r="2914" spans="1:4" x14ac:dyDescent="0.2">
      <c r="A2914" s="5">
        <v>2853</v>
      </c>
      <c r="B2914" s="1832">
        <f>'Assets-Liab 5-6'!L33</f>
        <v>261566</v>
      </c>
      <c r="D2914" s="2" t="str">
        <f t="shared" si="44"/>
        <v>Error?</v>
      </c>
    </row>
    <row r="2915" spans="1:4" x14ac:dyDescent="0.2">
      <c r="A2915" s="10">
        <v>2854</v>
      </c>
      <c r="B2915" s="1832"/>
      <c r="D2915" s="2" t="str">
        <f t="shared" si="44"/>
        <v>OK</v>
      </c>
    </row>
    <row r="2916" spans="1:4" x14ac:dyDescent="0.2">
      <c r="A2916" s="5">
        <v>2855</v>
      </c>
      <c r="B2916" s="1832">
        <f>'Assets-Liab 5-6'!L34</f>
        <v>261566</v>
      </c>
      <c r="C2916" s="2" t="s">
        <v>569</v>
      </c>
      <c r="D2916" s="2" t="str">
        <f t="shared" si="44"/>
        <v>Error?</v>
      </c>
    </row>
    <row r="2917" spans="1:4" x14ac:dyDescent="0.2">
      <c r="A2917" s="5">
        <v>2856</v>
      </c>
      <c r="B2917" s="1832">
        <f>'Assets-Liab 5-6'!L41</f>
        <v>261566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266131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266131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134803</v>
      </c>
      <c r="D3055" s="2" t="str">
        <f t="shared" si="46"/>
        <v>Error?</v>
      </c>
    </row>
    <row r="3056" spans="1:4" x14ac:dyDescent="0.2">
      <c r="A3056" s="5">
        <v>2995</v>
      </c>
      <c r="B3056" s="1832">
        <f>'Expenditures 15-22'!D10</f>
        <v>34383</v>
      </c>
      <c r="D3056" s="2" t="str">
        <f t="shared" si="46"/>
        <v>Error?</v>
      </c>
    </row>
    <row r="3057" spans="1:4" x14ac:dyDescent="0.2">
      <c r="A3057" s="5">
        <v>2996</v>
      </c>
      <c r="B3057" s="1832">
        <f>'Expenditures 15-22'!E10</f>
        <v>2004</v>
      </c>
      <c r="D3057" s="2" t="str">
        <f t="shared" si="46"/>
        <v>Error?</v>
      </c>
    </row>
    <row r="3058" spans="1:4" x14ac:dyDescent="0.2">
      <c r="A3058" s="5">
        <v>2997</v>
      </c>
      <c r="B3058" s="1832">
        <f>'Expenditures 15-22'!F10</f>
        <v>3145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174335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6371</v>
      </c>
      <c r="D3064" s="2" t="str">
        <f t="shared" si="46"/>
        <v>Error?</v>
      </c>
    </row>
    <row r="3065" spans="1:4" x14ac:dyDescent="0.2">
      <c r="A3065" s="5">
        <v>3004</v>
      </c>
      <c r="B3065" s="1832">
        <f>'Expenditures 15-22'!K219</f>
        <v>6371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48612</v>
      </c>
      <c r="C3225" s="2" t="s">
        <v>569</v>
      </c>
      <c r="D3225" s="2" t="str">
        <f t="shared" si="49"/>
        <v>Error?</v>
      </c>
    </row>
    <row r="3226" spans="1:4" x14ac:dyDescent="0.2">
      <c r="A3226" s="5">
        <v>3165</v>
      </c>
      <c r="B3226" s="1832">
        <f>'Acct Summary 7-8'!I8</f>
        <v>48612</v>
      </c>
      <c r="C3226" s="2" t="s">
        <v>569</v>
      </c>
      <c r="D3226" s="2" t="str">
        <f t="shared" si="49"/>
        <v>Error?</v>
      </c>
    </row>
    <row r="3227" spans="1:4" x14ac:dyDescent="0.2">
      <c r="A3227" s="5">
        <v>3166</v>
      </c>
      <c r="B3227" s="1832">
        <f>'Acct Summary 7-8'!I20</f>
        <v>48612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227558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55885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-46237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34609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107427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157884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1800000</v>
      </c>
      <c r="C3317" s="2" t="s">
        <v>569</v>
      </c>
      <c r="D3317" s="2" t="str">
        <f t="shared" si="50"/>
        <v>Error?</v>
      </c>
    </row>
    <row r="3318" spans="1:4" x14ac:dyDescent="0.2">
      <c r="A3318" s="5">
        <v>3257</v>
      </c>
      <c r="B3318" s="1832">
        <f>'Acct Summary 7-8'!I76</f>
        <v>36500</v>
      </c>
      <c r="C3318" s="2" t="s">
        <v>569</v>
      </c>
      <c r="D3318" s="2" t="str">
        <f t="shared" si="50"/>
        <v>Error?</v>
      </c>
    </row>
    <row r="3319" spans="1:4" x14ac:dyDescent="0.2">
      <c r="A3319" s="5">
        <v>3258</v>
      </c>
      <c r="B3319" s="1832">
        <f>'Acct Summary 7-8'!I77</f>
        <v>1763500</v>
      </c>
      <c r="C3319" s="2" t="s">
        <v>569</v>
      </c>
      <c r="D3319" s="2" t="str">
        <f t="shared" si="50"/>
        <v>Error?</v>
      </c>
    </row>
    <row r="3320" spans="1:4" x14ac:dyDescent="0.2">
      <c r="A3320" s="5">
        <v>3259</v>
      </c>
      <c r="B3320" s="1832">
        <f>'Acct Summary 7-8'!I78</f>
        <v>1812112</v>
      </c>
      <c r="C3320" s="2" t="s">
        <v>569</v>
      </c>
      <c r="D3320" s="2" t="str">
        <f t="shared" si="50"/>
        <v>Error?</v>
      </c>
    </row>
    <row r="3321" spans="1:4" x14ac:dyDescent="0.2">
      <c r="A3321" s="5">
        <v>3260</v>
      </c>
      <c r="B3321" s="1832">
        <f>'Acct Summary 7-8'!I79</f>
        <v>1022588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2834700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729931</v>
      </c>
      <c r="D3366" s="2" t="str">
        <f t="shared" si="51"/>
        <v>Error?</v>
      </c>
    </row>
    <row r="3367" spans="1:4" x14ac:dyDescent="0.2">
      <c r="A3367" s="5">
        <v>3306</v>
      </c>
      <c r="B3367" s="1832">
        <f>'Expenditures 15-22'!C19</f>
        <v>42349</v>
      </c>
      <c r="D3367" s="2" t="str">
        <f t="shared" si="51"/>
        <v>Error?</v>
      </c>
    </row>
    <row r="3368" spans="1:4" x14ac:dyDescent="0.2">
      <c r="A3368" s="5">
        <v>3307</v>
      </c>
      <c r="B3368" s="1832">
        <f>'Expenditures 15-22'!D8</f>
        <v>161326</v>
      </c>
      <c r="D3368" s="2" t="str">
        <f t="shared" si="51"/>
        <v>Error?</v>
      </c>
    </row>
    <row r="3369" spans="1:4" x14ac:dyDescent="0.2">
      <c r="A3369" s="5">
        <v>3308</v>
      </c>
      <c r="B3369" s="1832">
        <f>'Expenditures 15-22'!D19</f>
        <v>988</v>
      </c>
      <c r="D3369" s="2" t="str">
        <f t="shared" si="51"/>
        <v>Error?</v>
      </c>
    </row>
    <row r="3370" spans="1:4" x14ac:dyDescent="0.2">
      <c r="A3370" s="5">
        <v>3309</v>
      </c>
      <c r="B3370" s="1832">
        <f>'Expenditures 15-22'!E8</f>
        <v>5642</v>
      </c>
      <c r="D3370" s="2" t="str">
        <f t="shared" si="51"/>
        <v>Error?</v>
      </c>
    </row>
    <row r="3371" spans="1:4" x14ac:dyDescent="0.2">
      <c r="A3371" s="5">
        <v>3310</v>
      </c>
      <c r="B3371" s="1832">
        <f>'Expenditures 15-22'!E19</f>
        <v>851</v>
      </c>
      <c r="D3371" s="2" t="str">
        <f t="shared" si="51"/>
        <v>Error?</v>
      </c>
    </row>
    <row r="3372" spans="1:4" x14ac:dyDescent="0.2">
      <c r="A3372" s="5">
        <v>3311</v>
      </c>
      <c r="B3372" s="1832">
        <f>'Expenditures 15-22'!F8</f>
        <v>18427</v>
      </c>
      <c r="D3372" s="2" t="str">
        <f t="shared" si="51"/>
        <v>Error?</v>
      </c>
    </row>
    <row r="3373" spans="1:4" x14ac:dyDescent="0.2">
      <c r="A3373" s="5">
        <v>3312</v>
      </c>
      <c r="B3373" s="1832">
        <f>'Expenditures 15-22'!F19</f>
        <v>499</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915326</v>
      </c>
      <c r="C3380" s="2" t="s">
        <v>569</v>
      </c>
      <c r="D3380" s="2" t="str">
        <f t="shared" si="51"/>
        <v>Error?</v>
      </c>
    </row>
    <row r="3381" spans="1:4" x14ac:dyDescent="0.2">
      <c r="A3381" s="5">
        <v>3320</v>
      </c>
      <c r="B3381" s="1832">
        <f>'Expenditures 15-22'!K19</f>
        <v>44687</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48366</v>
      </c>
      <c r="D3387" s="2" t="str">
        <f t="shared" si="51"/>
        <v>Error?</v>
      </c>
    </row>
    <row r="3388" spans="1:4" x14ac:dyDescent="0.2">
      <c r="A3388" s="5">
        <v>3327</v>
      </c>
      <c r="B3388" s="1832">
        <f>'Expenditures 15-22'!D217</f>
        <v>41593</v>
      </c>
      <c r="D3388" s="2" t="str">
        <f t="shared" si="51"/>
        <v>Error?</v>
      </c>
    </row>
    <row r="3389" spans="1:4" x14ac:dyDescent="0.2">
      <c r="A3389" s="5">
        <v>3328</v>
      </c>
      <c r="B3389" s="1832">
        <f>'Expenditures 15-22'!D228</f>
        <v>4764</v>
      </c>
      <c r="D3389" s="2" t="str">
        <f t="shared" si="51"/>
        <v>Error?</v>
      </c>
    </row>
    <row r="3390" spans="1:4" x14ac:dyDescent="0.2">
      <c r="A3390" s="5">
        <v>3329</v>
      </c>
      <c r="B3390" s="1832">
        <f>'Expenditures 15-22'!K215</f>
        <v>48366</v>
      </c>
      <c r="C3390" s="2" t="s">
        <v>569</v>
      </c>
      <c r="D3390" s="2" t="str">
        <f t="shared" si="51"/>
        <v>Error?</v>
      </c>
    </row>
    <row r="3391" spans="1:4" x14ac:dyDescent="0.2">
      <c r="A3391" s="5">
        <v>3330</v>
      </c>
      <c r="B3391" s="1832">
        <f>'Expenditures 15-22'!K217</f>
        <v>41593</v>
      </c>
      <c r="C3391" s="2" t="s">
        <v>569</v>
      </c>
      <c r="D3391" s="2" t="str">
        <f t="shared" ref="D3391:D3454" si="52">IF(ISBLANK(B3391),"OK",IF(A3391-B3391=0,"OK","Error?"))</f>
        <v>Error?</v>
      </c>
    </row>
    <row r="3392" spans="1:4" x14ac:dyDescent="0.2">
      <c r="A3392" s="5">
        <v>3331</v>
      </c>
      <c r="B3392" s="1832">
        <f>'Expenditures 15-22'!K228</f>
        <v>4764</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11934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69272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60597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19972</v>
      </c>
      <c r="D3417" s="2" t="str">
        <f t="shared" si="52"/>
        <v>Error?</v>
      </c>
    </row>
    <row r="3418" spans="1:4" x14ac:dyDescent="0.2">
      <c r="A3418" s="10">
        <v>3357</v>
      </c>
      <c r="B3418" s="1832"/>
      <c r="D3418" s="2" t="str">
        <f t="shared" si="52"/>
        <v>OK</v>
      </c>
    </row>
    <row r="3419" spans="1:4" x14ac:dyDescent="0.2">
      <c r="A3419" s="5">
        <v>3358</v>
      </c>
      <c r="B3419" s="1832">
        <f>'Assets-Liab 5-6'!F4</f>
        <v>5736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73540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352839</v>
      </c>
      <c r="D3425" s="2" t="str">
        <f t="shared" si="52"/>
        <v>Error?</v>
      </c>
    </row>
    <row r="3426" spans="1:4" x14ac:dyDescent="0.2">
      <c r="A3426" s="10">
        <v>3365</v>
      </c>
      <c r="B3426" s="1832"/>
      <c r="D3426" s="2" t="str">
        <f t="shared" si="52"/>
        <v>OK</v>
      </c>
    </row>
    <row r="3427" spans="1:4" x14ac:dyDescent="0.2">
      <c r="A3427" s="5">
        <v>3366</v>
      </c>
      <c r="B3427" s="1832">
        <f>'Assets-Liab 5-6'!I4</f>
        <v>10500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261566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200086</v>
      </c>
      <c r="C3446" s="2" t="s">
        <v>569</v>
      </c>
      <c r="D3446" s="2" t="str">
        <f t="shared" si="52"/>
        <v>Error?</v>
      </c>
    </row>
    <row r="3447" spans="1:4" x14ac:dyDescent="0.2">
      <c r="A3447" s="5">
        <v>3386</v>
      </c>
      <c r="B3447" s="1832">
        <f>'Tax Sched 23'!D16</f>
        <v>200086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150006</v>
      </c>
      <c r="C3449" s="2" t="s">
        <v>569</v>
      </c>
      <c r="D3449" s="2" t="str">
        <f t="shared" si="52"/>
        <v>Error?</v>
      </c>
    </row>
    <row r="3450" spans="1:4" x14ac:dyDescent="0.2">
      <c r="A3450" s="5">
        <v>3389</v>
      </c>
      <c r="B3450" s="1832">
        <f>'Tax Sched 23'!E16</f>
        <v>150006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7500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7500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7500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1556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251790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253346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253346</v>
      </c>
      <c r="D3567" s="2" t="str">
        <f t="shared" si="54"/>
        <v>Error?</v>
      </c>
    </row>
    <row r="3568" spans="1:4" x14ac:dyDescent="0.2">
      <c r="A3568" s="5">
        <v>3507</v>
      </c>
      <c r="B3568" s="1832">
        <f>'Assets-Liab 5-6'!K41</f>
        <v>253346</v>
      </c>
      <c r="C3568" s="2" t="s">
        <v>569</v>
      </c>
      <c r="D3568" s="2" t="str">
        <f t="shared" si="54"/>
        <v>Error?</v>
      </c>
    </row>
    <row r="3569" spans="1:4" x14ac:dyDescent="0.2">
      <c r="A3569" s="5">
        <v>3508</v>
      </c>
      <c r="B3569" s="1832">
        <f>'Acct Summary 7-8'!K4</f>
        <v>2571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2571</v>
      </c>
      <c r="C3571" s="2" t="s">
        <v>569</v>
      </c>
      <c r="D3571" s="2" t="str">
        <f t="shared" si="54"/>
        <v>Error?</v>
      </c>
    </row>
    <row r="3572" spans="1:4" x14ac:dyDescent="0.2">
      <c r="A3572" s="5">
        <v>3511</v>
      </c>
      <c r="B3572" s="1832">
        <f>'Acct Summary 7-8'!K13</f>
        <v>134845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134845</v>
      </c>
      <c r="C3575" s="2" t="s">
        <v>569</v>
      </c>
      <c r="D3575" s="2" t="str">
        <f t="shared" si="54"/>
        <v>Error?</v>
      </c>
    </row>
    <row r="3576" spans="1:4" x14ac:dyDescent="0.2">
      <c r="A3576" s="5">
        <v>3515</v>
      </c>
      <c r="B3576" s="1832">
        <f>'Acct Summary 7-8'!K20</f>
        <v>-132274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-132274</v>
      </c>
      <c r="C3588" s="2" t="s">
        <v>569</v>
      </c>
      <c r="D3588" s="2" t="str">
        <f t="shared" si="55"/>
        <v>Error?</v>
      </c>
    </row>
    <row r="3589" spans="1:4" x14ac:dyDescent="0.2">
      <c r="A3589" s="5">
        <v>3528</v>
      </c>
      <c r="B3589" s="1832">
        <f>'Acct Summary 7-8'!K79</f>
        <v>385620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253346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377</v>
      </c>
      <c r="D3632" s="2" t="str">
        <f t="shared" si="55"/>
        <v>Error?</v>
      </c>
    </row>
    <row r="3633" spans="1:4" x14ac:dyDescent="0.2">
      <c r="A3633" s="5">
        <v>3572</v>
      </c>
      <c r="B3633" s="1832">
        <f>'Expenditures 15-22'!E350</f>
        <v>377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377</v>
      </c>
      <c r="C3635" s="2" t="s">
        <v>569</v>
      </c>
      <c r="D3635" s="2" t="str">
        <f t="shared" si="55"/>
        <v>Error?</v>
      </c>
    </row>
    <row r="3636" spans="1:4" x14ac:dyDescent="0.2">
      <c r="A3636" s="5">
        <v>3575</v>
      </c>
      <c r="B3636" s="1832">
        <f>'Expenditures 15-22'!E367</f>
        <v>377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134468</v>
      </c>
      <c r="D3646" s="2" t="str">
        <f t="shared" si="55"/>
        <v>Error?</v>
      </c>
    </row>
    <row r="3647" spans="1:4" x14ac:dyDescent="0.2">
      <c r="A3647" s="5">
        <v>3586</v>
      </c>
      <c r="B3647" s="1832">
        <f>'Expenditures 15-22'!G350</f>
        <v>134468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134468</v>
      </c>
      <c r="C3649" s="2" t="s">
        <v>569</v>
      </c>
      <c r="D3649" s="2" t="str">
        <f t="shared" si="56"/>
        <v>Error?</v>
      </c>
    </row>
    <row r="3650" spans="1:4" x14ac:dyDescent="0.2">
      <c r="A3650" s="5">
        <v>3589</v>
      </c>
      <c r="B3650" s="1832">
        <f>'Expenditures 15-22'!G367</f>
        <v>134468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134845</v>
      </c>
      <c r="C3669" s="2" t="s">
        <v>569</v>
      </c>
      <c r="D3669" s="2" t="str">
        <f t="shared" si="56"/>
        <v>Error?</v>
      </c>
    </row>
    <row r="3670" spans="1:4" x14ac:dyDescent="0.2">
      <c r="A3670" s="5">
        <v>3609</v>
      </c>
      <c r="B3670" s="1832">
        <f>'Expenditures 15-22'!K350</f>
        <v>134845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134845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134845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-132274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39691</v>
      </c>
      <c r="C3725" s="2" t="s">
        <v>569</v>
      </c>
      <c r="D3725" s="2" t="str">
        <f t="shared" si="57"/>
        <v>Error?</v>
      </c>
    </row>
    <row r="3726" spans="1:4" x14ac:dyDescent="0.2">
      <c r="A3726" s="5">
        <v>3665</v>
      </c>
      <c r="B3726" s="1832">
        <f>'Tax Sched 23'!D13</f>
        <v>39691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40392</v>
      </c>
      <c r="C3728" s="2" t="s">
        <v>569</v>
      </c>
      <c r="D3728" s="2" t="str">
        <f t="shared" si="57"/>
        <v>Error?</v>
      </c>
    </row>
    <row r="3729" spans="1:4" x14ac:dyDescent="0.2">
      <c r="A3729" s="5">
        <v>3668</v>
      </c>
      <c r="B3729" s="1832">
        <f>'Tax Sched 23'!E13</f>
        <v>40392</v>
      </c>
      <c r="D3729" s="2" t="str">
        <f t="shared" si="57"/>
        <v>Error?</v>
      </c>
    </row>
    <row r="3730" spans="1:4" x14ac:dyDescent="0.2">
      <c r="A3730" s="5">
        <v>3669</v>
      </c>
      <c r="B3730" s="1832">
        <f>'ICR Computation 30'!E10</f>
        <v>168430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3465718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10294936</v>
      </c>
      <c r="C4122" s="2" t="s">
        <v>569</v>
      </c>
      <c r="D4122" s="2" t="str">
        <f t="shared" si="63"/>
        <v>Error?</v>
      </c>
    </row>
    <row r="4123" spans="1:4" x14ac:dyDescent="0.2">
      <c r="A4123" s="5">
        <v>4062</v>
      </c>
      <c r="B4123" s="1832">
        <f>'Acct Summary 7-8'!D10</f>
        <v>705388</v>
      </c>
      <c r="C4123" s="2" t="s">
        <v>569</v>
      </c>
      <c r="D4123" s="2" t="str">
        <f t="shared" si="63"/>
        <v>Error?</v>
      </c>
    </row>
    <row r="4124" spans="1:4" x14ac:dyDescent="0.2">
      <c r="A4124" s="5">
        <v>4063</v>
      </c>
      <c r="B4124" s="1832">
        <f>'Acct Summary 7-8'!E10</f>
        <v>408661</v>
      </c>
      <c r="C4124" s="2" t="s">
        <v>569</v>
      </c>
      <c r="D4124" s="2" t="str">
        <f t="shared" si="63"/>
        <v>Error?</v>
      </c>
    </row>
    <row r="4125" spans="1:4" x14ac:dyDescent="0.2">
      <c r="A4125" s="5">
        <v>4064</v>
      </c>
      <c r="B4125" s="1832">
        <f>'Acct Summary 7-8'!F10</f>
        <v>626292</v>
      </c>
      <c r="C4125" s="2" t="s">
        <v>569</v>
      </c>
      <c r="D4125" s="2" t="str">
        <f t="shared" si="63"/>
        <v>Error?</v>
      </c>
    </row>
    <row r="4126" spans="1:4" x14ac:dyDescent="0.2">
      <c r="A4126" s="5">
        <v>4065</v>
      </c>
      <c r="B4126" s="1832">
        <f>'Acct Summary 7-8'!G10</f>
        <v>315097</v>
      </c>
      <c r="C4126" s="2" t="s">
        <v>569</v>
      </c>
      <c r="D4126" s="2" t="str">
        <f t="shared" si="63"/>
        <v>Error?</v>
      </c>
    </row>
    <row r="4127" spans="1:4" x14ac:dyDescent="0.2">
      <c r="A4127" s="5">
        <v>4066</v>
      </c>
      <c r="B4127" s="1832">
        <f>'Acct Summary 7-8'!H10</f>
        <v>220082</v>
      </c>
      <c r="C4127" s="2" t="s">
        <v>569</v>
      </c>
      <c r="D4127" s="2" t="str">
        <f t="shared" si="63"/>
        <v>Error?</v>
      </c>
    </row>
    <row r="4128" spans="1:4" x14ac:dyDescent="0.2">
      <c r="A4128" s="5">
        <v>4067</v>
      </c>
      <c r="B4128" s="1832">
        <f>'Acct Summary 7-8'!I10</f>
        <v>48612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2571</v>
      </c>
      <c r="C4130" s="2" t="s">
        <v>569</v>
      </c>
      <c r="D4130" s="2" t="str">
        <f t="shared" si="63"/>
        <v>Error?</v>
      </c>
    </row>
    <row r="4131" spans="1:4" x14ac:dyDescent="0.2">
      <c r="A4131" s="5">
        <v>4070</v>
      </c>
      <c r="B4131" s="1832">
        <f>'Acct Summary 7-8'!C18</f>
        <v>3465718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10067378</v>
      </c>
      <c r="C4136" s="2" t="s">
        <v>569</v>
      </c>
      <c r="D4136" s="2" t="str">
        <f t="shared" si="63"/>
        <v>Error?</v>
      </c>
    </row>
    <row r="4137" spans="1:4" x14ac:dyDescent="0.2">
      <c r="A4137" s="5">
        <v>4076</v>
      </c>
      <c r="B4137" s="1832">
        <f>'Acct Summary 7-8'!D19</f>
        <v>649503</v>
      </c>
      <c r="C4137" s="2" t="s">
        <v>569</v>
      </c>
      <c r="D4137" s="2" t="str">
        <f t="shared" si="63"/>
        <v>Error?</v>
      </c>
    </row>
    <row r="4138" spans="1:4" x14ac:dyDescent="0.2">
      <c r="A4138" s="5">
        <v>4077</v>
      </c>
      <c r="B4138" s="1832">
        <f>'Acct Summary 7-8'!E19</f>
        <v>301234</v>
      </c>
      <c r="C4138" s="2" t="s">
        <v>569</v>
      </c>
      <c r="D4138" s="2" t="str">
        <f t="shared" si="63"/>
        <v>Error?</v>
      </c>
    </row>
    <row r="4139" spans="1:4" x14ac:dyDescent="0.2">
      <c r="A4139" s="5">
        <v>4078</v>
      </c>
      <c r="B4139" s="1832">
        <f>'Acct Summary 7-8'!F19</f>
        <v>672529</v>
      </c>
      <c r="C4139" s="2" t="s">
        <v>569</v>
      </c>
      <c r="D4139" s="2" t="str">
        <f t="shared" si="63"/>
        <v>Error?</v>
      </c>
    </row>
    <row r="4140" spans="1:4" x14ac:dyDescent="0.2">
      <c r="A4140" s="5">
        <v>4079</v>
      </c>
      <c r="B4140" s="1832">
        <f>'Acct Summary 7-8'!G19</f>
        <v>280488</v>
      </c>
      <c r="C4140" s="2" t="s">
        <v>569</v>
      </c>
      <c r="D4140" s="2" t="str">
        <f t="shared" si="63"/>
        <v>Error?</v>
      </c>
    </row>
    <row r="4141" spans="1:4" x14ac:dyDescent="0.2">
      <c r="A4141" s="5">
        <v>4080</v>
      </c>
      <c r="B4141" s="1832">
        <f>'Acct Summary 7-8'!H19</f>
        <v>62198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134845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2603907</v>
      </c>
      <c r="C4171" s="2" t="s">
        <v>569</v>
      </c>
      <c r="D4171" s="2" t="str">
        <f t="shared" si="64"/>
        <v>Error?</v>
      </c>
    </row>
    <row r="4172" spans="1:4" x14ac:dyDescent="0.2">
      <c r="A4172" s="5">
        <v>4111</v>
      </c>
      <c r="B4172" s="1832">
        <f>'Short-Term Long-Term Debt 24'!J49</f>
        <v>2061331</v>
      </c>
      <c r="C4172" s="2" t="s">
        <v>569</v>
      </c>
      <c r="D4172" s="2" t="str">
        <f t="shared" si="64"/>
        <v>Error?</v>
      </c>
    </row>
    <row r="4173" spans="1:4" x14ac:dyDescent="0.2">
      <c r="A4173" s="5">
        <v>4112</v>
      </c>
      <c r="B4173" s="1832">
        <f>'Short-Term Long-Term Debt 24'!H49</f>
        <v>295000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2540</v>
      </c>
      <c r="C4268" s="2" t="s">
        <v>569</v>
      </c>
      <c r="D4268" s="2" t="str">
        <f t="shared" si="65"/>
        <v>Error?</v>
      </c>
    </row>
    <row r="4269" spans="1:5" x14ac:dyDescent="0.2">
      <c r="A4269" s="12">
        <v>4208</v>
      </c>
      <c r="B4269" s="1832">
        <f>'FP Info 3'!J16</f>
        <v>4757432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8858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45328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5395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31827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80783120</v>
      </c>
      <c r="D4995" s="2" t="str">
        <f t="shared" si="77"/>
        <v>Error?</v>
      </c>
    </row>
    <row r="4996" spans="1:4" x14ac:dyDescent="0.2">
      <c r="A4996" s="12">
        <v>4935</v>
      </c>
      <c r="B4996" s="1832">
        <f>'FP Info 3'!H31</f>
        <v>11148070.560000001</v>
      </c>
      <c r="D4996" s="2" t="str">
        <f t="shared" si="77"/>
        <v>Error?</v>
      </c>
    </row>
    <row r="4997" spans="1:4" x14ac:dyDescent="0.2">
      <c r="A4997" s="12">
        <v>4936</v>
      </c>
      <c r="B4997" s="1832">
        <f>'FP Info 3'!H37</f>
        <v>2603907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39691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1460638</v>
      </c>
      <c r="D5061" s="2" t="str">
        <f t="shared" si="78"/>
        <v>Error?</v>
      </c>
    </row>
    <row r="5062" spans="1:4" x14ac:dyDescent="0.2">
      <c r="A5062" s="10">
        <v>5001</v>
      </c>
      <c r="B5062" s="1832"/>
      <c r="D5062" s="2" t="str">
        <f t="shared" si="78"/>
        <v>OK</v>
      </c>
    </row>
    <row r="5063" spans="1:4" x14ac:dyDescent="0.2">
      <c r="A5063" s="5">
        <v>5002</v>
      </c>
      <c r="B5063" s="1832">
        <f>'Revenues 9-14'!C7</f>
        <v>31753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1532082</v>
      </c>
      <c r="C5066" s="2" t="s">
        <v>569</v>
      </c>
      <c r="D5066" s="2" t="str">
        <f t="shared" si="78"/>
        <v>Error?</v>
      </c>
    </row>
    <row r="5067" spans="1:4" x14ac:dyDescent="0.2">
      <c r="A5067" s="5">
        <v>5006</v>
      </c>
      <c r="B5067" s="1832">
        <f>'Revenues 9-14'!C14</f>
        <v>5673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65288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70961</v>
      </c>
      <c r="C5071" s="2" t="s">
        <v>569</v>
      </c>
      <c r="D5071" s="2" t="str">
        <f t="shared" si="78"/>
        <v>Error?</v>
      </c>
    </row>
    <row r="5072" spans="1:4" x14ac:dyDescent="0.2">
      <c r="A5072" s="5">
        <v>5011</v>
      </c>
      <c r="B5072" s="1832">
        <f>'Revenues 9-14'!C20</f>
        <v>7118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7118</v>
      </c>
      <c r="C5087" s="2" t="s">
        <v>569</v>
      </c>
      <c r="D5087" s="2" t="str">
        <f t="shared" si="78"/>
        <v>Error?</v>
      </c>
    </row>
    <row r="5088" spans="1:4" x14ac:dyDescent="0.2">
      <c r="A5088" s="5">
        <v>5027</v>
      </c>
      <c r="B5088" s="1832">
        <f>'Revenues 9-14'!C65</f>
        <v>14421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14421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615</v>
      </c>
      <c r="D5093" s="2" t="str">
        <f t="shared" si="78"/>
        <v>Error?</v>
      </c>
    </row>
    <row r="5094" spans="1:4" x14ac:dyDescent="0.2">
      <c r="A5094" s="5">
        <v>5033</v>
      </c>
      <c r="B5094" s="1832">
        <f>'Revenues 9-14'!C73</f>
        <v>547</v>
      </c>
      <c r="D5094" s="2" t="str">
        <f t="shared" si="78"/>
        <v>Error?</v>
      </c>
    </row>
    <row r="5095" spans="1:4" x14ac:dyDescent="0.2">
      <c r="A5095" s="5">
        <v>5034</v>
      </c>
      <c r="B5095" s="1832">
        <f>'Revenues 9-14'!C74</f>
        <v>3313</v>
      </c>
      <c r="D5095" s="2" t="str">
        <f t="shared" si="78"/>
        <v>Error?</v>
      </c>
    </row>
    <row r="5096" spans="1:4" x14ac:dyDescent="0.2">
      <c r="A5096" s="5">
        <v>5035</v>
      </c>
      <c r="B5096" s="1832">
        <f>'Revenues 9-14'!C75</f>
        <v>139705</v>
      </c>
      <c r="C5096" s="2" t="s">
        <v>569</v>
      </c>
      <c r="D5096" s="2" t="str">
        <f t="shared" si="78"/>
        <v>Error?</v>
      </c>
    </row>
    <row r="5097" spans="1:4" x14ac:dyDescent="0.2">
      <c r="A5097" s="5">
        <v>5036</v>
      </c>
      <c r="B5097" s="1832">
        <f>'Revenues 9-14'!C77</f>
        <v>36121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17210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53331</v>
      </c>
      <c r="C5102" s="2" t="s">
        <v>569</v>
      </c>
      <c r="D5102" s="2" t="str">
        <f t="shared" si="78"/>
        <v>Error?</v>
      </c>
    </row>
    <row r="5103" spans="1:4" x14ac:dyDescent="0.2">
      <c r="A5103" s="5">
        <v>5042</v>
      </c>
      <c r="B5103" s="1832">
        <f>'Revenues 9-14'!C84</f>
        <v>47686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47686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3612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8364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2928</v>
      </c>
      <c r="D5119" s="2" t="str">
        <f t="shared" ref="D5119:D5182" si="79">IF(ISBLANK(B5119),"OK",IF(A5119-B5119=0,"OK","Error?"))</f>
        <v>Error?</v>
      </c>
    </row>
    <row r="5120" spans="1:4" x14ac:dyDescent="0.2">
      <c r="A5120" s="5">
        <v>5059</v>
      </c>
      <c r="B5120" s="1832">
        <f>'Revenues 9-14'!C108</f>
        <v>19704</v>
      </c>
      <c r="C5120" s="2" t="s">
        <v>569</v>
      </c>
      <c r="D5120" s="2" t="str">
        <f t="shared" si="79"/>
        <v>Error?</v>
      </c>
    </row>
    <row r="5121" spans="1:4" x14ac:dyDescent="0.2">
      <c r="A5121" s="5">
        <v>5060</v>
      </c>
      <c r="B5121" s="1832">
        <f>'Revenues 9-14'!C109</f>
        <v>1885008</v>
      </c>
      <c r="C5121" s="2" t="s">
        <v>569</v>
      </c>
      <c r="D5121" s="2" t="str">
        <f t="shared" si="79"/>
        <v>Error?</v>
      </c>
    </row>
    <row r="5122" spans="1:4" x14ac:dyDescent="0.2">
      <c r="A5122" s="5">
        <v>5061</v>
      </c>
      <c r="B5122" s="1832">
        <f>'Revenues 9-14'!C111</f>
        <v>11934</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11934</v>
      </c>
      <c r="C5125" s="2" t="s">
        <v>569</v>
      </c>
      <c r="D5125" s="2" t="str">
        <f t="shared" si="79"/>
        <v>Error?</v>
      </c>
    </row>
    <row r="5126" spans="1:4" x14ac:dyDescent="0.2">
      <c r="A5126" s="5">
        <v>5065</v>
      </c>
      <c r="B5126" s="1832">
        <f>'Revenues 9-14'!C117</f>
        <v>4140471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4140471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18935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18935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22675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1894</v>
      </c>
      <c r="D5167" s="2" t="str">
        <f t="shared" si="79"/>
        <v>Error?</v>
      </c>
    </row>
    <row r="5168" spans="1:4" x14ac:dyDescent="0.2">
      <c r="A5168" s="5">
        <v>5107</v>
      </c>
      <c r="B5168" s="1832">
        <f>'Revenues 9-14'!C148</f>
        <v>10005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45370</v>
      </c>
      <c r="D5194" s="2" t="str">
        <f t="shared" si="80"/>
        <v>Error?</v>
      </c>
    </row>
    <row r="5195" spans="1:5" x14ac:dyDescent="0.2">
      <c r="A5195" s="10">
        <v>5134</v>
      </c>
      <c r="B5195" s="1832"/>
      <c r="D5195" s="2" t="str">
        <f t="shared" si="80"/>
        <v>OK</v>
      </c>
    </row>
    <row r="5196" spans="1:5" x14ac:dyDescent="0.2">
      <c r="A5196" s="5">
        <v>5135</v>
      </c>
      <c r="B5196" s="1832">
        <f>'Revenues 9-14'!C159</f>
        <v>112752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212381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4352852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126988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19338</v>
      </c>
      <c r="D5241" s="2" t="str">
        <f t="shared" si="80"/>
        <v>Error?</v>
      </c>
    </row>
    <row r="5242" spans="1:4" x14ac:dyDescent="0.2">
      <c r="A5242" s="5">
        <v>5181</v>
      </c>
      <c r="B5242" s="1832">
        <f>'Revenues 9-14'!C194</f>
        <v>58827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205153</v>
      </c>
      <c r="C5246" s="2" t="s">
        <v>569</v>
      </c>
      <c r="D5246" s="2" t="str">
        <f t="shared" si="80"/>
        <v>Error?</v>
      </c>
    </row>
    <row r="5247" spans="1:4" x14ac:dyDescent="0.2">
      <c r="A5247" s="5">
        <v>5186</v>
      </c>
      <c r="B5247" s="1832">
        <f>'Revenues 9-14'!C200</f>
        <v>154861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5395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154861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5184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122818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128002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579424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579424</v>
      </c>
      <c r="C5326" s="2" t="s">
        <v>569</v>
      </c>
      <c r="D5326" s="2" t="str">
        <f t="shared" si="82"/>
        <v>Error?</v>
      </c>
    </row>
    <row r="5327" spans="1:5" x14ac:dyDescent="0.2">
      <c r="A5327" s="5">
        <v>5266</v>
      </c>
      <c r="B5327" s="1832">
        <f>'Revenues 9-14'!C268</f>
        <v>6829218</v>
      </c>
      <c r="C5327" s="2" t="s">
        <v>569</v>
      </c>
      <c r="D5327" s="2" t="str">
        <f t="shared" si="82"/>
        <v>Error?</v>
      </c>
    </row>
    <row r="5328" spans="1:5" x14ac:dyDescent="0.2">
      <c r="A5328" s="5">
        <v>5267</v>
      </c>
      <c r="B5328" s="1832">
        <f>'Revenues 9-14'!D5</f>
        <v>396913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396913</v>
      </c>
      <c r="C5334" s="2" t="s">
        <v>569</v>
      </c>
      <c r="D5334" s="2" t="str">
        <f t="shared" si="82"/>
        <v>Error?</v>
      </c>
    </row>
    <row r="5335" spans="1:4" x14ac:dyDescent="0.2">
      <c r="A5335" s="5">
        <v>5274</v>
      </c>
      <c r="B5335" s="1832">
        <f>'Revenues 9-14'!D14</f>
        <v>1470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125000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126470</v>
      </c>
      <c r="C5339" s="2" t="s">
        <v>569</v>
      </c>
      <c r="D5339" s="2" t="str">
        <f t="shared" si="82"/>
        <v>Error?</v>
      </c>
    </row>
    <row r="5340" spans="1:4" x14ac:dyDescent="0.2">
      <c r="A5340" s="5">
        <v>5279</v>
      </c>
      <c r="B5340" s="1832">
        <f>'Revenues 9-14'!D65</f>
        <v>53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3108</v>
      </c>
      <c r="D5349" s="2" t="str">
        <f t="shared" si="82"/>
        <v>Error?</v>
      </c>
    </row>
    <row r="5350" spans="1:4" x14ac:dyDescent="0.2">
      <c r="A5350" s="5">
        <v>5289</v>
      </c>
      <c r="B5350" s="1832">
        <f>'Revenues 9-14'!D96</f>
        <v>28283</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561</v>
      </c>
      <c r="D5354" s="2" t="str">
        <f t="shared" si="82"/>
        <v>Error?</v>
      </c>
    </row>
    <row r="5355" spans="1:4" x14ac:dyDescent="0.2">
      <c r="A5355" s="5">
        <v>5294</v>
      </c>
      <c r="B5355" s="1832">
        <f>'Revenues 9-14'!D108</f>
        <v>31952</v>
      </c>
      <c r="C5355" s="2" t="s">
        <v>569</v>
      </c>
      <c r="D5355" s="2" t="str">
        <f t="shared" si="82"/>
        <v>Error?</v>
      </c>
    </row>
    <row r="5356" spans="1:4" x14ac:dyDescent="0.2">
      <c r="A5356" s="5">
        <v>5295</v>
      </c>
      <c r="B5356" s="1832">
        <f>'Revenues 9-14'!D109</f>
        <v>555388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705388</v>
      </c>
      <c r="C5508" s="2" t="s">
        <v>569</v>
      </c>
      <c r="D5508" s="2" t="str">
        <f t="shared" si="85"/>
        <v>Error?</v>
      </c>
    </row>
    <row r="5509" spans="1:4" x14ac:dyDescent="0.2">
      <c r="A5509" s="5">
        <v>5448</v>
      </c>
      <c r="B5509" s="1832">
        <f>'Revenues 9-14'!E5</f>
        <v>299851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299851</v>
      </c>
      <c r="C5513" s="2" t="s">
        <v>569</v>
      </c>
      <c r="D5513" s="2" t="str">
        <f t="shared" si="85"/>
        <v>Error?</v>
      </c>
    </row>
    <row r="5514" spans="1:4" x14ac:dyDescent="0.2">
      <c r="A5514" s="5">
        <v>5453</v>
      </c>
      <c r="B5514" s="1832">
        <f>'Revenues 9-14'!E14</f>
        <v>1146</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1146</v>
      </c>
      <c r="C5518" s="2" t="s">
        <v>569</v>
      </c>
      <c r="D5518" s="2" t="str">
        <f t="shared" si="85"/>
        <v>Error?</v>
      </c>
    </row>
    <row r="5519" spans="1:4" x14ac:dyDescent="0.2">
      <c r="A5519" s="5">
        <v>5458</v>
      </c>
      <c r="B5519" s="1832">
        <f>'Revenues 9-14'!E65</f>
        <v>7664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7664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100000</v>
      </c>
      <c r="C5526" s="2" t="s">
        <v>569</v>
      </c>
      <c r="D5526" s="2" t="str">
        <f t="shared" si="85"/>
        <v>Error?</v>
      </c>
    </row>
    <row r="5527" spans="1:4" x14ac:dyDescent="0.2">
      <c r="A5527" s="5">
        <v>5466</v>
      </c>
      <c r="B5527" s="1832">
        <f>'Revenues 9-14'!E109</f>
        <v>408661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408661</v>
      </c>
      <c r="C5552" s="2" t="s">
        <v>569</v>
      </c>
      <c r="D5552" s="2" t="str">
        <f t="shared" si="85"/>
        <v>Error?</v>
      </c>
    </row>
    <row r="5553" spans="1:4" x14ac:dyDescent="0.2">
      <c r="A5553" s="5">
        <v>5492</v>
      </c>
      <c r="B5553" s="1832">
        <f>'Revenues 9-14'!F5</f>
        <v>158765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158765</v>
      </c>
      <c r="C5557" s="2" t="s">
        <v>569</v>
      </c>
      <c r="D5557" s="2" t="str">
        <f t="shared" si="85"/>
        <v>Error?</v>
      </c>
    </row>
    <row r="5558" spans="1:4" x14ac:dyDescent="0.2">
      <c r="A5558" s="5">
        <v>5497</v>
      </c>
      <c r="B5558" s="1832">
        <f>'Revenues 9-14'!F14</f>
        <v>588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588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3459</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3459</v>
      </c>
      <c r="C5579" s="2" t="s">
        <v>569</v>
      </c>
      <c r="D5579" s="2" t="str">
        <f t="shared" si="86"/>
        <v>Error?</v>
      </c>
    </row>
    <row r="5580" spans="1:4" x14ac:dyDescent="0.2">
      <c r="A5580" s="5">
        <v>5519</v>
      </c>
      <c r="B5580" s="1832">
        <f>'Revenues 9-14'!F65</f>
        <v>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301</v>
      </c>
      <c r="D5586" s="2" t="str">
        <f t="shared" si="86"/>
        <v>Error?</v>
      </c>
    </row>
    <row r="5587" spans="1:4" x14ac:dyDescent="0.2">
      <c r="A5587" s="5">
        <v>5526</v>
      </c>
      <c r="B5587" s="1832">
        <f>'Revenues 9-14'!F108</f>
        <v>301</v>
      </c>
      <c r="C5587" s="2" t="s">
        <v>569</v>
      </c>
      <c r="D5587" s="2" t="str">
        <f t="shared" si="86"/>
        <v>Error?</v>
      </c>
    </row>
    <row r="5588" spans="1:4" x14ac:dyDescent="0.2">
      <c r="A5588" s="5">
        <v>5527</v>
      </c>
      <c r="B5588" s="1832">
        <f>'Revenues 9-14'!F109</f>
        <v>163119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75000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75000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274912</v>
      </c>
      <c r="D5615" s="2" t="str">
        <f t="shared" si="86"/>
        <v>Error?</v>
      </c>
    </row>
    <row r="5616" spans="1:4" x14ac:dyDescent="0.2">
      <c r="A5616" s="10">
        <v>5555</v>
      </c>
      <c r="B5616" s="1832"/>
      <c r="D5616" s="2" t="str">
        <f t="shared" si="86"/>
        <v>OK</v>
      </c>
    </row>
    <row r="5617" spans="1:5" x14ac:dyDescent="0.2">
      <c r="A5617" s="5">
        <v>5556</v>
      </c>
      <c r="B5617" s="1832">
        <f>'Revenues 9-14'!F153</f>
        <v>113261</v>
      </c>
      <c r="D5617" s="2" t="str">
        <f t="shared" si="86"/>
        <v>Error?</v>
      </c>
    </row>
    <row r="5618" spans="1:5" x14ac:dyDescent="0.2">
      <c r="A5618" s="5">
        <v>5557</v>
      </c>
      <c r="B5618" s="1832">
        <f>'Revenues 9-14'!F155</f>
        <v>388173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388173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463173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626292</v>
      </c>
      <c r="C5720" s="2" t="s">
        <v>569</v>
      </c>
      <c r="D5720" s="2" t="str">
        <f t="shared" si="88"/>
        <v>Error?</v>
      </c>
    </row>
    <row r="5721" spans="1:4" x14ac:dyDescent="0.2">
      <c r="A5721" s="5">
        <v>5660</v>
      </c>
      <c r="B5721" s="1832">
        <f>'Revenues 9-14'!G5</f>
        <v>99784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200086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299870</v>
      </c>
      <c r="C5725" s="2" t="s">
        <v>569</v>
      </c>
      <c r="D5725" s="2" t="str">
        <f t="shared" si="88"/>
        <v>Error?</v>
      </c>
    </row>
    <row r="5726" spans="1:4" x14ac:dyDescent="0.2">
      <c r="A5726" s="5">
        <v>5665</v>
      </c>
      <c r="B5726" s="1832">
        <f>'Revenues 9-14'!G14</f>
        <v>1144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8471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9615</v>
      </c>
      <c r="C5730" s="2" t="s">
        <v>569</v>
      </c>
      <c r="D5730" s="2" t="str">
        <f t="shared" si="88"/>
        <v>Error?</v>
      </c>
    </row>
    <row r="5731" spans="1:4" x14ac:dyDescent="0.2">
      <c r="A5731" s="5">
        <v>5670</v>
      </c>
      <c r="B5731" s="1832">
        <f>'Revenues 9-14'!G65</f>
        <v>1598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4014</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4014</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4014</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315097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588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588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219494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220082</v>
      </c>
      <c r="C5915" s="2" t="s">
        <v>569</v>
      </c>
      <c r="D5915" s="2" t="str">
        <f t="shared" si="91"/>
        <v>Error?</v>
      </c>
    </row>
    <row r="5916" spans="1:4" x14ac:dyDescent="0.2">
      <c r="A5916" s="5">
        <v>5855</v>
      </c>
      <c r="B5916" s="1832">
        <f>'Revenues 9-14'!I5</f>
        <v>39691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39691</v>
      </c>
      <c r="C5918" s="2" t="s">
        <v>569</v>
      </c>
      <c r="D5918" s="2" t="str">
        <f t="shared" si="91"/>
        <v>Error?</v>
      </c>
    </row>
    <row r="5919" spans="1:4" x14ac:dyDescent="0.2">
      <c r="A5919" s="5">
        <v>5858</v>
      </c>
      <c r="B5919" s="1832">
        <f>'Revenues 9-14'!I14</f>
        <v>147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147</v>
      </c>
      <c r="C5923" s="2" t="s">
        <v>569</v>
      </c>
      <c r="D5923" s="2" t="str">
        <f t="shared" si="91"/>
        <v>Error?</v>
      </c>
    </row>
    <row r="5924" spans="1:4" x14ac:dyDescent="0.2">
      <c r="A5924" s="5">
        <v>5863</v>
      </c>
      <c r="B5924" s="1832">
        <f>'Revenues 9-14'!I65</f>
        <v>8774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8774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48612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2571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2571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2571</v>
      </c>
      <c r="C6023" s="2" t="s">
        <v>569</v>
      </c>
      <c r="D6023" s="2" t="str">
        <f t="shared" si="93"/>
        <v>Error?</v>
      </c>
    </row>
    <row r="6024" spans="1:5" x14ac:dyDescent="0.2">
      <c r="A6024" s="5">
        <v>5963</v>
      </c>
      <c r="B6024" s="1832">
        <f>'Revenues 9-14'!G109</f>
        <v>311083</v>
      </c>
      <c r="C6024" s="2" t="s">
        <v>569</v>
      </c>
      <c r="D6024" s="2" t="str">
        <f t="shared" si="93"/>
        <v>Error?</v>
      </c>
    </row>
    <row r="6025" spans="1:5" x14ac:dyDescent="0.2">
      <c r="A6025" s="5">
        <v>5964</v>
      </c>
      <c r="B6025" s="1832">
        <f>'Revenues 9-14'!H109</f>
        <v>220082</v>
      </c>
      <c r="C6025" s="2" t="s">
        <v>569</v>
      </c>
      <c r="D6025" s="2" t="str">
        <f t="shared" si="93"/>
        <v>Error?</v>
      </c>
    </row>
    <row r="6026" spans="1:5" x14ac:dyDescent="0.2">
      <c r="A6026" s="5">
        <v>5965</v>
      </c>
      <c r="B6026" s="1832">
        <f>'Revenues 9-14'!I109</f>
        <v>48612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2571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135230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51060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910.3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497452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497452</v>
      </c>
      <c r="D6215" s="2" t="str">
        <f t="shared" si="96"/>
        <v>Error?</v>
      </c>
      <c r="E6215" s="2" t="s">
        <v>189</v>
      </c>
    </row>
    <row r="6216" spans="1:5" x14ac:dyDescent="0.2">
      <c r="A6216">
        <v>6155</v>
      </c>
      <c r="B6216" s="1832">
        <f>'Assets-Liab 5-6'!J41</f>
        <v>497452</v>
      </c>
      <c r="D6216" s="2" t="str">
        <f t="shared" si="96"/>
        <v>Error?</v>
      </c>
      <c r="E6216" s="2" t="s">
        <v>189</v>
      </c>
    </row>
    <row r="6217" spans="1:5" x14ac:dyDescent="0.2">
      <c r="A6217">
        <v>6156</v>
      </c>
      <c r="B6217" s="1832">
        <f>'Assets-Liab 5-6'!J4</f>
        <v>85957</v>
      </c>
      <c r="D6217" s="2" t="str">
        <f t="shared" si="96"/>
        <v>Error?</v>
      </c>
      <c r="E6217" s="2" t="s">
        <v>189</v>
      </c>
    </row>
    <row r="6218" spans="1:5" x14ac:dyDescent="0.2">
      <c r="A6218">
        <v>6157</v>
      </c>
      <c r="B6218" s="1832">
        <f>'Assets-Liab 5-6'!J5</f>
        <v>411495</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213757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213757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213757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125499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125499</v>
      </c>
      <c r="D6229" s="2" t="str">
        <f t="shared" si="96"/>
        <v>Error?</v>
      </c>
      <c r="E6229" s="2" t="s">
        <v>189</v>
      </c>
    </row>
    <row r="6230" spans="1:5" x14ac:dyDescent="0.2">
      <c r="A6230">
        <v>6169</v>
      </c>
      <c r="B6230" s="1832">
        <f>'Acct Summary 7-8'!J20</f>
        <v>88258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36500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88258</v>
      </c>
      <c r="D6263" s="2" t="str">
        <f t="shared" si="96"/>
        <v>Error?</v>
      </c>
      <c r="E6263" s="2" t="s">
        <v>189</v>
      </c>
    </row>
    <row r="6264" spans="1:5" x14ac:dyDescent="0.2">
      <c r="A6264">
        <v>6203</v>
      </c>
      <c r="B6264" s="1832">
        <f>'Acct Summary 7-8'!J79</f>
        <v>409194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497452</v>
      </c>
      <c r="D6266" s="2" t="str">
        <f t="shared" si="96"/>
        <v>Error?</v>
      </c>
      <c r="E6266" s="2" t="s">
        <v>189</v>
      </c>
    </row>
    <row r="6267" spans="1:5" x14ac:dyDescent="0.2">
      <c r="A6267">
        <v>6206</v>
      </c>
      <c r="B6267" s="1832">
        <f>'Acct Summary 7-8'!C82</f>
        <v>227558</v>
      </c>
      <c r="D6267" s="2" t="str">
        <f t="shared" si="96"/>
        <v>Error?</v>
      </c>
      <c r="E6267" s="2" t="s">
        <v>189</v>
      </c>
    </row>
    <row r="6268" spans="1:5" x14ac:dyDescent="0.2">
      <c r="A6268">
        <v>6207</v>
      </c>
      <c r="B6268" s="1832">
        <f>'Acct Summary 7-8'!D82</f>
        <v>55885</v>
      </c>
      <c r="D6268" s="2" t="str">
        <f t="shared" si="96"/>
        <v>Error?</v>
      </c>
      <c r="E6268" s="2" t="s">
        <v>189</v>
      </c>
    </row>
    <row r="6269" spans="1:5" x14ac:dyDescent="0.2">
      <c r="A6269">
        <v>6208</v>
      </c>
      <c r="B6269" s="1832">
        <f>'Acct Summary 7-8'!E82</f>
        <v>107427</v>
      </c>
      <c r="D6269" s="2" t="str">
        <f t="shared" si="96"/>
        <v>Error?</v>
      </c>
      <c r="E6269" s="2" t="s">
        <v>189</v>
      </c>
    </row>
    <row r="6270" spans="1:5" x14ac:dyDescent="0.2">
      <c r="A6270">
        <v>6209</v>
      </c>
      <c r="B6270" s="1832">
        <f>'Acct Summary 7-8'!F82</f>
        <v>-46237</v>
      </c>
      <c r="D6270" s="2" t="str">
        <f t="shared" si="96"/>
        <v>Error?</v>
      </c>
      <c r="E6270" s="2" t="s">
        <v>189</v>
      </c>
    </row>
    <row r="6271" spans="1:5" x14ac:dyDescent="0.2">
      <c r="A6271">
        <v>6210</v>
      </c>
      <c r="B6271" s="1832">
        <f>'Acct Summary 7-8'!G82</f>
        <v>34609</v>
      </c>
      <c r="D6271" s="2" t="str">
        <f t="shared" ref="D6271:D6334" si="97">IF(ISBLANK(B6271),"OK",IF(A6271-B6271=0,"OK","Error?"))</f>
        <v>Error?</v>
      </c>
      <c r="E6271" s="2" t="s">
        <v>189</v>
      </c>
    </row>
    <row r="6272" spans="1:5" x14ac:dyDescent="0.2">
      <c r="A6272">
        <v>6211</v>
      </c>
      <c r="B6272" s="1832">
        <f>'Acct Summary 7-8'!H82</f>
        <v>157884</v>
      </c>
      <c r="D6272" s="2" t="str">
        <f t="shared" si="97"/>
        <v>Error?</v>
      </c>
      <c r="E6272" s="2" t="s">
        <v>189</v>
      </c>
    </row>
    <row r="6273" spans="1:5" x14ac:dyDescent="0.2">
      <c r="A6273">
        <v>6212</v>
      </c>
      <c r="B6273" s="1832">
        <f>'Acct Summary 7-8'!I82</f>
        <v>1812112</v>
      </c>
      <c r="D6273" s="2" t="str">
        <f t="shared" si="97"/>
        <v>Error?</v>
      </c>
      <c r="E6273" s="2" t="s">
        <v>189</v>
      </c>
    </row>
    <row r="6274" spans="1:5" x14ac:dyDescent="0.2">
      <c r="A6274">
        <v>6213</v>
      </c>
      <c r="B6274" s="1832">
        <f>'Acct Summary 7-8'!J82</f>
        <v>88258</v>
      </c>
      <c r="D6274" s="2" t="str">
        <f t="shared" si="97"/>
        <v>Error?</v>
      </c>
      <c r="E6274" s="2" t="s">
        <v>189</v>
      </c>
    </row>
    <row r="6275" spans="1:5" x14ac:dyDescent="0.2">
      <c r="A6275">
        <v>6214</v>
      </c>
      <c r="B6275" s="1832">
        <f>'Acct Summary 7-8'!K82</f>
        <v>-132274</v>
      </c>
      <c r="D6275" s="2" t="str">
        <f t="shared" si="97"/>
        <v>Error?</v>
      </c>
      <c r="E6275" s="2" t="s">
        <v>189</v>
      </c>
    </row>
    <row r="6276" spans="1:5" x14ac:dyDescent="0.2">
      <c r="A6276">
        <v>6215</v>
      </c>
      <c r="B6276" s="1832">
        <f>'Acct Summary 7-8'!C83</f>
        <v>0.1225803289055855</v>
      </c>
      <c r="D6276" s="2" t="str">
        <f t="shared" si="97"/>
        <v>Error?</v>
      </c>
      <c r="E6276" s="2" t="s">
        <v>189</v>
      </c>
    </row>
    <row r="6277" spans="1:5" x14ac:dyDescent="0.2">
      <c r="A6277">
        <v>6216</v>
      </c>
      <c r="B6277" s="1832">
        <f>'Acct Summary 7-8'!D83</f>
        <v>0.92224037493605293</v>
      </c>
      <c r="D6277" s="2" t="str">
        <f t="shared" si="97"/>
        <v>Error?</v>
      </c>
      <c r="E6277" s="2" t="s">
        <v>189</v>
      </c>
    </row>
    <row r="6278" spans="1:5" x14ac:dyDescent="0.2">
      <c r="A6278">
        <v>6217</v>
      </c>
      <c r="B6278" s="1832">
        <f>'Acct Summary 7-8'!E83</f>
        <v>0.19799438235380851</v>
      </c>
      <c r="D6278" s="2" t="str">
        <f t="shared" si="97"/>
        <v>Error?</v>
      </c>
      <c r="E6278" s="2" t="s">
        <v>189</v>
      </c>
    </row>
    <row r="6279" spans="1:5" x14ac:dyDescent="0.2">
      <c r="A6279">
        <v>6218</v>
      </c>
      <c r="B6279" s="1832">
        <f>'Acct Summary 7-8'!F83</f>
        <v>-8.0608437935843789</v>
      </c>
      <c r="D6279" s="2" t="str">
        <f t="shared" si="97"/>
        <v>Error?</v>
      </c>
      <c r="E6279" s="2" t="s">
        <v>189</v>
      </c>
    </row>
    <row r="6280" spans="1:5" x14ac:dyDescent="0.2">
      <c r="A6280">
        <v>6219</v>
      </c>
      <c r="B6280" s="1832">
        <f>'Acct Summary 7-8'!G83</f>
        <v>0.11121108222659953</v>
      </c>
      <c r="D6280" s="2" t="str">
        <f t="shared" si="97"/>
        <v>Error?</v>
      </c>
      <c r="E6280" s="2" t="s">
        <v>189</v>
      </c>
    </row>
    <row r="6281" spans="1:5" x14ac:dyDescent="0.2">
      <c r="A6281">
        <v>6220</v>
      </c>
      <c r="B6281" s="1832">
        <f>'Acct Summary 7-8'!H83</f>
        <v>0.34820312069250703</v>
      </c>
      <c r="D6281" s="2" t="str">
        <f t="shared" si="97"/>
        <v>Error?</v>
      </c>
      <c r="E6281" s="2" t="s">
        <v>189</v>
      </c>
    </row>
    <row r="6282" spans="1:5" x14ac:dyDescent="0.2">
      <c r="A6282">
        <v>6221</v>
      </c>
      <c r="B6282" s="1832">
        <f>'Acct Summary 7-8'!I83</f>
        <v>0.63926059194976537</v>
      </c>
      <c r="D6282" s="2" t="str">
        <f t="shared" si="97"/>
        <v>Error?</v>
      </c>
      <c r="E6282" s="2" t="s">
        <v>189</v>
      </c>
    </row>
    <row r="6283" spans="1:5" x14ac:dyDescent="0.2">
      <c r="A6283">
        <v>6222</v>
      </c>
      <c r="B6283" s="1832">
        <f>'Acct Summary 7-8'!J83</f>
        <v>0.17742013299775658</v>
      </c>
      <c r="D6283" s="2" t="str">
        <f t="shared" si="97"/>
        <v>Error?</v>
      </c>
      <c r="E6283" s="2" t="s">
        <v>189</v>
      </c>
    </row>
    <row r="6284" spans="1:5" x14ac:dyDescent="0.2">
      <c r="A6284">
        <v>6223</v>
      </c>
      <c r="B6284" s="1832">
        <f>'Acct Summary 7-8'!K83</f>
        <v>-0.52210810512105976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209905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209905</v>
      </c>
      <c r="D6301" s="2" t="str">
        <f t="shared" si="97"/>
        <v>Error?</v>
      </c>
      <c r="E6301" s="2" t="s">
        <v>189</v>
      </c>
    </row>
    <row r="6302" spans="1:5" x14ac:dyDescent="0.2">
      <c r="A6302">
        <v>6241</v>
      </c>
      <c r="B6302" s="1832">
        <f>'Revenues 9-14'!J14</f>
        <v>801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801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2345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2345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4800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706</v>
      </c>
      <c r="D6350" s="2" t="str">
        <f t="shared" si="98"/>
        <v>Error?</v>
      </c>
      <c r="E6350" s="2" t="s">
        <v>189</v>
      </c>
    </row>
    <row r="6351" spans="1:5" x14ac:dyDescent="0.2">
      <c r="A6351">
        <v>6290</v>
      </c>
      <c r="B6351" s="1832">
        <f>'Revenues 9-14'!J108</f>
        <v>706</v>
      </c>
      <c r="D6351" s="2" t="str">
        <f t="shared" si="98"/>
        <v>Error?</v>
      </c>
      <c r="E6351" s="2" t="s">
        <v>189</v>
      </c>
    </row>
    <row r="6352" spans="1:5" x14ac:dyDescent="0.2">
      <c r="A6352">
        <v>6291</v>
      </c>
      <c r="B6352" s="1832">
        <f>'Revenues 9-14'!J109</f>
        <v>213757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22675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58837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95674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78652</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61477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125499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213757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4643</v>
      </c>
      <c r="D7073" s="2" t="str">
        <f t="shared" si="109"/>
        <v>Error?</v>
      </c>
    </row>
    <row r="7074" spans="1:4" x14ac:dyDescent="0.2">
      <c r="A7074">
        <v>7013</v>
      </c>
      <c r="B7074" s="1832">
        <f>'Expenditures 15-22'!K216</f>
        <v>4643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3108</v>
      </c>
      <c r="D7077" s="2" t="str">
        <f t="shared" si="109"/>
        <v>Error?</v>
      </c>
    </row>
    <row r="7078" spans="1:4" x14ac:dyDescent="0.2">
      <c r="A7078">
        <v>7017</v>
      </c>
      <c r="B7078" s="1832">
        <f>'Expenditures 15-22'!K220</f>
        <v>3108</v>
      </c>
      <c r="D7078" s="2" t="str">
        <f t="shared" si="109"/>
        <v>Error?</v>
      </c>
    </row>
    <row r="7079" spans="1:4" x14ac:dyDescent="0.2">
      <c r="A7079">
        <v>7018</v>
      </c>
      <c r="B7079" s="1832">
        <f>'Expenditures 15-22'!D226</f>
        <v>713</v>
      </c>
      <c r="D7079" s="2" t="str">
        <f t="shared" si="109"/>
        <v>Error?</v>
      </c>
    </row>
    <row r="7080" spans="1:4" x14ac:dyDescent="0.2">
      <c r="A7080">
        <v>7019</v>
      </c>
      <c r="B7080" s="1832">
        <f>'Expenditures 15-22'!K226</f>
        <v>713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46271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46271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79228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79228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125499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125499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125499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125499</v>
      </c>
      <c r="D7224" s="2" t="str">
        <f t="shared" si="111"/>
        <v>Error?</v>
      </c>
    </row>
    <row r="7225" spans="1:4" x14ac:dyDescent="0.2">
      <c r="A7225">
        <v>7164</v>
      </c>
      <c r="B7225" s="1832">
        <f>'Expenditures 15-22'!K343</f>
        <v>88258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8578</v>
      </c>
      <c r="D7246" s="2" t="str">
        <f t="shared" si="112"/>
        <v>Error?</v>
      </c>
    </row>
    <row r="7247" spans="1:4" x14ac:dyDescent="0.2">
      <c r="A7247">
        <f t="shared" si="113"/>
        <v>7186</v>
      </c>
      <c r="B7247" s="1832">
        <f>'Expenditures 15-22'!E7</f>
        <v>8156</v>
      </c>
      <c r="D7247" s="2" t="str">
        <f t="shared" si="112"/>
        <v>Error?</v>
      </c>
    </row>
    <row r="7248" spans="1:4" x14ac:dyDescent="0.2">
      <c r="A7248">
        <f t="shared" si="113"/>
        <v>7187</v>
      </c>
      <c r="B7248" s="1832">
        <f>'Expenditures 15-22'!F7</f>
        <v>14849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5254</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63632</v>
      </c>
      <c r="D7257" s="2" t="str">
        <f t="shared" si="112"/>
        <v>Error?</v>
      </c>
    </row>
    <row r="7258" spans="1:4" x14ac:dyDescent="0.2">
      <c r="A7258">
        <f t="shared" si="113"/>
        <v>7197</v>
      </c>
      <c r="B7258" s="1832">
        <f>'Expenditures 15-22'!D11</f>
        <v>14413</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607</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49409</v>
      </c>
      <c r="D7263" s="2" t="str">
        <f t="shared" si="112"/>
        <v>Error?</v>
      </c>
    </row>
    <row r="7264" spans="1:4" x14ac:dyDescent="0.2">
      <c r="A7264">
        <f t="shared" si="113"/>
        <v>7203</v>
      </c>
      <c r="B7264" s="1832">
        <f>'Expenditures 15-22'!D17</f>
        <v>10775</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1293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355952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186136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588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4800</v>
      </c>
      <c r="D7712" s="2" t="str">
        <f t="shared" si="126"/>
        <v>Error?</v>
      </c>
      <c r="E7712" s="2" t="s">
        <v>822</v>
      </c>
    </row>
    <row r="7713" spans="1:6" x14ac:dyDescent="0.2">
      <c r="A7713">
        <v>7652</v>
      </c>
      <c r="B7713" s="1832">
        <f>'Rest Tax Levies-Tort Im 25'!J8</f>
        <v>319494</v>
      </c>
      <c r="D7713" s="2" t="str">
        <f t="shared" si="126"/>
        <v>Error?</v>
      </c>
      <c r="E7713" s="2" t="s">
        <v>822</v>
      </c>
    </row>
    <row r="7714" spans="1:6" x14ac:dyDescent="0.2">
      <c r="A7714">
        <v>7653</v>
      </c>
      <c r="B7714" s="1832">
        <f>'Rest Tax Levies-Tort Im 25'!K9</f>
        <v>10005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320082</v>
      </c>
      <c r="D7718" s="2" t="str">
        <f t="shared" si="126"/>
        <v>Error?</v>
      </c>
      <c r="E7718" s="2" t="s">
        <v>822</v>
      </c>
    </row>
    <row r="7719" spans="1:6" x14ac:dyDescent="0.2">
      <c r="A7719">
        <v>7658</v>
      </c>
      <c r="B7719" s="1832">
        <f>'Rest Tax Levies-Tort Im 25'!K12</f>
        <v>14805</v>
      </c>
      <c r="D7719" s="2" t="str">
        <f t="shared" si="126"/>
        <v>Error?</v>
      </c>
      <c r="E7719" s="2" t="s">
        <v>822</v>
      </c>
    </row>
    <row r="7720" spans="1:6" x14ac:dyDescent="0.2">
      <c r="A7720">
        <v>7659</v>
      </c>
      <c r="B7720" s="1832">
        <f>'Rest Tax Levies-Tort Im 25'!H14</f>
        <v>31753</v>
      </c>
      <c r="D7720" s="2" t="str">
        <f t="shared" si="126"/>
        <v>Error?</v>
      </c>
      <c r="E7720" s="2" t="s">
        <v>822</v>
      </c>
    </row>
    <row r="7721" spans="1:6" x14ac:dyDescent="0.2">
      <c r="A7721">
        <v>7660</v>
      </c>
      <c r="B7721" s="1832">
        <f>'Rest Tax Levies-Tort Im 25'!K14</f>
        <v>14805</v>
      </c>
      <c r="D7721" s="2" t="str">
        <f t="shared" si="126"/>
        <v>Error?</v>
      </c>
      <c r="E7721" s="2" t="s">
        <v>822</v>
      </c>
    </row>
    <row r="7722" spans="1:6" x14ac:dyDescent="0.2">
      <c r="A7722">
        <v>7661</v>
      </c>
      <c r="B7722" s="1832">
        <f>'Rest Tax Levies-Tort Im 25'!J15</f>
        <v>62198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100000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100000</v>
      </c>
      <c r="D7727" s="2" t="str">
        <f t="shared" si="126"/>
        <v>Error?</v>
      </c>
      <c r="E7727" s="2" t="s">
        <v>822</v>
      </c>
    </row>
    <row r="7728" spans="1:6" x14ac:dyDescent="0.2">
      <c r="A7728">
        <v>7667</v>
      </c>
      <c r="B7728" s="1832">
        <f>'Revenues 9-14'!E103</f>
        <v>100000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162198</v>
      </c>
      <c r="D7730" s="2" t="str">
        <f t="shared" si="126"/>
        <v>Error?</v>
      </c>
      <c r="E7730" s="2" t="s">
        <v>822</v>
      </c>
    </row>
    <row r="7731" spans="1:6" x14ac:dyDescent="0.2">
      <c r="A7731">
        <v>7670</v>
      </c>
      <c r="B7731" s="1832">
        <f>'Revenues 9-14'!H103</f>
        <v>219494</v>
      </c>
      <c r="D7731" s="2" t="str">
        <f t="shared" si="126"/>
        <v>Error?</v>
      </c>
      <c r="E7731" s="2" t="s">
        <v>822</v>
      </c>
    </row>
    <row r="7732" spans="1:6" x14ac:dyDescent="0.2">
      <c r="A7732">
        <v>7671</v>
      </c>
      <c r="B7732" s="1832">
        <f>'Rest Tax Levies-Tort Im 25'!J24</f>
        <v>344020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344020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14805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4033907</v>
      </c>
      <c r="D7817" s="2" t="str">
        <f t="shared" si="128"/>
        <v>Error?</v>
      </c>
      <c r="E7817" s="4" t="s">
        <v>1966</v>
      </c>
    </row>
    <row r="7818" spans="1:5" x14ac:dyDescent="0.2">
      <c r="A7818">
        <v>7757</v>
      </c>
      <c r="B7818" s="1832">
        <f>'PCTC-OEPP 27-28'!F172</f>
        <v>306806.53000000003</v>
      </c>
      <c r="D7818" s="2" t="str">
        <f t="shared" si="128"/>
        <v>Error?</v>
      </c>
      <c r="E7818" s="4" t="s">
        <v>1980</v>
      </c>
    </row>
    <row r="7819" spans="1:5" x14ac:dyDescent="0.2">
      <c r="A7819">
        <v>7758</v>
      </c>
      <c r="B7819" s="1832">
        <f>'PCTC-OEPP 27-28'!F173</f>
        <v>227.1</v>
      </c>
      <c r="D7819" s="2" t="str">
        <f t="shared" si="128"/>
        <v>Error?</v>
      </c>
      <c r="E7819" s="4" t="s">
        <v>1980</v>
      </c>
    </row>
    <row r="7820" spans="1:5" x14ac:dyDescent="0.2">
      <c r="A7820">
        <v>7759</v>
      </c>
      <c r="B7820" s="1832">
        <f>'ICR Computation 30'!E40</f>
        <v>-88608</v>
      </c>
      <c r="D7820" s="2" t="str">
        <f t="shared" si="128"/>
        <v>Error?</v>
      </c>
    </row>
    <row r="7821" spans="1:5" x14ac:dyDescent="0.2">
      <c r="A7821">
        <v>7760</v>
      </c>
      <c r="B7821" s="1832">
        <f>'ICR Computation 30'!G40</f>
        <v>-88608</v>
      </c>
      <c r="D7821" s="2" t="str">
        <f t="shared" si="128"/>
        <v>Error?</v>
      </c>
    </row>
    <row r="7822" spans="1:5" x14ac:dyDescent="0.2">
      <c r="A7822" s="1">
        <v>7761</v>
      </c>
      <c r="B7822" s="1832">
        <f>'PCTC-OEPP 27-28'!F14</f>
        <v>8630913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95674</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78652</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974434</v>
      </c>
      <c r="D7834" s="2" t="str">
        <f t="shared" si="129"/>
        <v>Error?</v>
      </c>
      <c r="E7834" s="4" t="s">
        <v>1998</v>
      </c>
    </row>
    <row r="7835" spans="1:5" x14ac:dyDescent="0.2">
      <c r="A7835">
        <v>7774</v>
      </c>
      <c r="B7835" s="1832">
        <f>'PCTC-OEPP 27-28'!F78</f>
        <v>7656479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8410.9403493353839</v>
      </c>
      <c r="D7837" s="2" t="str">
        <f t="shared" si="129"/>
        <v>Error?</v>
      </c>
      <c r="E7837" s="4" t="s">
        <v>1998</v>
      </c>
    </row>
    <row r="7838" spans="1:5" x14ac:dyDescent="0.2">
      <c r="A7838">
        <v>7777</v>
      </c>
      <c r="B7838" s="1832">
        <f>'PCTC-OEPP 27-28'!F96</f>
        <v>53331</v>
      </c>
      <c r="D7838" s="2" t="str">
        <f t="shared" si="129"/>
        <v>Error?</v>
      </c>
      <c r="E7838" s="4" t="s">
        <v>1998</v>
      </c>
    </row>
    <row r="7839" spans="1:5" x14ac:dyDescent="0.2">
      <c r="A7839">
        <v>7778</v>
      </c>
      <c r="B7839" s="1832">
        <f>'PCTC-OEPP 27-28'!F102</f>
        <v>3108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18935</v>
      </c>
      <c r="D7842" s="2" t="str">
        <f t="shared" si="129"/>
        <v>Error?</v>
      </c>
      <c r="E7842" s="4" t="s">
        <v>1998</v>
      </c>
    </row>
    <row r="7843" spans="1:5" x14ac:dyDescent="0.2">
      <c r="A7843">
        <v>7782</v>
      </c>
      <c r="B7843" s="1832">
        <f>'PCTC-OEPP 27-28'!F107</f>
        <v>22675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10005</v>
      </c>
      <c r="D7846" s="2" t="str">
        <f t="shared" si="129"/>
        <v>Error?</v>
      </c>
      <c r="E7846" s="4" t="s">
        <v>1998</v>
      </c>
    </row>
    <row r="7847" spans="1:5" x14ac:dyDescent="0.2">
      <c r="A7847">
        <v>7786</v>
      </c>
      <c r="B7847" s="1832">
        <f>'PCTC-OEPP 27-28'!F112</f>
        <v>388173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45370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205153</v>
      </c>
      <c r="D7858" s="2" t="str">
        <f t="shared" si="129"/>
        <v>Error?</v>
      </c>
      <c r="E7858" s="4" t="s">
        <v>1998</v>
      </c>
    </row>
    <row r="7859" spans="1:5" x14ac:dyDescent="0.2">
      <c r="A7859">
        <v>7798</v>
      </c>
      <c r="B7859" s="1832">
        <f>'PCTC-OEPP 27-28'!F127</f>
        <v>154861</v>
      </c>
      <c r="D7859" s="2" t="str">
        <f t="shared" si="129"/>
        <v>Error?</v>
      </c>
      <c r="E7859" s="4" t="s">
        <v>1998</v>
      </c>
    </row>
    <row r="7860" spans="1:5" x14ac:dyDescent="0.2">
      <c r="A7860">
        <v>7799</v>
      </c>
      <c r="B7860" s="1832">
        <f>'PCTC-OEPP 27-28'!F128</f>
        <v>5395</v>
      </c>
      <c r="D7860" s="2" t="str">
        <f t="shared" si="129"/>
        <v>Error?</v>
      </c>
      <c r="E7860" s="4" t="s">
        <v>1998</v>
      </c>
    </row>
    <row r="7861" spans="1:5" x14ac:dyDescent="0.2">
      <c r="A7861">
        <v>7800</v>
      </c>
      <c r="B7861" s="1832">
        <f>'PCTC-OEPP 27-28'!F129</f>
        <v>122818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31827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8858</v>
      </c>
      <c r="D7874" s="2" t="str">
        <f t="shared" si="129"/>
        <v>Error?</v>
      </c>
      <c r="E7874" s="4" t="s">
        <v>1998</v>
      </c>
    </row>
    <row r="7875" spans="1:5" x14ac:dyDescent="0.2">
      <c r="A7875">
        <v>7814</v>
      </c>
      <c r="B7875" s="1832">
        <f>'PCTC-OEPP 27-28'!F170</f>
        <v>45328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1666364.6300000001</v>
      </c>
      <c r="D7877" s="2" t="str">
        <f t="shared" si="129"/>
        <v>Error?</v>
      </c>
      <c r="E7877" s="4" t="s">
        <v>1998</v>
      </c>
    </row>
    <row r="7878" spans="1:5" x14ac:dyDescent="0.2">
      <c r="A7878">
        <v>7817</v>
      </c>
      <c r="B7878" s="1832">
        <f>'PCTC-OEPP 27-28'!F176</f>
        <v>5990114.3700000001</v>
      </c>
      <c r="D7878" s="2" t="str">
        <f t="shared" si="129"/>
        <v>Error?</v>
      </c>
      <c r="E7878" s="4" t="s">
        <v>1998</v>
      </c>
    </row>
    <row r="7879" spans="1:5" x14ac:dyDescent="0.2">
      <c r="A7879">
        <v>7818</v>
      </c>
      <c r="B7879" s="1832">
        <f>'PCTC-OEPP 27-28'!F178</f>
        <v>6346066.3700000001</v>
      </c>
      <c r="D7879" s="2" t="str">
        <f t="shared" si="129"/>
        <v>Error?</v>
      </c>
      <c r="E7879" s="4" t="s">
        <v>1998</v>
      </c>
    </row>
    <row r="7880" spans="1:5" x14ac:dyDescent="0.2">
      <c r="A7880">
        <v>7819</v>
      </c>
      <c r="B7880" s="1832">
        <f>'PCTC-OEPP 27-28'!F180</f>
        <v>6971.4010436119961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Edward Cty CUSD 1</v>
      </c>
      <c r="B7" s="2517"/>
      <c r="C7" s="2517"/>
      <c r="D7" s="2555"/>
      <c r="E7" s="2556">
        <f>COVER!A13</f>
        <v>20024001026</v>
      </c>
      <c r="F7" s="2557"/>
      <c r="G7" s="2523">
        <f>COVER!T23</f>
        <v>65.032562999999996</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Kemper CPA Group LLP</v>
      </c>
      <c r="H9" s="2530"/>
      <c r="I9" s="2530"/>
      <c r="J9" s="2530"/>
      <c r="K9" s="2530"/>
      <c r="L9" s="2531"/>
    </row>
    <row r="10" spans="1:29" ht="13.5" customHeight="1" x14ac:dyDescent="0.2">
      <c r="A10" s="2513" t="str">
        <f>COVER!A38</f>
        <v>David Cowger</v>
      </c>
      <c r="B10" s="2514"/>
      <c r="C10" s="2514"/>
      <c r="D10" s="2514"/>
      <c r="E10" s="2514"/>
      <c r="F10" s="2515"/>
      <c r="G10" s="2529" t="str">
        <f>COVER!T17</f>
        <v>703 W. Main St, PO Box 447</v>
      </c>
      <c r="H10" s="2542"/>
      <c r="I10" s="2542"/>
      <c r="J10" s="2542"/>
      <c r="K10" s="2542"/>
      <c r="L10" s="2543"/>
    </row>
    <row r="11" spans="1:29" ht="13.5" customHeight="1" x14ac:dyDescent="0.2">
      <c r="A11" s="963" t="s">
        <v>1502</v>
      </c>
      <c r="B11" s="964"/>
      <c r="C11" s="965"/>
      <c r="D11" s="970"/>
      <c r="E11" s="965"/>
      <c r="F11" s="969"/>
      <c r="G11" s="2529" t="str">
        <f>COVER!T19</f>
        <v>Olney</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kmclaren@kempercpa.com</v>
      </c>
      <c r="J13" s="2551"/>
      <c r="K13" s="2551"/>
      <c r="L13" s="2552"/>
    </row>
    <row r="14" spans="1:29" ht="13.5" customHeight="1" x14ac:dyDescent="0.2">
      <c r="A14" s="2529" t="str">
        <f>COVER!A19</f>
        <v>361 West Main Street</v>
      </c>
      <c r="B14" s="2542"/>
      <c r="C14" s="2542"/>
      <c r="D14" s="2542"/>
      <c r="E14" s="2542"/>
      <c r="F14" s="2543"/>
      <c r="G14" s="974" t="s">
        <v>1175</v>
      </c>
      <c r="H14" s="972"/>
      <c r="I14" s="972"/>
      <c r="J14" s="972"/>
      <c r="K14" s="972"/>
      <c r="L14" s="973"/>
    </row>
    <row r="15" spans="1:29" ht="13.5" customHeight="1" x14ac:dyDescent="0.2">
      <c r="A15" s="2529" t="str">
        <f>COVER!A21</f>
        <v>Albion</v>
      </c>
      <c r="B15" s="2542"/>
      <c r="C15" s="2542"/>
      <c r="D15" s="2542"/>
      <c r="E15" s="2542"/>
      <c r="F15" s="2543"/>
      <c r="G15" s="2539" t="str">
        <f>COVER!T15</f>
        <v>Krista McLaren</v>
      </c>
      <c r="H15" s="2540"/>
      <c r="I15" s="2540"/>
      <c r="J15" s="2540"/>
      <c r="K15" s="2540"/>
      <c r="L15" s="2541"/>
    </row>
    <row r="16" spans="1:29" ht="12.2" customHeight="1" x14ac:dyDescent="0.2">
      <c r="A16" s="2519">
        <f>COVER!A25</f>
        <v>62806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618-395-2105</v>
      </c>
      <c r="H18" s="2517"/>
      <c r="I18" s="2517"/>
      <c r="J18" s="2517"/>
      <c r="K18" s="2516" t="str">
        <f>COVER!X21</f>
        <v>618-395-7079</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Edward Cty CUSD 1</v>
      </c>
      <c r="B1" s="2559"/>
      <c r="C1" s="2559"/>
      <c r="D1" s="2559"/>
    </row>
    <row r="2" spans="1:11" s="991" customFormat="1" ht="12.75" x14ac:dyDescent="0.2">
      <c r="A2" s="2560">
        <f>'Single Audit Cover'!E7</f>
        <v>20024001026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Edward Cty CUSD 1</v>
      </c>
      <c r="B1" s="2563"/>
      <c r="C1" s="2563"/>
      <c r="D1" s="2563"/>
      <c r="E1" s="2563"/>
    </row>
    <row r="2" spans="1:5" x14ac:dyDescent="0.2">
      <c r="A2" s="2564">
        <f>'Single Audit Cover'!E7</f>
        <v>20024001026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579424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51060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-45328</v>
      </c>
    </row>
    <row r="19" spans="1:4" ht="13.5" thickBot="1" x14ac:dyDescent="0.25">
      <c r="A19" s="1041" t="s">
        <v>1224</v>
      </c>
      <c r="D19" s="1042">
        <f>SUM(D10:D17)</f>
        <v>585156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585156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585156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Edward Cty CUSD 1</v>
      </c>
      <c r="C1" s="2567"/>
      <c r="D1" s="2567"/>
      <c r="E1" s="2567"/>
      <c r="F1" s="2567"/>
      <c r="G1" s="2567"/>
      <c r="H1" s="2567"/>
      <c r="I1" s="2567"/>
      <c r="J1" s="2567"/>
      <c r="K1" s="2567"/>
      <c r="L1" s="2567"/>
      <c r="M1" s="2567"/>
    </row>
    <row r="2" spans="2:14" ht="15" x14ac:dyDescent="0.2">
      <c r="B2" s="2568">
        <f>'Single Audit Cover'!E7</f>
        <v>20024001026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Edward Cty CUSD 1</v>
      </c>
      <c r="B1" s="2572"/>
      <c r="C1" s="2572"/>
      <c r="D1" s="2572"/>
      <c r="E1" s="2572"/>
      <c r="F1" s="2572"/>
    </row>
    <row r="2" spans="1:7" ht="13.5" customHeight="1" x14ac:dyDescent="0.2">
      <c r="A2" s="2568">
        <f>'Single Audit Cover'!E7</f>
        <v>20024001026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2067</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K32" sqref="K3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Edward Cty CUSD 1</v>
      </c>
      <c r="C1" s="2588"/>
      <c r="D1" s="2588"/>
      <c r="E1" s="2588"/>
      <c r="F1" s="2588"/>
      <c r="G1" s="2588"/>
      <c r="H1" s="2588"/>
      <c r="I1" s="2588"/>
      <c r="J1" s="1178"/>
    </row>
    <row r="2" spans="2:10" s="295" customFormat="1" ht="12.75" customHeight="1" x14ac:dyDescent="0.2">
      <c r="B2" s="2589">
        <f>'Single Audit Cover'!E7</f>
        <v>20024001026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1154</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2051</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2051</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2051</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2051</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2051</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t="s">
        <v>2075</v>
      </c>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5" t="str">
        <f>"Total Federal Expenditures for 7/1/"&amp;MID('AFR20'!E2,3,2)-1&amp;"-6/30/"&amp;MID('AFR20'!E2,3,2)</f>
        <v>Total Federal Expenditures for 7/1/19-6/30/20</v>
      </c>
      <c r="C45" s="1916"/>
      <c r="D45" s="2605">
        <v>585643</v>
      </c>
      <c r="E45" s="2606"/>
    </row>
    <row r="46" spans="2:9" ht="5.25" customHeight="1" x14ac:dyDescent="0.2">
      <c r="B46" s="1201"/>
      <c r="D46" s="1202"/>
      <c r="E46" s="1203"/>
    </row>
    <row r="47" spans="2:9" ht="12.75" customHeight="1" x14ac:dyDescent="0.2">
      <c r="B47" s="1076" t="s">
        <v>1577</v>
      </c>
      <c r="C47" s="1076"/>
      <c r="D47" s="1204">
        <f>+G43/D45</f>
        <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7" zoomScale="110" zoomScaleNormal="110" workbookViewId="0">
      <selection activeCell="B21" sqref="B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Edward Cty CUSD 1</v>
      </c>
      <c r="C1" s="2587"/>
      <c r="D1" s="2587"/>
      <c r="E1" s="2587"/>
      <c r="F1" s="2587"/>
      <c r="G1" s="2587"/>
      <c r="H1" s="2587"/>
      <c r="I1" s="2587"/>
      <c r="J1" s="2587"/>
      <c r="K1" s="2587"/>
      <c r="L1" s="1144"/>
      <c r="M1" s="1144"/>
    </row>
    <row r="2" spans="1:13" ht="12" customHeight="1" x14ac:dyDescent="0.2">
      <c r="B2" s="2589">
        <f>'Single Audit Cover'!E7</f>
        <v>20024001026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2076</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2077</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2120</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2078</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2079</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2080</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2081</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Edward Cty CUSD 1</v>
      </c>
      <c r="C1" s="2614"/>
      <c r="D1" s="2614"/>
      <c r="E1" s="2614"/>
      <c r="F1" s="2614"/>
      <c r="G1" s="2614"/>
      <c r="H1" s="2614"/>
      <c r="I1" s="2614"/>
      <c r="J1" s="2614"/>
      <c r="K1" s="2614"/>
      <c r="L1" s="1221"/>
    </row>
    <row r="2" spans="1:12" ht="12.75" customHeight="1" x14ac:dyDescent="0.2">
      <c r="B2" s="2615">
        <f>'Single Audit Cover'!E7</f>
        <v>20024001026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Edward Cty CUSD 1</v>
      </c>
      <c r="C1" s="2587"/>
      <c r="D1" s="2587"/>
      <c r="E1" s="1240"/>
    </row>
    <row r="2" spans="2:5" s="1058" customFormat="1" ht="12.75" customHeight="1" x14ac:dyDescent="0.2">
      <c r="B2" s="2589">
        <f>'Single Audit Cover'!E7</f>
        <v>20024001026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t="s">
        <v>2082</v>
      </c>
      <c r="D7" s="302"/>
      <c r="E7" s="302"/>
    </row>
    <row r="8" spans="2:5" ht="13.5" customHeight="1" x14ac:dyDescent="0.2">
      <c r="B8" s="1245"/>
      <c r="C8" s="302" t="s">
        <v>2083</v>
      </c>
      <c r="D8" s="302"/>
      <c r="E8" s="302"/>
    </row>
    <row r="9" spans="2:5" ht="13.5" customHeight="1" x14ac:dyDescent="0.2">
      <c r="B9" s="1246"/>
      <c r="C9" s="301" t="s">
        <v>2084</v>
      </c>
      <c r="D9" s="301"/>
      <c r="E9" s="301"/>
    </row>
    <row r="10" spans="2:5" ht="13.5" customHeight="1" x14ac:dyDescent="0.2">
      <c r="B10" s="1245" t="s">
        <v>2087</v>
      </c>
      <c r="C10" s="301" t="s">
        <v>2085</v>
      </c>
      <c r="D10" s="301" t="s">
        <v>2086</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80783120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4">
        <f>ROUND(D10+F10+H10,5)</f>
        <v>2.5399999999999999E-2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8209510</v>
      </c>
      <c r="E16" s="1547"/>
      <c r="F16" s="1546">
        <f>SUM('Acct Summary 7-8'!C17,'Acct Summary 7-8'!D17,'Acct Summary 7-8'!F17)</f>
        <v>7923692</v>
      </c>
      <c r="G16" s="1547"/>
      <c r="H16" s="1546">
        <f>SUM(D16-F16)</f>
        <v>285818</v>
      </c>
      <c r="I16" s="1548"/>
      <c r="J16" s="1546">
        <f>SUM('Acct Summary 7-8'!C81,'Acct Summary 7-8'!D81,'Acct Summary 7-8'!F81,'Acct Summary 7-8'!I81)</f>
        <v>4757432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11148070.560000001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2603907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D31" sqref="D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Edward Cty CUSD 1</v>
      </c>
      <c r="E7" s="368"/>
      <c r="G7" s="247"/>
      <c r="H7" s="364"/>
      <c r="I7" s="364"/>
      <c r="J7" s="364"/>
      <c r="K7" s="364"/>
      <c r="L7" s="307"/>
      <c r="M7" s="307"/>
      <c r="N7" s="307"/>
      <c r="O7" s="307"/>
      <c r="P7" s="307"/>
    </row>
    <row r="8" spans="1:18" ht="12.75" x14ac:dyDescent="0.2">
      <c r="A8" s="307"/>
      <c r="B8" s="307"/>
      <c r="C8" s="366" t="s">
        <v>1115</v>
      </c>
      <c r="D8" s="369">
        <f>COVER!A13</f>
        <v>20024001026</v>
      </c>
      <c r="E8" s="370"/>
      <c r="G8" s="307"/>
      <c r="H8" s="307"/>
      <c r="I8" s="307"/>
      <c r="J8" s="307"/>
      <c r="K8" s="307"/>
      <c r="L8" s="307"/>
      <c r="M8" s="307"/>
      <c r="N8" s="307"/>
      <c r="O8" s="307"/>
      <c r="P8" s="307"/>
    </row>
    <row r="9" spans="1:18" ht="12.75" x14ac:dyDescent="0.2">
      <c r="A9" s="307"/>
      <c r="B9" s="307"/>
      <c r="C9" s="366" t="s">
        <v>708</v>
      </c>
      <c r="D9" s="371" t="str">
        <f>COVER!A15</f>
        <v>Edwards, Richland, 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4757432</v>
      </c>
      <c r="I12" s="380"/>
      <c r="J12" s="380"/>
      <c r="K12" s="1559">
        <f>TRUNC((H12/H13*100000),5)/100000</f>
        <v>0.57950255250000005</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8209510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7923692</v>
      </c>
      <c r="I17" s="380"/>
      <c r="J17" s="389"/>
      <c r="K17" s="1559">
        <f>TRUNC((H17/H18*100000),5)/100000</f>
        <v>0.96518452379999997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8209510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4757432</v>
      </c>
      <c r="I24" s="394"/>
      <c r="J24" s="394"/>
      <c r="K24" s="1555">
        <f>TRUNC(((H24/H25*100000)/100000),2)</f>
        <v>216.14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22010.255560000001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1744107.5608000001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2603907</v>
      </c>
      <c r="I32" s="392"/>
      <c r="J32" s="392"/>
      <c r="K32" s="1555">
        <f>TRUNC(100-((((H32/H33*100))*100)/100),2)</f>
        <v>76.64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11148070.560000001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6" activePane="bottomLeft" state="frozen"/>
      <selection pane="bottomLeft" activeCell="O29" sqref="O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69272</v>
      </c>
      <c r="D4" s="1573">
        <v>60597</v>
      </c>
      <c r="E4" s="1573">
        <v>19972</v>
      </c>
      <c r="F4" s="1573">
        <v>5736</v>
      </c>
      <c r="G4" s="1573">
        <v>73540</v>
      </c>
      <c r="H4" s="1573">
        <v>352839</v>
      </c>
      <c r="I4" s="1573">
        <v>10500</v>
      </c>
      <c r="J4" s="1574">
        <v>85957</v>
      </c>
      <c r="K4" s="1573">
        <v>1556</v>
      </c>
      <c r="L4" s="1573">
        <v>261566</v>
      </c>
      <c r="M4" s="1575"/>
      <c r="N4" s="1576"/>
    </row>
    <row r="5" spans="1:14" x14ac:dyDescent="0.2">
      <c r="A5" s="427" t="s">
        <v>985</v>
      </c>
      <c r="B5" s="429">
        <v>120</v>
      </c>
      <c r="C5" s="1572">
        <v>1787127</v>
      </c>
      <c r="D5" s="1573"/>
      <c r="E5" s="1573">
        <v>522604</v>
      </c>
      <c r="F5" s="1573"/>
      <c r="G5" s="1573">
        <v>237661</v>
      </c>
      <c r="H5" s="1573">
        <v>100586</v>
      </c>
      <c r="I5" s="1573">
        <v>2824200</v>
      </c>
      <c r="J5" s="1574">
        <v>411495</v>
      </c>
      <c r="K5" s="1577">
        <v>251790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1856399</v>
      </c>
      <c r="D13" s="1587">
        <f t="shared" ref="D13:L13" si="0">SUM(D4:D12)</f>
        <v>60597</v>
      </c>
      <c r="E13" s="1587">
        <f t="shared" si="0"/>
        <v>542576</v>
      </c>
      <c r="F13" s="1587">
        <f t="shared" si="0"/>
        <v>5736</v>
      </c>
      <c r="G13" s="1587">
        <f t="shared" si="0"/>
        <v>311201</v>
      </c>
      <c r="H13" s="1587">
        <f t="shared" si="0"/>
        <v>453425</v>
      </c>
      <c r="I13" s="1587">
        <f t="shared" si="0"/>
        <v>2834700</v>
      </c>
      <c r="J13" s="1587">
        <f t="shared" si="0"/>
        <v>497452</v>
      </c>
      <c r="K13" s="1587">
        <f t="shared" si="0"/>
        <v>253346</v>
      </c>
      <c r="L13" s="1587">
        <f t="shared" si="0"/>
        <v>261566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122582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9495991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1183376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2308516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7500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542576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2061331</v>
      </c>
    </row>
    <row r="23" spans="1:14" ht="13.5" customHeight="1" thickBot="1" x14ac:dyDescent="0.25">
      <c r="A23" s="1426" t="s">
        <v>638</v>
      </c>
      <c r="B23" s="1429"/>
      <c r="C23" s="1575"/>
      <c r="D23" s="1575"/>
      <c r="E23" s="1575"/>
      <c r="F23" s="1575"/>
      <c r="G23" s="1575"/>
      <c r="H23" s="1575"/>
      <c r="I23" s="1575"/>
      <c r="J23" s="1575"/>
      <c r="K23" s="1575"/>
      <c r="L23" s="1575"/>
      <c r="M23" s="1594">
        <f>SUM(M15:M22)</f>
        <v>13117965</v>
      </c>
      <c r="N23" s="1594">
        <f>SUM(N21:N22)</f>
        <v>2603907</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261566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261566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2603907</v>
      </c>
    </row>
    <row r="37" spans="1:14" ht="13.5" thickBot="1" x14ac:dyDescent="0.25">
      <c r="A37" s="1426" t="s">
        <v>648</v>
      </c>
      <c r="B37" s="1429"/>
      <c r="C37" s="1582"/>
      <c r="D37" s="1582"/>
      <c r="E37" s="1582"/>
      <c r="F37" s="1582"/>
      <c r="G37" s="1582"/>
      <c r="H37" s="1582"/>
      <c r="I37" s="1582"/>
      <c r="J37" s="1582"/>
      <c r="K37" s="1582"/>
      <c r="L37" s="1585"/>
      <c r="M37" s="1575"/>
      <c r="N37" s="1594">
        <f>SUM(N36:N36)</f>
        <v>2603907</v>
      </c>
    </row>
    <row r="38" spans="1:14" s="307" customFormat="1" ht="13.5" customHeight="1" thickTop="1" x14ac:dyDescent="0.2">
      <c r="A38" s="438" t="s">
        <v>417</v>
      </c>
      <c r="B38" s="432">
        <v>714</v>
      </c>
      <c r="C38" s="1573">
        <v>7457</v>
      </c>
      <c r="D38" s="1573">
        <v>50000</v>
      </c>
      <c r="E38" s="1573">
        <v>496898</v>
      </c>
      <c r="F38" s="1573"/>
      <c r="G38" s="1573">
        <v>106617</v>
      </c>
      <c r="H38" s="1573"/>
      <c r="I38" s="1573"/>
      <c r="J38" s="1574"/>
      <c r="K38" s="1573"/>
      <c r="L38" s="1586"/>
      <c r="M38" s="1604"/>
      <c r="N38" s="1604"/>
    </row>
    <row r="39" spans="1:14" s="307" customFormat="1" ht="13.5" customHeight="1" x14ac:dyDescent="0.2">
      <c r="A39" s="438" t="s">
        <v>339</v>
      </c>
      <c r="B39" s="432">
        <v>730</v>
      </c>
      <c r="C39" s="1573">
        <v>1848942</v>
      </c>
      <c r="D39" s="1573">
        <v>10597</v>
      </c>
      <c r="E39" s="1573">
        <v>45678</v>
      </c>
      <c r="F39" s="1573">
        <v>5736</v>
      </c>
      <c r="G39" s="1573">
        <v>204584</v>
      </c>
      <c r="H39" s="1573">
        <v>453425</v>
      </c>
      <c r="I39" s="1573">
        <v>2834700</v>
      </c>
      <c r="J39" s="1574">
        <v>497452</v>
      </c>
      <c r="K39" s="1573">
        <v>253346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13117965</v>
      </c>
      <c r="N40" s="1604"/>
    </row>
    <row r="41" spans="1:14" ht="13.5" customHeight="1" thickBot="1" x14ac:dyDescent="0.25">
      <c r="A41" s="1426" t="s">
        <v>650</v>
      </c>
      <c r="B41" s="1405"/>
      <c r="C41" s="1594">
        <f>(SUM(C34,C37,C38,C39))</f>
        <v>1856399</v>
      </c>
      <c r="D41" s="1594">
        <f t="shared" ref="D41:L41" si="2">SUM(D34,D37,D38:D39)</f>
        <v>60597</v>
      </c>
      <c r="E41" s="1594">
        <f t="shared" si="2"/>
        <v>542576</v>
      </c>
      <c r="F41" s="1594">
        <f t="shared" si="2"/>
        <v>5736</v>
      </c>
      <c r="G41" s="1594">
        <f t="shared" si="2"/>
        <v>311201</v>
      </c>
      <c r="H41" s="1594">
        <f t="shared" si="2"/>
        <v>453425</v>
      </c>
      <c r="I41" s="1594">
        <f t="shared" si="2"/>
        <v>2834700</v>
      </c>
      <c r="J41" s="1594">
        <f t="shared" si="2"/>
        <v>497452</v>
      </c>
      <c r="K41" s="1594">
        <f t="shared" si="2"/>
        <v>253346</v>
      </c>
      <c r="L41" s="1594">
        <f t="shared" si="2"/>
        <v>261566</v>
      </c>
      <c r="M41" s="1594">
        <f>SUM(M40)</f>
        <v>13117965</v>
      </c>
      <c r="N41" s="1594">
        <f>SUM(N37)</f>
        <v>2603907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12" activePane="bottomLeft" state="frozen"/>
      <selection pane="bottomLeft" activeCell="A96" sqref="A9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1885008</v>
      </c>
      <c r="D4" s="1606">
        <f>'Revenues 9-14'!D109</f>
        <v>555388</v>
      </c>
      <c r="E4" s="1606">
        <f>'Revenues 9-14'!E109</f>
        <v>408661</v>
      </c>
      <c r="F4" s="1606">
        <f>'Revenues 9-14'!F109</f>
        <v>163119</v>
      </c>
      <c r="G4" s="1606">
        <f>'Revenues 9-14'!G109</f>
        <v>311083</v>
      </c>
      <c r="H4" s="1606">
        <f>'Revenues 9-14'!H109</f>
        <v>220082</v>
      </c>
      <c r="I4" s="1606">
        <f>'Revenues 9-14'!I109</f>
        <v>48612</v>
      </c>
      <c r="J4" s="1606">
        <f>'Revenues 9-14'!J109</f>
        <v>213757</v>
      </c>
      <c r="K4" s="1606">
        <f>'Revenues 9-14'!K109</f>
        <v>2571</v>
      </c>
      <c r="L4" s="325"/>
    </row>
    <row r="5" spans="1:13" ht="15.75" customHeight="1" x14ac:dyDescent="0.2">
      <c r="A5" s="1314" t="s">
        <v>1483</v>
      </c>
      <c r="B5" s="1315">
        <v>2000</v>
      </c>
      <c r="C5" s="1607">
        <f>'Revenues 9-14'!C114</f>
        <v>11934</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4352852</v>
      </c>
      <c r="D6" s="1607">
        <f>'Revenues 9-14'!D170</f>
        <v>150000</v>
      </c>
      <c r="E6" s="1607">
        <f>'Revenues 9-14'!E170</f>
        <v>0</v>
      </c>
      <c r="F6" s="1607">
        <f>'Revenues 9-14'!F170</f>
        <v>463173</v>
      </c>
      <c r="G6" s="1607">
        <f>'Revenues 9-14'!G170</f>
        <v>4014</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579424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6829218</v>
      </c>
      <c r="D8" s="1594">
        <f t="shared" ref="D8:K8" si="0">SUM(D4:D7)</f>
        <v>705388</v>
      </c>
      <c r="E8" s="1594">
        <f t="shared" si="0"/>
        <v>408661</v>
      </c>
      <c r="F8" s="1594">
        <f t="shared" si="0"/>
        <v>626292</v>
      </c>
      <c r="G8" s="1594">
        <f t="shared" si="0"/>
        <v>315097</v>
      </c>
      <c r="H8" s="1594">
        <f t="shared" si="0"/>
        <v>220082</v>
      </c>
      <c r="I8" s="1594">
        <f t="shared" si="0"/>
        <v>48612</v>
      </c>
      <c r="J8" s="1594">
        <f t="shared" si="0"/>
        <v>213757</v>
      </c>
      <c r="K8" s="1594">
        <f t="shared" si="0"/>
        <v>2571</v>
      </c>
      <c r="L8" s="325"/>
    </row>
    <row r="9" spans="1:13" ht="15.75" thickTop="1" x14ac:dyDescent="0.2">
      <c r="A9" s="449" t="s">
        <v>1634</v>
      </c>
      <c r="B9" s="450">
        <v>3998</v>
      </c>
      <c r="C9" s="1586">
        <v>3465718</v>
      </c>
      <c r="D9" s="1613"/>
      <c r="E9" s="1586"/>
      <c r="F9" s="1586"/>
      <c r="G9" s="1614"/>
      <c r="H9" s="1586"/>
      <c r="I9" s="1609" t="s">
        <v>1159</v>
      </c>
      <c r="J9" s="1583"/>
      <c r="K9" s="1586"/>
      <c r="L9" s="325"/>
    </row>
    <row r="10" spans="1:13" s="452" customFormat="1" ht="13.5" thickBot="1" x14ac:dyDescent="0.25">
      <c r="A10" s="1426" t="s">
        <v>1163</v>
      </c>
      <c r="B10" s="1407"/>
      <c r="C10" s="1594">
        <f>SUM(C8:C9)</f>
        <v>10294936</v>
      </c>
      <c r="D10" s="1594">
        <f t="shared" ref="D10:K10" si="1">SUM(D8:D9)</f>
        <v>705388</v>
      </c>
      <c r="E10" s="1594">
        <f t="shared" si="1"/>
        <v>408661</v>
      </c>
      <c r="F10" s="1594">
        <f t="shared" si="1"/>
        <v>626292</v>
      </c>
      <c r="G10" s="1594">
        <f t="shared" si="1"/>
        <v>315097</v>
      </c>
      <c r="H10" s="1594">
        <f t="shared" si="1"/>
        <v>220082</v>
      </c>
      <c r="I10" s="1594">
        <f t="shared" si="1"/>
        <v>48612</v>
      </c>
      <c r="J10" s="1594">
        <f t="shared" si="1"/>
        <v>213757</v>
      </c>
      <c r="K10" s="1594">
        <f t="shared" si="1"/>
        <v>2571</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4826709</v>
      </c>
      <c r="D12" s="1616" t="s">
        <v>1159</v>
      </c>
      <c r="E12" s="1575" t="s">
        <v>1159</v>
      </c>
      <c r="F12" s="1575" t="s">
        <v>1159</v>
      </c>
      <c r="G12" s="1606">
        <f>'Expenditures 15-22'!K229</f>
        <v>122406</v>
      </c>
      <c r="H12" s="1617"/>
      <c r="I12" s="1575" t="s">
        <v>1159</v>
      </c>
      <c r="J12" s="1575" t="s">
        <v>1159</v>
      </c>
      <c r="K12" s="1617" t="s">
        <v>1159</v>
      </c>
      <c r="L12" s="325"/>
    </row>
    <row r="13" spans="1:13" ht="15.75" customHeight="1" x14ac:dyDescent="0.2">
      <c r="A13" s="1314" t="s">
        <v>454</v>
      </c>
      <c r="B13" s="1316">
        <v>2000</v>
      </c>
      <c r="C13" s="1607">
        <f>'Expenditures 15-22'!K74</f>
        <v>1508820</v>
      </c>
      <c r="D13" s="1607">
        <f>'Expenditures 15-22'!K129</f>
        <v>649503</v>
      </c>
      <c r="E13" s="1576" t="s">
        <v>1159</v>
      </c>
      <c r="F13" s="1607">
        <f>'Expenditures 15-22'!K184</f>
        <v>672529</v>
      </c>
      <c r="G13" s="1607">
        <f>'Expenditures 15-22'!K279</f>
        <v>158082</v>
      </c>
      <c r="H13" s="1607">
        <f>'Expenditures 15-22'!K303</f>
        <v>62198</v>
      </c>
      <c r="I13" s="1575" t="s">
        <v>1159</v>
      </c>
      <c r="J13" s="1607">
        <f>'Expenditures 15-22'!K330</f>
        <v>125499</v>
      </c>
      <c r="K13" s="1618">
        <f>'Expenditures 15-22'!K352</f>
        <v>134845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266131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301234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6601660</v>
      </c>
      <c r="D17" s="1594">
        <f t="shared" si="2"/>
        <v>649503</v>
      </c>
      <c r="E17" s="1594">
        <f t="shared" si="2"/>
        <v>301234</v>
      </c>
      <c r="F17" s="1594">
        <f t="shared" si="2"/>
        <v>672529</v>
      </c>
      <c r="G17" s="1594">
        <f t="shared" si="2"/>
        <v>280488</v>
      </c>
      <c r="H17" s="1594">
        <f t="shared" si="2"/>
        <v>62198</v>
      </c>
      <c r="I17" s="1575"/>
      <c r="J17" s="1594">
        <f>SUM(J12:J16)</f>
        <v>125499</v>
      </c>
      <c r="K17" s="1594">
        <f>SUM(K12:K16)</f>
        <v>134845</v>
      </c>
      <c r="L17" s="325"/>
    </row>
    <row r="18" spans="1:12" ht="15" customHeight="1" thickTop="1" x14ac:dyDescent="0.2">
      <c r="A18" s="1430" t="s">
        <v>1635</v>
      </c>
      <c r="B18" s="1431">
        <v>4180</v>
      </c>
      <c r="C18" s="1606">
        <f t="shared" ref="C18:H18" si="3">C9</f>
        <v>3465718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10067378</v>
      </c>
      <c r="D19" s="1594">
        <f t="shared" si="4"/>
        <v>649503</v>
      </c>
      <c r="E19" s="1594">
        <f t="shared" si="4"/>
        <v>301234</v>
      </c>
      <c r="F19" s="1594">
        <f t="shared" si="4"/>
        <v>672529</v>
      </c>
      <c r="G19" s="1594">
        <f t="shared" si="4"/>
        <v>280488</v>
      </c>
      <c r="H19" s="1594">
        <f t="shared" si="4"/>
        <v>62198</v>
      </c>
      <c r="I19" s="1575"/>
      <c r="J19" s="1594">
        <f>SUM(J17:J18)</f>
        <v>125499</v>
      </c>
      <c r="K19" s="1594">
        <f>SUM(K17:K18)</f>
        <v>134845</v>
      </c>
      <c r="L19" s="325"/>
    </row>
    <row r="20" spans="1:12" ht="16.5" thickTop="1" thickBot="1" x14ac:dyDescent="0.25">
      <c r="A20" s="2232" t="s">
        <v>1636</v>
      </c>
      <c r="B20" s="2233"/>
      <c r="C20" s="1622">
        <f>C8-C17</f>
        <v>227558</v>
      </c>
      <c r="D20" s="1622">
        <f t="shared" ref="D20:K20" si="5">D8-D17</f>
        <v>55885</v>
      </c>
      <c r="E20" s="1622">
        <f t="shared" si="5"/>
        <v>107427</v>
      </c>
      <c r="F20" s="1622">
        <f t="shared" si="5"/>
        <v>-46237</v>
      </c>
      <c r="G20" s="1622">
        <f t="shared" si="5"/>
        <v>34609</v>
      </c>
      <c r="H20" s="1622">
        <f t="shared" si="5"/>
        <v>157884</v>
      </c>
      <c r="I20" s="1622">
        <f t="shared" si="5"/>
        <v>48612</v>
      </c>
      <c r="J20" s="1622">
        <f t="shared" si="5"/>
        <v>88258</v>
      </c>
      <c r="K20" s="1622">
        <f t="shared" si="5"/>
        <v>-132274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1800000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1800000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36500</v>
      </c>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36500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1763500</v>
      </c>
      <c r="J77" s="1624">
        <f t="shared" si="8"/>
        <v>0</v>
      </c>
      <c r="K77" s="1624">
        <f t="shared" si="8"/>
        <v>0</v>
      </c>
      <c r="L77" s="325"/>
    </row>
    <row r="78" spans="1:12" ht="21.75" customHeight="1" thickTop="1" thickBot="1" x14ac:dyDescent="0.25">
      <c r="A78" s="2228" t="s">
        <v>593</v>
      </c>
      <c r="B78" s="2229"/>
      <c r="C78" s="1629">
        <f t="shared" ref="C78:K78" si="9">C20+C77</f>
        <v>227558</v>
      </c>
      <c r="D78" s="1629">
        <f t="shared" si="9"/>
        <v>55885</v>
      </c>
      <c r="E78" s="1629">
        <f t="shared" si="9"/>
        <v>107427</v>
      </c>
      <c r="F78" s="1629">
        <f t="shared" si="9"/>
        <v>-46237</v>
      </c>
      <c r="G78" s="1629">
        <f t="shared" si="9"/>
        <v>34609</v>
      </c>
      <c r="H78" s="1629">
        <f t="shared" si="9"/>
        <v>157884</v>
      </c>
      <c r="I78" s="1629">
        <f t="shared" si="9"/>
        <v>1812112</v>
      </c>
      <c r="J78" s="1629">
        <f t="shared" si="9"/>
        <v>88258</v>
      </c>
      <c r="K78" s="1629">
        <f t="shared" si="9"/>
        <v>-132274</v>
      </c>
      <c r="L78" s="457"/>
    </row>
    <row r="79" spans="1:12" ht="13.5" thickTop="1" x14ac:dyDescent="0.2">
      <c r="A79" s="1844" t="str">
        <f>"Fund Balances - July 1, "&amp;'AFR20'!E2-1</f>
        <v>Fund Balances - July 1, 2019</v>
      </c>
      <c r="B79" s="458"/>
      <c r="C79" s="1583">
        <v>1628841</v>
      </c>
      <c r="D79" s="1630">
        <v>4712</v>
      </c>
      <c r="E79" s="1630">
        <v>435149</v>
      </c>
      <c r="F79" s="1630">
        <v>51973</v>
      </c>
      <c r="G79" s="1630">
        <v>276592</v>
      </c>
      <c r="H79" s="1630">
        <v>295541</v>
      </c>
      <c r="I79" s="1630">
        <v>1022588</v>
      </c>
      <c r="J79" s="1630">
        <v>409194</v>
      </c>
      <c r="K79" s="1630">
        <v>385620</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1856399</v>
      </c>
      <c r="D81" s="1594">
        <f>SUM(D78:D80)</f>
        <v>60597</v>
      </c>
      <c r="E81" s="1594">
        <f t="shared" ref="E81:K81" si="10">SUM(E78:E80)</f>
        <v>542576</v>
      </c>
      <c r="F81" s="1594">
        <f t="shared" si="10"/>
        <v>5736</v>
      </c>
      <c r="G81" s="1594">
        <f t="shared" si="10"/>
        <v>311201</v>
      </c>
      <c r="H81" s="1594">
        <f t="shared" si="10"/>
        <v>453425</v>
      </c>
      <c r="I81" s="1594">
        <f t="shared" si="10"/>
        <v>2834700</v>
      </c>
      <c r="J81" s="1594">
        <f t="shared" si="10"/>
        <v>497452</v>
      </c>
      <c r="K81" s="1594">
        <f t="shared" si="10"/>
        <v>253346</v>
      </c>
      <c r="L81" s="325"/>
    </row>
    <row r="82" spans="1:12" ht="0.75" customHeight="1" thickTop="1" thickBot="1" x14ac:dyDescent="0.25">
      <c r="A82" s="459" t="s">
        <v>340</v>
      </c>
      <c r="B82" s="460"/>
      <c r="C82" s="461">
        <f>(C81-C79)</f>
        <v>227558</v>
      </c>
      <c r="D82" s="461">
        <f t="shared" ref="D82:K82" si="11">(D81-D79)</f>
        <v>55885</v>
      </c>
      <c r="E82" s="461">
        <f t="shared" si="11"/>
        <v>107427</v>
      </c>
      <c r="F82" s="461">
        <f t="shared" si="11"/>
        <v>-46237</v>
      </c>
      <c r="G82" s="461">
        <f t="shared" si="11"/>
        <v>34609</v>
      </c>
      <c r="H82" s="461">
        <f t="shared" si="11"/>
        <v>157884</v>
      </c>
      <c r="I82" s="461">
        <f t="shared" si="11"/>
        <v>1812112</v>
      </c>
      <c r="J82" s="461">
        <f t="shared" si="11"/>
        <v>88258</v>
      </c>
      <c r="K82" s="461">
        <f t="shared" si="11"/>
        <v>-132274</v>
      </c>
    </row>
    <row r="83" spans="1:12" ht="14.25" hidden="1" thickTop="1" thickBot="1" x14ac:dyDescent="0.25">
      <c r="A83" s="462" t="s">
        <v>341</v>
      </c>
      <c r="B83" s="428"/>
      <c r="C83" s="463">
        <f>C82/C81</f>
        <v>0.1225803289055855</v>
      </c>
      <c r="D83" s="463">
        <f t="shared" ref="D83:K83" si="12">D82/D81</f>
        <v>0.92224037493605293</v>
      </c>
      <c r="E83" s="463">
        <f t="shared" si="12"/>
        <v>0.19799438235380851</v>
      </c>
      <c r="F83" s="463">
        <f t="shared" si="12"/>
        <v>-8.0608437935843789</v>
      </c>
      <c r="G83" s="463">
        <f t="shared" si="12"/>
        <v>0.11121108222659953</v>
      </c>
      <c r="H83" s="463">
        <f t="shared" si="12"/>
        <v>0.34820312069250703</v>
      </c>
      <c r="I83" s="463">
        <f t="shared" si="12"/>
        <v>0.63926059194976537</v>
      </c>
      <c r="J83" s="463">
        <f t="shared" si="12"/>
        <v>0.17742013299775658</v>
      </c>
      <c r="K83" s="463">
        <f t="shared" si="12"/>
        <v>-0.52210810512105976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84"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1460638</v>
      </c>
      <c r="D5" s="1586">
        <v>396913</v>
      </c>
      <c r="E5" s="1573">
        <v>299851</v>
      </c>
      <c r="F5" s="1631">
        <v>158765</v>
      </c>
      <c r="G5" s="1573">
        <v>99784</v>
      </c>
      <c r="H5" s="1573"/>
      <c r="I5" s="1573">
        <v>39691</v>
      </c>
      <c r="J5" s="1574">
        <v>209905</v>
      </c>
      <c r="K5" s="1573"/>
    </row>
    <row r="6" spans="1:12" ht="15" x14ac:dyDescent="0.2">
      <c r="A6" s="427" t="s">
        <v>1643</v>
      </c>
      <c r="B6" s="429">
        <v>1130</v>
      </c>
      <c r="C6" s="1573">
        <v>39691</v>
      </c>
      <c r="D6" s="1573"/>
      <c r="E6" s="1580"/>
      <c r="F6" s="1580"/>
      <c r="G6" s="1575"/>
      <c r="H6" s="1575"/>
      <c r="I6" s="1575"/>
      <c r="J6" s="1575"/>
      <c r="K6" s="1575"/>
    </row>
    <row r="7" spans="1:12" x14ac:dyDescent="0.2">
      <c r="A7" s="427" t="s">
        <v>110</v>
      </c>
      <c r="B7" s="471">
        <v>1140</v>
      </c>
      <c r="C7" s="1573">
        <v>31753</v>
      </c>
      <c r="D7" s="1573"/>
      <c r="E7" s="1575"/>
      <c r="F7" s="1574"/>
      <c r="G7" s="1574"/>
      <c r="H7" s="1574"/>
      <c r="I7" s="1575"/>
      <c r="J7" s="1575"/>
      <c r="K7" s="1575"/>
    </row>
    <row r="8" spans="1:12" x14ac:dyDescent="0.2">
      <c r="A8" s="427" t="s">
        <v>410</v>
      </c>
      <c r="B8" s="429">
        <v>1150</v>
      </c>
      <c r="C8" s="1580"/>
      <c r="D8" s="1580"/>
      <c r="E8" s="1582"/>
      <c r="F8" s="1582"/>
      <c r="G8" s="1586">
        <v>200086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1532082</v>
      </c>
      <c r="D12" s="1633">
        <f t="shared" si="0"/>
        <v>396913</v>
      </c>
      <c r="E12" s="1633">
        <f t="shared" si="0"/>
        <v>299851</v>
      </c>
      <c r="F12" s="1633">
        <f t="shared" si="0"/>
        <v>158765</v>
      </c>
      <c r="G12" s="1633">
        <f t="shared" si="0"/>
        <v>299870</v>
      </c>
      <c r="H12" s="1633">
        <f t="shared" si="0"/>
        <v>0</v>
      </c>
      <c r="I12" s="1633">
        <f t="shared" si="0"/>
        <v>39691</v>
      </c>
      <c r="J12" s="1633">
        <f t="shared" si="0"/>
        <v>209905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5673</v>
      </c>
      <c r="D14" s="1573">
        <v>1470</v>
      </c>
      <c r="E14" s="1573">
        <v>1146</v>
      </c>
      <c r="F14" s="1573">
        <v>588</v>
      </c>
      <c r="G14" s="1573">
        <v>1144</v>
      </c>
      <c r="H14" s="1573"/>
      <c r="I14" s="1573">
        <v>147</v>
      </c>
      <c r="J14" s="1574">
        <v>801</v>
      </c>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65288</v>
      </c>
      <c r="D16" s="1573">
        <v>125000</v>
      </c>
      <c r="E16" s="1573"/>
      <c r="F16" s="1573"/>
      <c r="G16" s="1573">
        <v>8471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70961</v>
      </c>
      <c r="D18" s="1635">
        <f t="shared" ref="D18:K18" si="1">SUM(D14:D17)</f>
        <v>126470</v>
      </c>
      <c r="E18" s="1635">
        <f t="shared" si="1"/>
        <v>1146</v>
      </c>
      <c r="F18" s="1635">
        <f t="shared" si="1"/>
        <v>588</v>
      </c>
      <c r="G18" s="1635">
        <f t="shared" si="1"/>
        <v>9615</v>
      </c>
      <c r="H18" s="1635">
        <f t="shared" si="1"/>
        <v>0</v>
      </c>
      <c r="I18" s="1635">
        <f t="shared" si="1"/>
        <v>147</v>
      </c>
      <c r="J18" s="1635">
        <f t="shared" si="1"/>
        <v>801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7118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7118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3459</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3459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14421</v>
      </c>
      <c r="D65" s="1573">
        <v>53</v>
      </c>
      <c r="E65" s="1573">
        <v>7664</v>
      </c>
      <c r="F65" s="1574">
        <v>6</v>
      </c>
      <c r="G65" s="1573">
        <v>1598</v>
      </c>
      <c r="H65" s="1573">
        <v>588</v>
      </c>
      <c r="I65" s="1573">
        <v>8774</v>
      </c>
      <c r="J65" s="1574">
        <v>2345</v>
      </c>
      <c r="K65" s="1573">
        <v>2571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14421</v>
      </c>
      <c r="D67" s="1594">
        <f t="shared" ref="D67:K67" si="2">SUM(D65:D66)</f>
        <v>53</v>
      </c>
      <c r="E67" s="1594">
        <f t="shared" si="2"/>
        <v>7664</v>
      </c>
      <c r="F67" s="1594">
        <f t="shared" si="2"/>
        <v>6</v>
      </c>
      <c r="G67" s="1594">
        <f t="shared" si="2"/>
        <v>1598</v>
      </c>
      <c r="H67" s="1594">
        <f t="shared" si="2"/>
        <v>588</v>
      </c>
      <c r="I67" s="1594">
        <f t="shared" si="2"/>
        <v>8774</v>
      </c>
      <c r="J67" s="1594">
        <f t="shared" si="2"/>
        <v>2345</v>
      </c>
      <c r="K67" s="1594">
        <f t="shared" si="2"/>
        <v>2571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135230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615</v>
      </c>
      <c r="D72" s="1575"/>
      <c r="E72" s="1575"/>
      <c r="F72" s="1575"/>
      <c r="G72" s="1575"/>
      <c r="H72" s="1575"/>
      <c r="I72" s="1575"/>
      <c r="J72" s="1575"/>
      <c r="K72" s="1575"/>
    </row>
    <row r="73" spans="1:11" ht="12.75" customHeight="1" x14ac:dyDescent="0.2">
      <c r="A73" s="427" t="s">
        <v>991</v>
      </c>
      <c r="B73" s="429">
        <v>1620</v>
      </c>
      <c r="C73" s="1632">
        <v>547</v>
      </c>
      <c r="D73" s="1575"/>
      <c r="E73" s="1575"/>
      <c r="F73" s="1575"/>
      <c r="G73" s="1575"/>
      <c r="H73" s="1575"/>
      <c r="I73" s="1575"/>
      <c r="J73" s="1575"/>
      <c r="K73" s="1575"/>
    </row>
    <row r="74" spans="1:11" ht="12.75" customHeight="1" x14ac:dyDescent="0.2">
      <c r="A74" s="427" t="s">
        <v>25</v>
      </c>
      <c r="B74" s="429">
        <v>1690</v>
      </c>
      <c r="C74" s="1632">
        <v>3313</v>
      </c>
      <c r="D74" s="1575"/>
      <c r="E74" s="1575"/>
      <c r="F74" s="1575"/>
      <c r="G74" s="1575"/>
      <c r="H74" s="1575"/>
      <c r="I74" s="1575"/>
      <c r="J74" s="1575"/>
      <c r="K74" s="1575"/>
    </row>
    <row r="75" spans="1:11" ht="12.75" customHeight="1" thickBot="1" x14ac:dyDescent="0.25">
      <c r="A75" s="1406" t="s">
        <v>544</v>
      </c>
      <c r="B75" s="1407"/>
      <c r="C75" s="1594">
        <f>SUM(C69:C74)</f>
        <v>139705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36121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17210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53331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47686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47686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3108</v>
      </c>
      <c r="E95" s="1617"/>
      <c r="F95" s="1617"/>
      <c r="G95" s="1617"/>
      <c r="H95" s="1617"/>
      <c r="I95" s="1617"/>
      <c r="J95" s="1617"/>
      <c r="K95" s="1617"/>
    </row>
    <row r="96" spans="1:11" ht="12.75" customHeight="1" x14ac:dyDescent="0.2">
      <c r="A96" s="427" t="s">
        <v>388</v>
      </c>
      <c r="B96" s="429">
        <v>1920</v>
      </c>
      <c r="C96" s="1632">
        <v>3612</v>
      </c>
      <c r="D96" s="1632">
        <v>28283</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8364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4800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100000</v>
      </c>
      <c r="F103" s="1575"/>
      <c r="G103" s="1575"/>
      <c r="H103" s="1598">
        <v>219494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2928</v>
      </c>
      <c r="D107" s="1573">
        <v>561</v>
      </c>
      <c r="E107" s="1573"/>
      <c r="F107" s="1573">
        <v>301</v>
      </c>
      <c r="G107" s="1573"/>
      <c r="H107" s="1573"/>
      <c r="I107" s="1573"/>
      <c r="J107" s="1574">
        <v>706</v>
      </c>
      <c r="K107" s="1573"/>
    </row>
    <row r="108" spans="1:12" ht="12.75" customHeight="1" thickBot="1" x14ac:dyDescent="0.25">
      <c r="A108" s="1406" t="s">
        <v>484</v>
      </c>
      <c r="B108" s="1408"/>
      <c r="C108" s="1633">
        <f>SUM(C95:C107)</f>
        <v>19704</v>
      </c>
      <c r="D108" s="1633">
        <f t="shared" ref="D108:K108" si="3">SUM(D95:D107)</f>
        <v>31952</v>
      </c>
      <c r="E108" s="1633">
        <f t="shared" si="3"/>
        <v>100000</v>
      </c>
      <c r="F108" s="1633">
        <f t="shared" si="3"/>
        <v>301</v>
      </c>
      <c r="G108" s="1633">
        <f t="shared" si="3"/>
        <v>0</v>
      </c>
      <c r="H108" s="1633">
        <f t="shared" si="3"/>
        <v>219494</v>
      </c>
      <c r="I108" s="1633">
        <f t="shared" si="3"/>
        <v>0</v>
      </c>
      <c r="J108" s="1633">
        <f t="shared" si="3"/>
        <v>706</v>
      </c>
      <c r="K108" s="1594">
        <f t="shared" si="3"/>
        <v>0</v>
      </c>
    </row>
    <row r="109" spans="1:12" ht="14.25" thickTop="1" thickBot="1" x14ac:dyDescent="0.25">
      <c r="A109" s="1409" t="s">
        <v>246</v>
      </c>
      <c r="B109" s="1410" t="s">
        <v>566</v>
      </c>
      <c r="C109" s="1641">
        <f t="shared" ref="C109:K109" si="4">SUM(C12,C18,C40,C63,C67,C75,C82,C93,C108,)</f>
        <v>1885008</v>
      </c>
      <c r="D109" s="1641">
        <f t="shared" si="4"/>
        <v>555388</v>
      </c>
      <c r="E109" s="1641">
        <f t="shared" si="4"/>
        <v>408661</v>
      </c>
      <c r="F109" s="1641">
        <f t="shared" si="4"/>
        <v>163119</v>
      </c>
      <c r="G109" s="1641">
        <f t="shared" si="4"/>
        <v>311083</v>
      </c>
      <c r="H109" s="1641">
        <f t="shared" si="4"/>
        <v>220082</v>
      </c>
      <c r="I109" s="1641">
        <f t="shared" si="4"/>
        <v>48612</v>
      </c>
      <c r="J109" s="1641">
        <f t="shared" si="4"/>
        <v>213757</v>
      </c>
      <c r="K109" s="1629">
        <f t="shared" si="4"/>
        <v>2571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11934</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11934</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4140471</v>
      </c>
      <c r="D117" s="1586">
        <v>100000</v>
      </c>
      <c r="E117" s="1573"/>
      <c r="F117" s="1586">
        <v>75000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4140471</v>
      </c>
      <c r="D122" s="1633">
        <f t="shared" si="5"/>
        <v>100000</v>
      </c>
      <c r="E122" s="1633">
        <f t="shared" si="5"/>
        <v>0</v>
      </c>
      <c r="F122" s="1633">
        <f t="shared" si="5"/>
        <v>75000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18935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18935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22675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22675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1894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10005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274912</v>
      </c>
      <c r="G152" s="1574"/>
      <c r="H152" s="1575"/>
      <c r="I152" s="1575"/>
      <c r="J152" s="1575"/>
      <c r="K152" s="1575"/>
    </row>
    <row r="153" spans="1:11" ht="12.75" customHeight="1" x14ac:dyDescent="0.2">
      <c r="A153" s="427" t="s">
        <v>1048</v>
      </c>
      <c r="B153" s="478">
        <v>3510</v>
      </c>
      <c r="C153" s="1632"/>
      <c r="D153" s="1573"/>
      <c r="E153" s="1640"/>
      <c r="F153" s="1573">
        <v>113261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388173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45370</v>
      </c>
      <c r="D158" s="1575"/>
      <c r="E158" s="1640"/>
      <c r="F158" s="1651"/>
      <c r="G158" s="1651"/>
      <c r="H158" s="1575"/>
      <c r="I158" s="1575"/>
      <c r="J158" s="1575"/>
      <c r="K158" s="1575"/>
    </row>
    <row r="159" spans="1:11" ht="12.75" customHeight="1" thickTop="1" thickBot="1" x14ac:dyDescent="0.25">
      <c r="A159" s="1270" t="s">
        <v>1042</v>
      </c>
      <c r="B159" s="484">
        <v>3705</v>
      </c>
      <c r="C159" s="1651">
        <v>112752</v>
      </c>
      <c r="D159" s="1653"/>
      <c r="E159" s="1640"/>
      <c r="F159" s="1651"/>
      <c r="G159" s="1651">
        <v>4014</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212381</v>
      </c>
      <c r="D169" s="1658">
        <f t="shared" si="6"/>
        <v>50000</v>
      </c>
      <c r="E169" s="1658">
        <f t="shared" si="6"/>
        <v>0</v>
      </c>
      <c r="F169" s="1658">
        <f t="shared" si="6"/>
        <v>388173</v>
      </c>
      <c r="G169" s="1658">
        <f t="shared" si="6"/>
        <v>4014</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4352852</v>
      </c>
      <c r="D170" s="1641">
        <f t="shared" si="7"/>
        <v>150000</v>
      </c>
      <c r="E170" s="1641">
        <f t="shared" si="7"/>
        <v>0</v>
      </c>
      <c r="F170" s="1641">
        <f t="shared" si="7"/>
        <v>463173</v>
      </c>
      <c r="G170" s="1641">
        <f t="shared" si="7"/>
        <v>4014</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126988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19338</v>
      </c>
      <c r="D193" s="1575"/>
      <c r="E193" s="1640"/>
      <c r="F193" s="1575"/>
      <c r="G193" s="1664"/>
      <c r="H193" s="1575"/>
      <c r="I193" s="1575"/>
      <c r="J193" s="1575"/>
      <c r="K193" s="1575"/>
    </row>
    <row r="194" spans="1:11" ht="12.75" customHeight="1" x14ac:dyDescent="0.2">
      <c r="A194" s="427" t="s">
        <v>1434</v>
      </c>
      <c r="B194" s="429">
        <v>4225</v>
      </c>
      <c r="C194" s="1632">
        <v>58827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205153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154861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154861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5395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5395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5184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122818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128002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31827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8858</v>
      </c>
      <c r="D263" s="1651"/>
      <c r="E263" s="1575"/>
      <c r="F263" s="1651"/>
      <c r="G263" s="1651"/>
      <c r="H263" s="1575"/>
      <c r="I263" s="1575"/>
      <c r="J263" s="1575"/>
      <c r="K263" s="1575"/>
    </row>
    <row r="264" spans="1:11" ht="12.75" customHeight="1" thickTop="1" thickBot="1" x14ac:dyDescent="0.25">
      <c r="A264" s="427" t="s">
        <v>374</v>
      </c>
      <c r="B264" s="429">
        <v>4992</v>
      </c>
      <c r="C264" s="1650">
        <v>45328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579424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579424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6829218</v>
      </c>
      <c r="D268" s="1641">
        <f t="shared" si="12"/>
        <v>705388</v>
      </c>
      <c r="E268" s="1641">
        <f t="shared" si="12"/>
        <v>408661</v>
      </c>
      <c r="F268" s="1641">
        <f t="shared" si="12"/>
        <v>626292</v>
      </c>
      <c r="G268" s="1641">
        <f t="shared" si="12"/>
        <v>315097</v>
      </c>
      <c r="H268" s="1641">
        <f t="shared" si="12"/>
        <v>220082</v>
      </c>
      <c r="I268" s="1641">
        <f t="shared" si="12"/>
        <v>48612</v>
      </c>
      <c r="J268" s="1641">
        <f t="shared" si="12"/>
        <v>213757</v>
      </c>
      <c r="K268" s="1629">
        <f t="shared" si="12"/>
        <v>2571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67"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activeCell="G351" sqref="G3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2237893</v>
      </c>
      <c r="D5" s="1573">
        <v>489013</v>
      </c>
      <c r="E5" s="1573">
        <v>14260</v>
      </c>
      <c r="F5" s="1573">
        <v>74301</v>
      </c>
      <c r="G5" s="1573">
        <v>16499</v>
      </c>
      <c r="H5" s="1573"/>
      <c r="I5" s="1574"/>
      <c r="J5" s="1574"/>
      <c r="K5" s="1672">
        <f>SUM(C5:J5)</f>
        <v>2831966</v>
      </c>
      <c r="L5" s="1573">
        <v>2997161</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58837</v>
      </c>
      <c r="D7" s="1574">
        <v>8578</v>
      </c>
      <c r="E7" s="1574">
        <v>8156</v>
      </c>
      <c r="F7" s="1574">
        <v>14849</v>
      </c>
      <c r="G7" s="1574"/>
      <c r="H7" s="1574">
        <v>5254</v>
      </c>
      <c r="I7" s="1574"/>
      <c r="J7" s="1574"/>
      <c r="K7" s="1672">
        <f t="shared" ref="K7:K32" si="0">SUM(C7:J7)</f>
        <v>95674</v>
      </c>
      <c r="L7" s="1573">
        <v>137799</v>
      </c>
    </row>
    <row r="8" spans="1:14" x14ac:dyDescent="0.2">
      <c r="A8" s="1274" t="s">
        <v>163</v>
      </c>
      <c r="B8" s="503">
        <v>1200</v>
      </c>
      <c r="C8" s="1573">
        <v>729931</v>
      </c>
      <c r="D8" s="1573">
        <v>161326</v>
      </c>
      <c r="E8" s="1573">
        <v>5642</v>
      </c>
      <c r="F8" s="1573">
        <v>18427</v>
      </c>
      <c r="G8" s="1573"/>
      <c r="H8" s="1573"/>
      <c r="I8" s="1574"/>
      <c r="J8" s="1574"/>
      <c r="K8" s="1672">
        <f t="shared" si="0"/>
        <v>915326</v>
      </c>
      <c r="L8" s="1573">
        <v>994943</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134803</v>
      </c>
      <c r="D10" s="1573">
        <v>34383</v>
      </c>
      <c r="E10" s="1573">
        <v>2004</v>
      </c>
      <c r="F10" s="1573">
        <v>3145</v>
      </c>
      <c r="G10" s="1573"/>
      <c r="H10" s="1573"/>
      <c r="I10" s="1574"/>
      <c r="J10" s="1574"/>
      <c r="K10" s="1672">
        <f t="shared" si="0"/>
        <v>174335</v>
      </c>
      <c r="L10" s="1573">
        <v>234594</v>
      </c>
    </row>
    <row r="11" spans="1:14" x14ac:dyDescent="0.2">
      <c r="A11" s="1274" t="s">
        <v>1120</v>
      </c>
      <c r="B11" s="503" t="s">
        <v>160</v>
      </c>
      <c r="C11" s="1574">
        <v>63632</v>
      </c>
      <c r="D11" s="1574">
        <v>14413</v>
      </c>
      <c r="E11" s="1574"/>
      <c r="F11" s="1574">
        <v>607</v>
      </c>
      <c r="G11" s="1574"/>
      <c r="H11" s="1574"/>
      <c r="I11" s="1574"/>
      <c r="J11" s="1574"/>
      <c r="K11" s="1672">
        <f t="shared" si="0"/>
        <v>78652</v>
      </c>
      <c r="L11" s="1573">
        <v>80325</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244189</v>
      </c>
      <c r="D13" s="1573">
        <v>47384</v>
      </c>
      <c r="E13" s="1573">
        <v>200</v>
      </c>
      <c r="F13" s="1573">
        <v>11802</v>
      </c>
      <c r="G13" s="1573"/>
      <c r="H13" s="1573">
        <v>535</v>
      </c>
      <c r="I13" s="1574"/>
      <c r="J13" s="1574"/>
      <c r="K13" s="1672">
        <f t="shared" si="0"/>
        <v>304110</v>
      </c>
      <c r="L13" s="1573">
        <v>309192</v>
      </c>
    </row>
    <row r="14" spans="1:14" x14ac:dyDescent="0.2">
      <c r="A14" s="1274" t="s">
        <v>957</v>
      </c>
      <c r="B14" s="503">
        <v>1500</v>
      </c>
      <c r="C14" s="1573">
        <v>243195</v>
      </c>
      <c r="D14" s="1573">
        <v>48149</v>
      </c>
      <c r="E14" s="1573">
        <v>23178</v>
      </c>
      <c r="F14" s="1573">
        <v>2815</v>
      </c>
      <c r="G14" s="1573"/>
      <c r="H14" s="1573">
        <v>3145</v>
      </c>
      <c r="I14" s="1574"/>
      <c r="J14" s="1574"/>
      <c r="K14" s="1672">
        <f t="shared" si="0"/>
        <v>320482</v>
      </c>
      <c r="L14" s="1573">
        <v>330983</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49409</v>
      </c>
      <c r="D17" s="1574">
        <v>10775</v>
      </c>
      <c r="E17" s="1574"/>
      <c r="F17" s="1574">
        <v>1293</v>
      </c>
      <c r="G17" s="1574"/>
      <c r="H17" s="1574"/>
      <c r="I17" s="1574"/>
      <c r="J17" s="1574"/>
      <c r="K17" s="1672">
        <f t="shared" si="0"/>
        <v>61477</v>
      </c>
      <c r="L17" s="1573">
        <v>62864</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v>42349</v>
      </c>
      <c r="D19" s="1573">
        <v>988</v>
      </c>
      <c r="E19" s="1573">
        <v>851</v>
      </c>
      <c r="F19" s="1573">
        <v>499</v>
      </c>
      <c r="G19" s="1573"/>
      <c r="H19" s="1573"/>
      <c r="I19" s="1574"/>
      <c r="J19" s="1574"/>
      <c r="K19" s="1672">
        <f t="shared" si="0"/>
        <v>44687</v>
      </c>
      <c r="L19" s="1573">
        <v>52272</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3804238</v>
      </c>
      <c r="D33" s="1674">
        <f t="shared" ref="D33:L33" si="1">SUM(D5:D32)</f>
        <v>815009</v>
      </c>
      <c r="E33" s="1674">
        <f t="shared" si="1"/>
        <v>54291</v>
      </c>
      <c r="F33" s="1674">
        <f t="shared" si="1"/>
        <v>127738</v>
      </c>
      <c r="G33" s="1674">
        <f t="shared" si="1"/>
        <v>16499</v>
      </c>
      <c r="H33" s="1674">
        <f t="shared" si="1"/>
        <v>8934</v>
      </c>
      <c r="I33" s="1674">
        <f t="shared" si="1"/>
        <v>0</v>
      </c>
      <c r="J33" s="1674">
        <f t="shared" si="1"/>
        <v>0</v>
      </c>
      <c r="K33" s="1674">
        <f t="shared" si="1"/>
        <v>4826709</v>
      </c>
      <c r="L33" s="1674">
        <f t="shared" si="1"/>
        <v>5200133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38412</v>
      </c>
      <c r="D36" s="1586">
        <v>10524</v>
      </c>
      <c r="E36" s="1586"/>
      <c r="F36" s="1586"/>
      <c r="G36" s="1586"/>
      <c r="H36" s="1586"/>
      <c r="I36" s="1574"/>
      <c r="J36" s="1574"/>
      <c r="K36" s="1672">
        <f t="shared" ref="K36:K41" si="2">SUM(C36:J36)</f>
        <v>48936</v>
      </c>
      <c r="L36" s="1573">
        <v>46039</v>
      </c>
    </row>
    <row r="37" spans="1:14" x14ac:dyDescent="0.2">
      <c r="A37" s="1274" t="s">
        <v>1081</v>
      </c>
      <c r="B37" s="503">
        <v>2120</v>
      </c>
      <c r="C37" s="1573">
        <v>61901</v>
      </c>
      <c r="D37" s="1573">
        <v>13406</v>
      </c>
      <c r="E37" s="1573">
        <v>6260</v>
      </c>
      <c r="F37" s="1573"/>
      <c r="G37" s="1573"/>
      <c r="H37" s="1573"/>
      <c r="I37" s="1574"/>
      <c r="J37" s="1574"/>
      <c r="K37" s="1672">
        <f t="shared" si="2"/>
        <v>81567</v>
      </c>
      <c r="L37" s="1573">
        <v>81750</v>
      </c>
    </row>
    <row r="38" spans="1:14" x14ac:dyDescent="0.2">
      <c r="A38" s="1274" t="s">
        <v>196</v>
      </c>
      <c r="B38" s="503">
        <v>2130</v>
      </c>
      <c r="C38" s="1573">
        <v>77124</v>
      </c>
      <c r="D38" s="1573">
        <v>13236</v>
      </c>
      <c r="E38" s="1573">
        <v>412</v>
      </c>
      <c r="F38" s="1573">
        <v>960</v>
      </c>
      <c r="G38" s="1573"/>
      <c r="H38" s="1573"/>
      <c r="I38" s="1574"/>
      <c r="J38" s="1574"/>
      <c r="K38" s="1672">
        <f t="shared" si="2"/>
        <v>91732</v>
      </c>
      <c r="L38" s="1573">
        <v>94620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103745</v>
      </c>
      <c r="D40" s="1573">
        <v>24276</v>
      </c>
      <c r="E40" s="1573">
        <v>508</v>
      </c>
      <c r="F40" s="1573">
        <v>91</v>
      </c>
      <c r="G40" s="1573"/>
      <c r="H40" s="1573"/>
      <c r="I40" s="1574"/>
      <c r="J40" s="1574"/>
      <c r="K40" s="1672">
        <f t="shared" si="2"/>
        <v>128620</v>
      </c>
      <c r="L40" s="1573">
        <v>128372</v>
      </c>
    </row>
    <row r="41" spans="1:14" x14ac:dyDescent="0.2">
      <c r="A41" s="1274" t="s">
        <v>1650</v>
      </c>
      <c r="B41" s="503">
        <v>2190</v>
      </c>
      <c r="C41" s="1573"/>
      <c r="D41" s="1573"/>
      <c r="E41" s="1573"/>
      <c r="F41" s="1573">
        <v>1157</v>
      </c>
      <c r="G41" s="1573"/>
      <c r="H41" s="1573"/>
      <c r="I41" s="1574"/>
      <c r="J41" s="1574"/>
      <c r="K41" s="1672">
        <f t="shared" si="2"/>
        <v>1157</v>
      </c>
      <c r="L41" s="1573">
        <v>3000</v>
      </c>
    </row>
    <row r="42" spans="1:14" ht="12.75" customHeight="1" thickBot="1" x14ac:dyDescent="0.25">
      <c r="A42" s="1380" t="s">
        <v>556</v>
      </c>
      <c r="B42" s="1381" t="s">
        <v>711</v>
      </c>
      <c r="C42" s="1674">
        <f>SUM(C36:C41)</f>
        <v>281182</v>
      </c>
      <c r="D42" s="1674">
        <f t="shared" ref="D42:L42" si="3">SUM(D36:D41)</f>
        <v>61442</v>
      </c>
      <c r="E42" s="1674">
        <f t="shared" si="3"/>
        <v>7180</v>
      </c>
      <c r="F42" s="1674">
        <f t="shared" si="3"/>
        <v>2208</v>
      </c>
      <c r="G42" s="1674">
        <f t="shared" si="3"/>
        <v>0</v>
      </c>
      <c r="H42" s="1674">
        <f t="shared" si="3"/>
        <v>0</v>
      </c>
      <c r="I42" s="1674">
        <f t="shared" si="3"/>
        <v>0</v>
      </c>
      <c r="J42" s="1674">
        <f t="shared" si="3"/>
        <v>0</v>
      </c>
      <c r="K42" s="1674">
        <f t="shared" si="3"/>
        <v>352012</v>
      </c>
      <c r="L42" s="1674">
        <f t="shared" si="3"/>
        <v>353781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0</v>
      </c>
    </row>
    <row r="45" spans="1:14" x14ac:dyDescent="0.2">
      <c r="A45" s="1274" t="s">
        <v>810</v>
      </c>
      <c r="B45" s="503">
        <v>2220</v>
      </c>
      <c r="C45" s="1573">
        <v>77463</v>
      </c>
      <c r="D45" s="1573">
        <v>16278</v>
      </c>
      <c r="E45" s="1573">
        <v>292</v>
      </c>
      <c r="F45" s="1573">
        <v>2765</v>
      </c>
      <c r="G45" s="1573"/>
      <c r="H45" s="1573"/>
      <c r="I45" s="1574"/>
      <c r="J45" s="1574"/>
      <c r="K45" s="1678">
        <f>SUM(C45:J45)</f>
        <v>96798</v>
      </c>
      <c r="L45" s="1573">
        <v>99905</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77463</v>
      </c>
      <c r="D47" s="1674">
        <f t="shared" ref="D47:K47" si="4">SUM(D44:D46)</f>
        <v>16278</v>
      </c>
      <c r="E47" s="1674">
        <f t="shared" si="4"/>
        <v>292</v>
      </c>
      <c r="F47" s="1674">
        <f t="shared" si="4"/>
        <v>2765</v>
      </c>
      <c r="G47" s="1674">
        <f t="shared" si="4"/>
        <v>0</v>
      </c>
      <c r="H47" s="1674">
        <f t="shared" si="4"/>
        <v>0</v>
      </c>
      <c r="I47" s="1674">
        <f t="shared" si="4"/>
        <v>0</v>
      </c>
      <c r="J47" s="1674">
        <f t="shared" si="4"/>
        <v>0</v>
      </c>
      <c r="K47" s="1674">
        <f t="shared" si="4"/>
        <v>96798</v>
      </c>
      <c r="L47" s="1674">
        <f>SUM(L44:L46)</f>
        <v>99905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33149</v>
      </c>
      <c r="D49" s="1586"/>
      <c r="E49" s="1586">
        <v>3299</v>
      </c>
      <c r="F49" s="1586"/>
      <c r="G49" s="1586"/>
      <c r="H49" s="1586">
        <v>275</v>
      </c>
      <c r="I49" s="1574"/>
      <c r="J49" s="1574"/>
      <c r="K49" s="1678">
        <f>SUM(C49:J49)</f>
        <v>36723</v>
      </c>
      <c r="L49" s="1586">
        <v>44640</v>
      </c>
    </row>
    <row r="50" spans="1:14" x14ac:dyDescent="0.2">
      <c r="A50" s="1274" t="s">
        <v>813</v>
      </c>
      <c r="B50" s="503">
        <v>2320</v>
      </c>
      <c r="C50" s="1573">
        <v>134518</v>
      </c>
      <c r="D50" s="1573">
        <v>22500</v>
      </c>
      <c r="E50" s="1573"/>
      <c r="F50" s="1573">
        <v>62</v>
      </c>
      <c r="G50" s="1573"/>
      <c r="H50" s="1573">
        <v>1054</v>
      </c>
      <c r="I50" s="1574"/>
      <c r="J50" s="1574"/>
      <c r="K50" s="1678">
        <f>SUM(C50:J50)</f>
        <v>158134</v>
      </c>
      <c r="L50" s="1573">
        <v>158098</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167667</v>
      </c>
      <c r="D53" s="1674">
        <f t="shared" ref="D53:L53" si="5">SUM(D49:D52)</f>
        <v>22500</v>
      </c>
      <c r="E53" s="1674">
        <f t="shared" si="5"/>
        <v>3299</v>
      </c>
      <c r="F53" s="1674">
        <f t="shared" si="5"/>
        <v>62</v>
      </c>
      <c r="G53" s="1674">
        <f t="shared" si="5"/>
        <v>0</v>
      </c>
      <c r="H53" s="1674">
        <f t="shared" si="5"/>
        <v>1329</v>
      </c>
      <c r="I53" s="1674">
        <f t="shared" si="5"/>
        <v>0</v>
      </c>
      <c r="J53" s="1674">
        <f t="shared" si="5"/>
        <v>0</v>
      </c>
      <c r="K53" s="1674">
        <f t="shared" si="5"/>
        <v>194857</v>
      </c>
      <c r="L53" s="1674">
        <f t="shared" si="5"/>
        <v>202738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340672</v>
      </c>
      <c r="D55" s="1586">
        <v>65660</v>
      </c>
      <c r="E55" s="1586">
        <v>36965</v>
      </c>
      <c r="F55" s="1586">
        <v>2087</v>
      </c>
      <c r="G55" s="1586"/>
      <c r="H55" s="1586">
        <v>2150</v>
      </c>
      <c r="I55" s="1574"/>
      <c r="J55" s="1574"/>
      <c r="K55" s="1678">
        <f>SUM(C55:J55)</f>
        <v>447534</v>
      </c>
      <c r="L55" s="1586">
        <v>457754</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340672</v>
      </c>
      <c r="D57" s="1679">
        <f t="shared" ref="D57:K57" si="6">SUM(D55:D56)</f>
        <v>65660</v>
      </c>
      <c r="E57" s="1679">
        <f t="shared" si="6"/>
        <v>36965</v>
      </c>
      <c r="F57" s="1679">
        <f t="shared" si="6"/>
        <v>2087</v>
      </c>
      <c r="G57" s="1679">
        <f t="shared" si="6"/>
        <v>0</v>
      </c>
      <c r="H57" s="1679">
        <f t="shared" si="6"/>
        <v>2150</v>
      </c>
      <c r="I57" s="1679">
        <f t="shared" si="6"/>
        <v>0</v>
      </c>
      <c r="J57" s="1679">
        <f t="shared" si="6"/>
        <v>0</v>
      </c>
      <c r="K57" s="1679">
        <f t="shared" si="6"/>
        <v>447534</v>
      </c>
      <c r="L57" s="1674">
        <f>SUM(L55:L56)</f>
        <v>457754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29080</v>
      </c>
      <c r="D60" s="1573">
        <v>4434</v>
      </c>
      <c r="E60" s="1573">
        <v>15660</v>
      </c>
      <c r="F60" s="1573"/>
      <c r="G60" s="1573"/>
      <c r="H60" s="1573"/>
      <c r="I60" s="1574"/>
      <c r="J60" s="1574"/>
      <c r="K60" s="1678">
        <f t="shared" si="7"/>
        <v>49174</v>
      </c>
      <c r="L60" s="1573">
        <v>49238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166942</v>
      </c>
      <c r="D63" s="1573">
        <v>31809</v>
      </c>
      <c r="E63" s="1573">
        <v>15122</v>
      </c>
      <c r="F63" s="1573">
        <v>153308</v>
      </c>
      <c r="G63" s="1573">
        <v>1264</v>
      </c>
      <c r="H63" s="1573"/>
      <c r="I63" s="1574"/>
      <c r="J63" s="1574"/>
      <c r="K63" s="1678">
        <f t="shared" si="7"/>
        <v>368445</v>
      </c>
      <c r="L63" s="1573">
        <v>374436</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196022</v>
      </c>
      <c r="D65" s="1674">
        <f t="shared" ref="D65:L65" si="8">SUM(D59:D64)</f>
        <v>36243</v>
      </c>
      <c r="E65" s="1674">
        <f t="shared" si="8"/>
        <v>30782</v>
      </c>
      <c r="F65" s="1674">
        <f t="shared" si="8"/>
        <v>153308</v>
      </c>
      <c r="G65" s="1674">
        <f t="shared" si="8"/>
        <v>1264</v>
      </c>
      <c r="H65" s="1674">
        <f t="shared" si="8"/>
        <v>0</v>
      </c>
      <c r="I65" s="1674">
        <f t="shared" si="8"/>
        <v>0</v>
      </c>
      <c r="J65" s="1674">
        <f t="shared" si="8"/>
        <v>0</v>
      </c>
      <c r="K65" s="1674">
        <f t="shared" si="8"/>
        <v>417619</v>
      </c>
      <c r="L65" s="1674">
        <f t="shared" si="8"/>
        <v>423674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1063006</v>
      </c>
      <c r="D74" s="1681">
        <f t="shared" ref="D74:K74" si="10">SUM(D42,D47,D53,D57,D65,D72,D73)</f>
        <v>202123</v>
      </c>
      <c r="E74" s="1681">
        <f t="shared" si="10"/>
        <v>78518</v>
      </c>
      <c r="F74" s="1681">
        <f t="shared" si="10"/>
        <v>160430</v>
      </c>
      <c r="G74" s="1681">
        <f t="shared" si="10"/>
        <v>1264</v>
      </c>
      <c r="H74" s="1681">
        <f t="shared" si="10"/>
        <v>3479</v>
      </c>
      <c r="I74" s="1681">
        <f t="shared" si="10"/>
        <v>0</v>
      </c>
      <c r="J74" s="1681">
        <f t="shared" si="10"/>
        <v>0</v>
      </c>
      <c r="K74" s="1681">
        <f t="shared" si="10"/>
        <v>1508820</v>
      </c>
      <c r="L74" s="1681">
        <f>SUM(L42,L47,L53,L57,L65,L72,L73)</f>
        <v>1537852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266131</v>
      </c>
      <c r="F79" s="1673"/>
      <c r="G79" s="1673"/>
      <c r="H79" s="1573"/>
      <c r="I79" s="1582"/>
      <c r="J79" s="1582"/>
      <c r="K79" s="1672">
        <f t="shared" si="11"/>
        <v>266131</v>
      </c>
      <c r="L79" s="1573">
        <v>332114</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266131</v>
      </c>
      <c r="F84" s="1673"/>
      <c r="G84" s="1673"/>
      <c r="H84" s="1674">
        <f>SUM(H78:H83)</f>
        <v>0</v>
      </c>
      <c r="I84" s="1582"/>
      <c r="J84" s="1582"/>
      <c r="K84" s="1674">
        <f>SUM(K78:K83)</f>
        <v>266131</v>
      </c>
      <c r="L84" s="1674">
        <f>SUM(L78:L83)</f>
        <v>332114</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266131</v>
      </c>
      <c r="F102" s="1673"/>
      <c r="G102" s="1673"/>
      <c r="H102" s="1681">
        <f>SUM(H84,H92,H100,H101)</f>
        <v>0</v>
      </c>
      <c r="I102" s="1582"/>
      <c r="J102" s="1582"/>
      <c r="K102" s="1681">
        <f>SUM(K84,K92,K100,K101)</f>
        <v>266131</v>
      </c>
      <c r="L102" s="1681">
        <f>SUM(L84,L92,L100,L101)</f>
        <v>332114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4867244</v>
      </c>
      <c r="D114" s="1674">
        <f t="shared" ref="D114:K114" si="13">SUM(D33,D74,D75,D102,D112,D113)</f>
        <v>1017132</v>
      </c>
      <c r="E114" s="1674">
        <f t="shared" si="13"/>
        <v>398940</v>
      </c>
      <c r="F114" s="1674">
        <f t="shared" si="13"/>
        <v>288168</v>
      </c>
      <c r="G114" s="1674">
        <f t="shared" si="13"/>
        <v>17763</v>
      </c>
      <c r="H114" s="1674">
        <f>SUM(H33,H74,H75,H102,H112,H113)</f>
        <v>12413</v>
      </c>
      <c r="I114" s="1674">
        <f t="shared" si="13"/>
        <v>0</v>
      </c>
      <c r="J114" s="1674">
        <f t="shared" si="13"/>
        <v>0</v>
      </c>
      <c r="K114" s="1674">
        <f t="shared" si="13"/>
        <v>6601660</v>
      </c>
      <c r="L114" s="1674">
        <f>SUM(L33,L74,L75,L102,L112,L113)</f>
        <v>7070099</v>
      </c>
    </row>
    <row r="115" spans="1:14" ht="13.5" thickTop="1" x14ac:dyDescent="0.2">
      <c r="A115" s="2262" t="s">
        <v>989</v>
      </c>
      <c r="B115" s="2263"/>
      <c r="C115" s="1675"/>
      <c r="D115" s="1675"/>
      <c r="E115" s="1675"/>
      <c r="F115" s="1675"/>
      <c r="G115" s="1675"/>
      <c r="H115" s="1675"/>
      <c r="I115" s="1675"/>
      <c r="J115" s="1675"/>
      <c r="K115" s="1689">
        <f>'Revenues 9-14'!C268-'Expenditures 15-22'!K114</f>
        <v>227558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299081</v>
      </c>
      <c r="D124" s="1573">
        <v>47214</v>
      </c>
      <c r="E124" s="1573">
        <v>162938</v>
      </c>
      <c r="F124" s="1573">
        <v>116434</v>
      </c>
      <c r="G124" s="1573">
        <v>23836</v>
      </c>
      <c r="H124" s="1573"/>
      <c r="I124" s="1574"/>
      <c r="J124" s="1574"/>
      <c r="K124" s="1674">
        <f>SUM(C124:J124)</f>
        <v>649503</v>
      </c>
      <c r="L124" s="1573">
        <v>652408</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299081</v>
      </c>
      <c r="D127" s="1674">
        <f t="shared" ref="D127:L127" si="14">SUM(D122:D126)</f>
        <v>47214</v>
      </c>
      <c r="E127" s="1674">
        <f t="shared" si="14"/>
        <v>162938</v>
      </c>
      <c r="F127" s="1674">
        <f t="shared" si="14"/>
        <v>116434</v>
      </c>
      <c r="G127" s="1674">
        <f t="shared" si="14"/>
        <v>23836</v>
      </c>
      <c r="H127" s="1674">
        <f t="shared" si="14"/>
        <v>0</v>
      </c>
      <c r="I127" s="1674">
        <f t="shared" si="14"/>
        <v>0</v>
      </c>
      <c r="J127" s="1674">
        <f t="shared" si="14"/>
        <v>0</v>
      </c>
      <c r="K127" s="1674">
        <f t="shared" si="14"/>
        <v>649503</v>
      </c>
      <c r="L127" s="1674">
        <f t="shared" si="14"/>
        <v>652408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299081</v>
      </c>
      <c r="D129" s="1681">
        <f t="shared" ref="D129:L129" si="15">SUM(D120,D127,D128)</f>
        <v>47214</v>
      </c>
      <c r="E129" s="1681">
        <f t="shared" si="15"/>
        <v>162938</v>
      </c>
      <c r="F129" s="1681">
        <f t="shared" si="15"/>
        <v>116434</v>
      </c>
      <c r="G129" s="1681">
        <f t="shared" si="15"/>
        <v>23836</v>
      </c>
      <c r="H129" s="1681">
        <f t="shared" si="15"/>
        <v>0</v>
      </c>
      <c r="I129" s="1681">
        <f t="shared" si="15"/>
        <v>0</v>
      </c>
      <c r="J129" s="1681">
        <f t="shared" si="15"/>
        <v>0</v>
      </c>
      <c r="K129" s="1681">
        <f t="shared" si="15"/>
        <v>649503</v>
      </c>
      <c r="L129" s="1681">
        <f t="shared" si="15"/>
        <v>652408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9" t="s">
        <v>616</v>
      </c>
      <c r="B151" s="2259"/>
      <c r="C151" s="1674">
        <f>SUM(C129,C130,C139,C149,C150)</f>
        <v>299081</v>
      </c>
      <c r="D151" s="1674">
        <f t="shared" ref="D151:K151" si="16">SUM(D129,D130,D139,D149,D150)</f>
        <v>47214</v>
      </c>
      <c r="E151" s="1674">
        <f t="shared" si="16"/>
        <v>162938</v>
      </c>
      <c r="F151" s="1674">
        <f t="shared" si="16"/>
        <v>116434</v>
      </c>
      <c r="G151" s="1674">
        <f t="shared" si="16"/>
        <v>23836</v>
      </c>
      <c r="H151" s="1674">
        <f t="shared" si="16"/>
        <v>0</v>
      </c>
      <c r="I151" s="1674">
        <f t="shared" si="16"/>
        <v>0</v>
      </c>
      <c r="J151" s="1674">
        <f t="shared" si="16"/>
        <v>0</v>
      </c>
      <c r="K151" s="1674">
        <f t="shared" si="16"/>
        <v>649503</v>
      </c>
      <c r="L151" s="1674">
        <f>SUM(L129,L130,L139,L149,L150)</f>
        <v>652408</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55885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9255</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9255</v>
      </c>
    </row>
    <row r="169" spans="1:14" ht="15.75" customHeight="1" thickTop="1" x14ac:dyDescent="0.2">
      <c r="A169" s="543" t="s">
        <v>83</v>
      </c>
      <c r="B169" s="544" t="s">
        <v>38</v>
      </c>
      <c r="C169" s="1673"/>
      <c r="D169" s="1673"/>
      <c r="E169" s="1673"/>
      <c r="F169" s="1673"/>
      <c r="G169" s="1673"/>
      <c r="H169" s="1695">
        <v>5863</v>
      </c>
      <c r="I169" s="1673"/>
      <c r="J169" s="1673"/>
      <c r="K169" s="1672">
        <f>SUM(C169:H169)</f>
        <v>5863</v>
      </c>
      <c r="L169" s="1695">
        <v>391103</v>
      </c>
    </row>
    <row r="170" spans="1:14" ht="33.75" customHeight="1" x14ac:dyDescent="0.2">
      <c r="A170" s="543" t="s">
        <v>1651</v>
      </c>
      <c r="B170" s="545" t="s">
        <v>31</v>
      </c>
      <c r="C170" s="1673"/>
      <c r="D170" s="1673"/>
      <c r="E170" s="1673"/>
      <c r="F170" s="1673"/>
      <c r="G170" s="1673"/>
      <c r="H170" s="1646">
        <v>295000</v>
      </c>
      <c r="I170" s="1673"/>
      <c r="J170" s="1673"/>
      <c r="K170" s="1672">
        <f>SUM(C170:J170)</f>
        <v>295000</v>
      </c>
      <c r="L170" s="1646">
        <v>0</v>
      </c>
    </row>
    <row r="171" spans="1:14" ht="15.75" customHeight="1" x14ac:dyDescent="0.2">
      <c r="A171" s="507" t="s">
        <v>761</v>
      </c>
      <c r="B171" s="546" t="s">
        <v>84</v>
      </c>
      <c r="C171" s="1673"/>
      <c r="D171" s="1673"/>
      <c r="E171" s="1573"/>
      <c r="F171" s="1673"/>
      <c r="G171" s="1673"/>
      <c r="H171" s="1646">
        <v>371</v>
      </c>
      <c r="I171" s="1582"/>
      <c r="J171" s="1673"/>
      <c r="K171" s="1672">
        <f>SUM(C171:J171)</f>
        <v>371</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301234</v>
      </c>
      <c r="I172" s="1684"/>
      <c r="J172" s="1673"/>
      <c r="K172" s="1681">
        <f>SUM(K168,K169,K170,K171)</f>
        <v>301234</v>
      </c>
      <c r="L172" s="1681">
        <f>SUM(L168,L169,L170,L171)</f>
        <v>400358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301234</v>
      </c>
      <c r="I174" s="1684"/>
      <c r="J174" s="1673"/>
      <c r="K174" s="1681">
        <f>SUM(K160,K172,K173)</f>
        <v>301234</v>
      </c>
      <c r="L174" s="1681">
        <f>SUM(L160,L172,L173)</f>
        <v>400358</v>
      </c>
    </row>
    <row r="175" spans="1:14" ht="13.5" thickTop="1" x14ac:dyDescent="0.2">
      <c r="A175" s="2262" t="s">
        <v>989</v>
      </c>
      <c r="B175" s="2263"/>
      <c r="C175" s="1673"/>
      <c r="D175" s="1673"/>
      <c r="E175" s="1673"/>
      <c r="F175" s="1673"/>
      <c r="G175" s="1673"/>
      <c r="H175" s="1675"/>
      <c r="I175" s="1673"/>
      <c r="J175" s="1673"/>
      <c r="K175" s="1689">
        <f>'Revenues 9-14'!E268-'Expenditures 15-22'!K174</f>
        <v>107427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329883</v>
      </c>
      <c r="D182" s="1573">
        <v>26967</v>
      </c>
      <c r="E182" s="1573">
        <v>6787</v>
      </c>
      <c r="F182" s="1573">
        <v>119265</v>
      </c>
      <c r="G182" s="1573">
        <v>189627</v>
      </c>
      <c r="H182" s="1573"/>
      <c r="I182" s="1574"/>
      <c r="J182" s="1574"/>
      <c r="K182" s="1672">
        <f>SUM(C182:J182)</f>
        <v>672529</v>
      </c>
      <c r="L182" s="1573">
        <v>688766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329883</v>
      </c>
      <c r="D184" s="1681">
        <f t="shared" ref="D184:J184" si="17">SUM(D180,D182,D183)</f>
        <v>26967</v>
      </c>
      <c r="E184" s="1681">
        <f t="shared" si="17"/>
        <v>6787</v>
      </c>
      <c r="F184" s="1681">
        <f t="shared" si="17"/>
        <v>119265</v>
      </c>
      <c r="G184" s="1681">
        <f t="shared" si="17"/>
        <v>189627</v>
      </c>
      <c r="H184" s="1681">
        <f t="shared" si="17"/>
        <v>0</v>
      </c>
      <c r="I184" s="1681">
        <f t="shared" si="17"/>
        <v>0</v>
      </c>
      <c r="J184" s="1681">
        <f t="shared" si="17"/>
        <v>0</v>
      </c>
      <c r="K184" s="1681">
        <f>SUM(K180,K182,K183)</f>
        <v>672529</v>
      </c>
      <c r="L184" s="1681">
        <f>SUM(L180, L182:L183)</f>
        <v>688766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329883</v>
      </c>
      <c r="D210" s="1674">
        <f>SUM(D184,D185)</f>
        <v>26967</v>
      </c>
      <c r="E210" s="1674">
        <f>SUM(E184,E185,E196)</f>
        <v>6787</v>
      </c>
      <c r="F210" s="1674">
        <f>SUM(F184,F185)</f>
        <v>119265</v>
      </c>
      <c r="G210" s="1674">
        <f>SUM(G184,G185)</f>
        <v>189627</v>
      </c>
      <c r="H210" s="1674">
        <f>SUM(H184,H185,H196,H208,H209)</f>
        <v>0</v>
      </c>
      <c r="I210" s="1674">
        <f>SUM(I184,I185)</f>
        <v>0</v>
      </c>
      <c r="J210" s="1674">
        <f>SUM(J184,J185)</f>
        <v>0</v>
      </c>
      <c r="K210" s="1672">
        <f>SUM(K184,K185,K196,K208,K209)</f>
        <v>672529</v>
      </c>
      <c r="L210" s="1674">
        <f>SUM(L184,L185,L196,L208,L209)</f>
        <v>688766</v>
      </c>
    </row>
    <row r="211" spans="1:14" ht="13.5" thickTop="1" x14ac:dyDescent="0.2">
      <c r="A211" s="2262" t="s">
        <v>989</v>
      </c>
      <c r="B211" s="2263"/>
      <c r="C211" s="1675"/>
      <c r="D211" s="1675"/>
      <c r="E211" s="1675"/>
      <c r="F211" s="1675"/>
      <c r="G211" s="1675"/>
      <c r="H211" s="1675"/>
      <c r="I211" s="1673"/>
      <c r="J211" s="1673"/>
      <c r="K211" s="1689">
        <f>'Revenues 9-14'!F268-'Expenditures 15-22'!K210</f>
        <v>-46237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48366</v>
      </c>
      <c r="E215" s="1673"/>
      <c r="F215" s="1673"/>
      <c r="G215" s="1673"/>
      <c r="H215" s="1673"/>
      <c r="I215" s="1673"/>
      <c r="J215" s="1673"/>
      <c r="K215" s="1672">
        <f>D215</f>
        <v>48366</v>
      </c>
      <c r="L215" s="1573">
        <v>55900</v>
      </c>
    </row>
    <row r="216" spans="1:14" x14ac:dyDescent="0.2">
      <c r="A216" s="1274" t="s">
        <v>162</v>
      </c>
      <c r="B216" s="503" t="s">
        <v>961</v>
      </c>
      <c r="C216" s="1673"/>
      <c r="D216" s="1574">
        <v>4643</v>
      </c>
      <c r="E216" s="1673"/>
      <c r="F216" s="1673"/>
      <c r="G216" s="1673"/>
      <c r="H216" s="1673"/>
      <c r="I216" s="1673"/>
      <c r="J216" s="1673"/>
      <c r="K216" s="1672">
        <f t="shared" ref="K216:K228" si="19">D216</f>
        <v>4643</v>
      </c>
      <c r="L216" s="1573">
        <v>5800</v>
      </c>
    </row>
    <row r="217" spans="1:14" x14ac:dyDescent="0.2">
      <c r="A217" s="1274" t="s">
        <v>163</v>
      </c>
      <c r="B217" s="503">
        <v>1200</v>
      </c>
      <c r="C217" s="1673"/>
      <c r="D217" s="1573">
        <v>41593</v>
      </c>
      <c r="E217" s="1673"/>
      <c r="F217" s="1673"/>
      <c r="G217" s="1673"/>
      <c r="H217" s="1673"/>
      <c r="I217" s="1673"/>
      <c r="J217" s="1673"/>
      <c r="K217" s="1672">
        <f t="shared" si="19"/>
        <v>41593</v>
      </c>
      <c r="L217" s="1573">
        <v>61265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6371</v>
      </c>
      <c r="E219" s="1673"/>
      <c r="F219" s="1673"/>
      <c r="G219" s="1673"/>
      <c r="H219" s="1673"/>
      <c r="I219" s="1673"/>
      <c r="J219" s="1673"/>
      <c r="K219" s="1672">
        <f t="shared" si="19"/>
        <v>6371</v>
      </c>
      <c r="L219" s="1573">
        <v>13400</v>
      </c>
    </row>
    <row r="220" spans="1:14" x14ac:dyDescent="0.2">
      <c r="A220" s="1274" t="s">
        <v>278</v>
      </c>
      <c r="B220" s="503" t="s">
        <v>160</v>
      </c>
      <c r="C220" s="1673"/>
      <c r="D220" s="1574">
        <v>3108</v>
      </c>
      <c r="E220" s="1673"/>
      <c r="F220" s="1673"/>
      <c r="G220" s="1673"/>
      <c r="H220" s="1673"/>
      <c r="I220" s="1673"/>
      <c r="J220" s="1673"/>
      <c r="K220" s="1672">
        <f t="shared" si="19"/>
        <v>3108</v>
      </c>
      <c r="L220" s="1573">
        <v>4000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3378</v>
      </c>
      <c r="E222" s="1673"/>
      <c r="F222" s="1673"/>
      <c r="G222" s="1673"/>
      <c r="H222" s="1673"/>
      <c r="I222" s="1673"/>
      <c r="J222" s="1673"/>
      <c r="K222" s="1672">
        <f t="shared" si="19"/>
        <v>3378</v>
      </c>
      <c r="L222" s="1573">
        <v>4655</v>
      </c>
    </row>
    <row r="223" spans="1:14" x14ac:dyDescent="0.2">
      <c r="A223" s="1274" t="s">
        <v>957</v>
      </c>
      <c r="B223" s="503">
        <v>1500</v>
      </c>
      <c r="C223" s="1673"/>
      <c r="D223" s="1573">
        <v>9470</v>
      </c>
      <c r="E223" s="1673"/>
      <c r="F223" s="1673"/>
      <c r="G223" s="1673"/>
      <c r="H223" s="1673"/>
      <c r="I223" s="1673"/>
      <c r="J223" s="1673"/>
      <c r="K223" s="1672">
        <f t="shared" si="19"/>
        <v>9470</v>
      </c>
      <c r="L223" s="1573">
        <v>11900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713</v>
      </c>
      <c r="E226" s="1673"/>
      <c r="F226" s="1673"/>
      <c r="G226" s="1673"/>
      <c r="H226" s="1673"/>
      <c r="I226" s="1673"/>
      <c r="J226" s="1673"/>
      <c r="K226" s="1672">
        <f t="shared" si="19"/>
        <v>713</v>
      </c>
      <c r="L226" s="1573">
        <v>850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v>4764</v>
      </c>
      <c r="E228" s="1673"/>
      <c r="F228" s="1673"/>
      <c r="G228" s="1673"/>
      <c r="H228" s="1673"/>
      <c r="I228" s="1673"/>
      <c r="J228" s="1673"/>
      <c r="K228" s="1672">
        <f t="shared" si="19"/>
        <v>4764</v>
      </c>
      <c r="L228" s="1573">
        <v>7850</v>
      </c>
    </row>
    <row r="229" spans="1:12" ht="12.75" customHeight="1" thickBot="1" x14ac:dyDescent="0.25">
      <c r="A229" s="1380" t="s">
        <v>710</v>
      </c>
      <c r="B229" s="1383" t="s">
        <v>566</v>
      </c>
      <c r="C229" s="1673"/>
      <c r="D229" s="1674">
        <f>SUM(D215:D228)</f>
        <v>122406</v>
      </c>
      <c r="E229" s="1673"/>
      <c r="F229" s="1673"/>
      <c r="G229" s="1673"/>
      <c r="H229" s="1673"/>
      <c r="I229" s="1673"/>
      <c r="J229" s="1673"/>
      <c r="K229" s="1674">
        <f>SUM(K215:K228)</f>
        <v>122406</v>
      </c>
      <c r="L229" s="1674">
        <f>SUM(L215:L228)</f>
        <v>165620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518</v>
      </c>
      <c r="E232" s="1673"/>
      <c r="F232" s="1673"/>
      <c r="G232" s="1673"/>
      <c r="H232" s="1673"/>
      <c r="I232" s="1673"/>
      <c r="J232" s="1673"/>
      <c r="K232" s="1672">
        <f t="shared" ref="K232:K237" si="20">D232</f>
        <v>518</v>
      </c>
      <c r="L232" s="1573">
        <v>700</v>
      </c>
    </row>
    <row r="233" spans="1:12" x14ac:dyDescent="0.2">
      <c r="A233" s="1274" t="s">
        <v>1081</v>
      </c>
      <c r="B233" s="503">
        <v>2120</v>
      </c>
      <c r="C233" s="1673"/>
      <c r="D233" s="1573">
        <v>700</v>
      </c>
      <c r="E233" s="1673"/>
      <c r="F233" s="1673"/>
      <c r="G233" s="1673"/>
      <c r="H233" s="1673"/>
      <c r="I233" s="1673"/>
      <c r="J233" s="1673"/>
      <c r="K233" s="1672">
        <f t="shared" si="20"/>
        <v>700</v>
      </c>
      <c r="L233" s="1573">
        <v>1000</v>
      </c>
    </row>
    <row r="234" spans="1:12" x14ac:dyDescent="0.2">
      <c r="A234" s="1274" t="s">
        <v>196</v>
      </c>
      <c r="B234" s="503">
        <v>2130</v>
      </c>
      <c r="C234" s="1673"/>
      <c r="D234" s="1573">
        <v>2645</v>
      </c>
      <c r="E234" s="1673"/>
      <c r="F234" s="1673"/>
      <c r="G234" s="1673"/>
      <c r="H234" s="1673"/>
      <c r="I234" s="1673"/>
      <c r="J234" s="1673"/>
      <c r="K234" s="1672">
        <f t="shared" si="20"/>
        <v>2645</v>
      </c>
      <c r="L234" s="1573">
        <v>3500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1449</v>
      </c>
      <c r="E236" s="1673"/>
      <c r="F236" s="1673"/>
      <c r="G236" s="1673"/>
      <c r="H236" s="1673"/>
      <c r="I236" s="1673"/>
      <c r="J236" s="1673"/>
      <c r="K236" s="1672">
        <f t="shared" si="20"/>
        <v>1449</v>
      </c>
      <c r="L236" s="1573">
        <v>1800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5312</v>
      </c>
      <c r="E238" s="1673"/>
      <c r="F238" s="1673"/>
      <c r="G238" s="1673"/>
      <c r="H238" s="1673"/>
      <c r="I238" s="1673"/>
      <c r="J238" s="1673"/>
      <c r="K238" s="1674">
        <f>SUM(K232:K237)</f>
        <v>5312</v>
      </c>
      <c r="L238" s="1674">
        <f>SUM(L232:L237)</f>
        <v>7000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3475</v>
      </c>
      <c r="E241" s="1673"/>
      <c r="F241" s="1673"/>
      <c r="G241" s="1673"/>
      <c r="H241" s="1673"/>
      <c r="I241" s="1673"/>
      <c r="J241" s="1673"/>
      <c r="K241" s="1678">
        <f>D241</f>
        <v>3475</v>
      </c>
      <c r="L241" s="1573">
        <v>4300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3475</v>
      </c>
      <c r="E243" s="1673"/>
      <c r="F243" s="1673"/>
      <c r="G243" s="1673"/>
      <c r="H243" s="1673"/>
      <c r="I243" s="1673"/>
      <c r="J243" s="1673"/>
      <c r="K243" s="1674">
        <f>SUM(K240:K242)</f>
        <v>3475</v>
      </c>
      <c r="L243" s="1674">
        <f>SUM(L240:L242)</f>
        <v>4300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1935</v>
      </c>
      <c r="E246" s="1673"/>
      <c r="F246" s="1673"/>
      <c r="G246" s="1673"/>
      <c r="H246" s="1673"/>
      <c r="I246" s="1673"/>
      <c r="J246" s="1673"/>
      <c r="K246" s="1678">
        <f t="shared" ref="K246:K256" si="21">D246</f>
        <v>1935</v>
      </c>
      <c r="L246" s="1573">
        <v>2200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1935</v>
      </c>
      <c r="E257" s="1673"/>
      <c r="F257" s="1673"/>
      <c r="G257" s="1673"/>
      <c r="H257" s="1673"/>
      <c r="I257" s="1673"/>
      <c r="J257" s="1673"/>
      <c r="K257" s="1674">
        <f>SUM(K245:K256)</f>
        <v>1935</v>
      </c>
      <c r="L257" s="1674">
        <f>SUM(L245:L256)</f>
        <v>2200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22038</v>
      </c>
      <c r="E259" s="1673"/>
      <c r="F259" s="1673"/>
      <c r="G259" s="1673"/>
      <c r="H259" s="1673"/>
      <c r="I259" s="1673"/>
      <c r="J259" s="1673"/>
      <c r="K259" s="1678">
        <f>D259</f>
        <v>22038</v>
      </c>
      <c r="L259" s="1586">
        <v>26000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22038</v>
      </c>
      <c r="E261" s="1673"/>
      <c r="F261" s="1673"/>
      <c r="G261" s="1673"/>
      <c r="H261" s="1673"/>
      <c r="I261" s="1673"/>
      <c r="J261" s="1673"/>
      <c r="K261" s="1674">
        <f>SUM(K259:K260)</f>
        <v>22038</v>
      </c>
      <c r="L261" s="1674">
        <f>SUM(L259:L260)</f>
        <v>26000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4733</v>
      </c>
      <c r="E264" s="1673"/>
      <c r="F264" s="1673"/>
      <c r="G264" s="1673"/>
      <c r="H264" s="1673"/>
      <c r="I264" s="1673"/>
      <c r="J264" s="1673"/>
      <c r="K264" s="1678">
        <f t="shared" ref="K264:K269" si="22">D264</f>
        <v>4733</v>
      </c>
      <c r="L264" s="1573">
        <v>5500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48460</v>
      </c>
      <c r="E266" s="1673"/>
      <c r="F266" s="1673"/>
      <c r="G266" s="1673"/>
      <c r="H266" s="1673"/>
      <c r="I266" s="1673"/>
      <c r="J266" s="1673"/>
      <c r="K266" s="1678">
        <f t="shared" si="22"/>
        <v>48460</v>
      </c>
      <c r="L266" s="1573">
        <v>58100</v>
      </c>
    </row>
    <row r="267" spans="1:14" x14ac:dyDescent="0.2">
      <c r="A267" s="1274" t="s">
        <v>947</v>
      </c>
      <c r="B267" s="503">
        <v>2550</v>
      </c>
      <c r="C267" s="1673"/>
      <c r="D267" s="1573">
        <v>44923</v>
      </c>
      <c r="E267" s="1673"/>
      <c r="F267" s="1673"/>
      <c r="G267" s="1673"/>
      <c r="H267" s="1673"/>
      <c r="I267" s="1673"/>
      <c r="J267" s="1673"/>
      <c r="K267" s="1678">
        <f t="shared" si="22"/>
        <v>44923</v>
      </c>
      <c r="L267" s="1573">
        <v>51900</v>
      </c>
    </row>
    <row r="268" spans="1:14" x14ac:dyDescent="0.2">
      <c r="A268" s="1274" t="s">
        <v>100</v>
      </c>
      <c r="B268" s="503">
        <v>2560</v>
      </c>
      <c r="C268" s="1673"/>
      <c r="D268" s="1573">
        <v>27206</v>
      </c>
      <c r="E268" s="1673"/>
      <c r="F268" s="1673"/>
      <c r="G268" s="1673"/>
      <c r="H268" s="1673"/>
      <c r="I268" s="1673"/>
      <c r="J268" s="1673"/>
      <c r="K268" s="1678">
        <f t="shared" si="22"/>
        <v>27206</v>
      </c>
      <c r="L268" s="1573">
        <v>34000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125322</v>
      </c>
      <c r="E270" s="1673"/>
      <c r="F270" s="1673"/>
      <c r="G270" s="1673"/>
      <c r="H270" s="1673"/>
      <c r="I270" s="1673"/>
      <c r="J270" s="1673"/>
      <c r="K270" s="1674">
        <f>SUM(K263:K269)</f>
        <v>125322</v>
      </c>
      <c r="L270" s="1674">
        <f>SUM(L263:L269)</f>
        <v>149500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158082</v>
      </c>
      <c r="E279" s="1673"/>
      <c r="F279" s="1673"/>
      <c r="G279" s="1673"/>
      <c r="H279" s="1673"/>
      <c r="I279" s="1673"/>
      <c r="J279" s="1673"/>
      <c r="K279" s="1681">
        <f>SUM(K238,K243,K257,K261,K270,K277,K278)</f>
        <v>158082</v>
      </c>
      <c r="L279" s="1681">
        <f>SUM(L238,L243,L257,L261,L270,L277,L278)</f>
        <v>189000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280488</v>
      </c>
      <c r="E295" s="1673"/>
      <c r="F295" s="1673"/>
      <c r="G295" s="1673"/>
      <c r="H295" s="1674">
        <f>H293</f>
        <v>0</v>
      </c>
      <c r="I295" s="1673"/>
      <c r="J295" s="1673"/>
      <c r="K295" s="1674">
        <f>SUM(K229,K279,K280,K285,K293,K294)</f>
        <v>280488</v>
      </c>
      <c r="L295" s="1674">
        <f>SUM(L229,L279,L280,L285,L293,L294)</f>
        <v>354620</v>
      </c>
    </row>
    <row r="296" spans="1:14" ht="13.5" thickTop="1" x14ac:dyDescent="0.2">
      <c r="A296" s="2262" t="s">
        <v>989</v>
      </c>
      <c r="B296" s="2263"/>
      <c r="C296" s="1673"/>
      <c r="D296" s="1675"/>
      <c r="E296" s="1673"/>
      <c r="F296" s="1673"/>
      <c r="G296" s="1673"/>
      <c r="H296" s="1707"/>
      <c r="I296" s="1673"/>
      <c r="J296" s="1673"/>
      <c r="K296" s="1689">
        <f>'Revenues 9-14'!G268-'Expenditures 15-22'!K295</f>
        <v>34609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5946</v>
      </c>
      <c r="F301" s="1573"/>
      <c r="G301" s="1573">
        <v>56252</v>
      </c>
      <c r="H301" s="1573"/>
      <c r="I301" s="1574"/>
      <c r="J301" s="1574"/>
      <c r="K301" s="1672">
        <f>SUM(C301:J301)</f>
        <v>62198</v>
      </c>
      <c r="L301" s="1574">
        <v>205000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5946</v>
      </c>
      <c r="F303" s="1681">
        <f t="shared" si="23"/>
        <v>0</v>
      </c>
      <c r="G303" s="1681">
        <f t="shared" si="23"/>
        <v>56252</v>
      </c>
      <c r="H303" s="1681">
        <f t="shared" si="23"/>
        <v>0</v>
      </c>
      <c r="I303" s="1681">
        <f t="shared" si="23"/>
        <v>0</v>
      </c>
      <c r="J303" s="1681">
        <f t="shared" si="23"/>
        <v>0</v>
      </c>
      <c r="K303" s="1681">
        <f t="shared" si="23"/>
        <v>62198</v>
      </c>
      <c r="L303" s="1681">
        <f t="shared" si="23"/>
        <v>205000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5946</v>
      </c>
      <c r="F312" s="1674">
        <f>SUM(F303)</f>
        <v>0</v>
      </c>
      <c r="G312" s="1674">
        <f>SUM(G303)</f>
        <v>56252</v>
      </c>
      <c r="H312" s="1674">
        <f>SUM(H303,H310)</f>
        <v>0</v>
      </c>
      <c r="I312" s="1674">
        <f>SUM(I303)</f>
        <v>0</v>
      </c>
      <c r="J312" s="1674">
        <f>SUM(J303)</f>
        <v>0</v>
      </c>
      <c r="K312" s="1674">
        <f>SUM(K303,K310,K311)</f>
        <v>62198</v>
      </c>
      <c r="L312" s="1674">
        <f>SUM(L303,L310,L311)</f>
        <v>205000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157884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46271</v>
      </c>
      <c r="F320" s="1574"/>
      <c r="G320" s="1574"/>
      <c r="H320" s="1574"/>
      <c r="I320" s="1574"/>
      <c r="J320" s="1574"/>
      <c r="K320" s="1672">
        <f t="shared" ref="K320:K327" si="24">SUM(C320:J320)</f>
        <v>46271</v>
      </c>
      <c r="L320" s="1574">
        <v>46271</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79228</v>
      </c>
      <c r="F322" s="1574"/>
      <c r="G322" s="1574"/>
      <c r="H322" s="1574"/>
      <c r="I322" s="1574"/>
      <c r="J322" s="1574"/>
      <c r="K322" s="1672">
        <f t="shared" si="24"/>
        <v>79228</v>
      </c>
      <c r="L322" s="1574">
        <v>78914</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125499</v>
      </c>
      <c r="F330" s="1674">
        <f t="shared" si="25"/>
        <v>0</v>
      </c>
      <c r="G330" s="1674">
        <f t="shared" si="25"/>
        <v>0</v>
      </c>
      <c r="H330" s="1674">
        <f t="shared" si="25"/>
        <v>0</v>
      </c>
      <c r="I330" s="1674">
        <f t="shared" si="25"/>
        <v>0</v>
      </c>
      <c r="J330" s="1674">
        <f t="shared" si="25"/>
        <v>0</v>
      </c>
      <c r="K330" s="1674">
        <f>SUM(K319:K329)</f>
        <v>125499</v>
      </c>
      <c r="L330" s="1674">
        <f>SUM(L319:L329)</f>
        <v>125185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125499</v>
      </c>
      <c r="F342" s="1674">
        <f>SUM(F330)</f>
        <v>0</v>
      </c>
      <c r="G342" s="1674">
        <f>SUM(G330)</f>
        <v>0</v>
      </c>
      <c r="H342" s="1674">
        <f>SUM(H330,H334,H340)</f>
        <v>0</v>
      </c>
      <c r="I342" s="1674">
        <f>SUM(I330)</f>
        <v>0</v>
      </c>
      <c r="J342" s="1674">
        <f>SUM(J330)</f>
        <v>0</v>
      </c>
      <c r="K342" s="1674">
        <f>SUM(K330,K334,K340)</f>
        <v>125499</v>
      </c>
      <c r="L342" s="1681">
        <f>SUM(L330,L334,L340,L341)</f>
        <v>125185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88258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6925</v>
      </c>
    </row>
    <row r="349" spans="1:14" x14ac:dyDescent="0.2">
      <c r="A349" s="1274" t="s">
        <v>195</v>
      </c>
      <c r="B349" s="503">
        <v>2540</v>
      </c>
      <c r="C349" s="1573"/>
      <c r="D349" s="1573"/>
      <c r="E349" s="1573">
        <v>377</v>
      </c>
      <c r="F349" s="1573"/>
      <c r="G349" s="1573">
        <v>134468</v>
      </c>
      <c r="H349" s="1573"/>
      <c r="I349" s="1574"/>
      <c r="J349" s="1574"/>
      <c r="K349" s="1672">
        <f>SUM(C349:J349)</f>
        <v>134845</v>
      </c>
      <c r="L349" s="1573">
        <v>130000</v>
      </c>
    </row>
    <row r="350" spans="1:14" ht="12.75" customHeight="1" thickBot="1" x14ac:dyDescent="0.25">
      <c r="A350" s="1380" t="s">
        <v>714</v>
      </c>
      <c r="B350" s="1381" t="s">
        <v>35</v>
      </c>
      <c r="C350" s="1674">
        <f>SUM(C348:C349)</f>
        <v>0</v>
      </c>
      <c r="D350" s="1674">
        <f t="shared" ref="D350:L350" si="26">SUM(D348:D349)</f>
        <v>0</v>
      </c>
      <c r="E350" s="1674">
        <f t="shared" si="26"/>
        <v>377</v>
      </c>
      <c r="F350" s="1674">
        <f t="shared" si="26"/>
        <v>0</v>
      </c>
      <c r="G350" s="1674">
        <f t="shared" si="26"/>
        <v>134468</v>
      </c>
      <c r="H350" s="1674">
        <f t="shared" si="26"/>
        <v>0</v>
      </c>
      <c r="I350" s="1674">
        <f t="shared" si="26"/>
        <v>0</v>
      </c>
      <c r="J350" s="1674">
        <f t="shared" si="26"/>
        <v>0</v>
      </c>
      <c r="K350" s="1674">
        <f t="shared" si="26"/>
        <v>134845</v>
      </c>
      <c r="L350" s="1674">
        <f t="shared" si="26"/>
        <v>136925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377</v>
      </c>
      <c r="F352" s="1674">
        <f t="shared" si="27"/>
        <v>0</v>
      </c>
      <c r="G352" s="1674">
        <f t="shared" si="27"/>
        <v>134468</v>
      </c>
      <c r="H352" s="1674">
        <f t="shared" si="27"/>
        <v>0</v>
      </c>
      <c r="I352" s="1674">
        <f t="shared" si="27"/>
        <v>0</v>
      </c>
      <c r="J352" s="1674">
        <f t="shared" si="27"/>
        <v>0</v>
      </c>
      <c r="K352" s="1674">
        <f t="shared" si="27"/>
        <v>134845</v>
      </c>
      <c r="L352" s="1674">
        <f t="shared" si="27"/>
        <v>136925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377</v>
      </c>
      <c r="F367" s="1674">
        <f t="shared" si="28"/>
        <v>0</v>
      </c>
      <c r="G367" s="1674">
        <f t="shared" si="28"/>
        <v>134468</v>
      </c>
      <c r="H367" s="1674">
        <f t="shared" si="28"/>
        <v>0</v>
      </c>
      <c r="I367" s="1674">
        <f t="shared" si="28"/>
        <v>0</v>
      </c>
      <c r="J367" s="1674">
        <f t="shared" si="28"/>
        <v>0</v>
      </c>
      <c r="K367" s="1674">
        <f t="shared" si="28"/>
        <v>134845</v>
      </c>
      <c r="L367" s="1674">
        <f t="shared" si="28"/>
        <v>136925</v>
      </c>
    </row>
    <row r="368" spans="1:14" ht="13.5" thickTop="1" x14ac:dyDescent="0.2">
      <c r="A368" s="2262" t="s">
        <v>989</v>
      </c>
      <c r="B368" s="2263"/>
      <c r="C368" s="1694"/>
      <c r="D368" s="1694"/>
      <c r="E368" s="1677"/>
      <c r="F368" s="1677"/>
      <c r="G368" s="1677"/>
      <c r="H368" s="1677"/>
      <c r="I368" s="1677"/>
      <c r="J368" s="1676"/>
      <c r="K368" s="1672">
        <f>'Revenues 9-14'!K268-'Expenditures 15-22'!K367</f>
        <v>-132274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 ds:uri="http://schemas.microsoft.com/office/2006/metadata/properties"/>
    <ds:schemaRef ds:uri="http://purl.org/dc/dcmitype/"/>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2020-10-15T15:06:27Z</cp:lastPrinted>
  <dcterms:created xsi:type="dcterms:W3CDTF">2003-10-29T19:06:34Z</dcterms:created>
  <dcterms:modified xsi:type="dcterms:W3CDTF">2020-10-27T14:55:21Z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