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B44910-58BB-417A-A8AA-EA2B7080F745}" xr6:coauthVersionLast="36" xr6:coauthVersionMax="36" xr10:uidLastSave="{00000000-0000-0000-0000-000000000000}"/>
  <bookViews>
    <workbookView xWindow="-105" yWindow="-105" windowWidth="23250" windowHeight="12570" tabRatio="91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4" i="173" l="1"/>
  <c r="C33" i="173"/>
  <c r="K48" i="179"/>
  <c r="J48" i="179"/>
  <c r="H48" i="179"/>
  <c r="F48" i="179"/>
  <c r="E48" i="179"/>
  <c r="I47" i="179"/>
  <c r="I48" i="179" s="1"/>
  <c r="G47" i="179"/>
  <c r="K39" i="179"/>
  <c r="K44" i="179" s="1"/>
  <c r="K49" i="179" s="1"/>
  <c r="J39" i="179"/>
  <c r="J44" i="179" s="1"/>
  <c r="H39" i="179"/>
  <c r="H44" i="179" s="1"/>
  <c r="H49" i="179" s="1"/>
  <c r="F39" i="179"/>
  <c r="F44" i="179" s="1"/>
  <c r="E39" i="179"/>
  <c r="E44" i="179" s="1"/>
  <c r="I43" i="179"/>
  <c r="L43" i="179" s="1"/>
  <c r="I41" i="179"/>
  <c r="G41" i="179"/>
  <c r="I38" i="179"/>
  <c r="I37" i="179"/>
  <c r="I36" i="179"/>
  <c r="I35" i="179"/>
  <c r="I34" i="179"/>
  <c r="L34" i="179" s="1"/>
  <c r="G38" i="179"/>
  <c r="G37" i="179"/>
  <c r="L37" i="179" s="1"/>
  <c r="G36" i="179"/>
  <c r="G35" i="179"/>
  <c r="L35" i="179" s="1"/>
  <c r="G34" i="179"/>
  <c r="K28" i="179"/>
  <c r="K29" i="179" s="1"/>
  <c r="J28" i="179"/>
  <c r="J29" i="179" s="1"/>
  <c r="H28" i="179"/>
  <c r="H29" i="179" s="1"/>
  <c r="F28" i="179"/>
  <c r="F29" i="179" s="1"/>
  <c r="E28" i="179"/>
  <c r="E29" i="179" s="1"/>
  <c r="I27" i="179"/>
  <c r="I26" i="179"/>
  <c r="I25" i="179"/>
  <c r="G27" i="179"/>
  <c r="G26" i="179"/>
  <c r="G25" i="179"/>
  <c r="K20" i="179"/>
  <c r="J19" i="179"/>
  <c r="J20" i="179" s="1"/>
  <c r="I18" i="179"/>
  <c r="I17" i="179"/>
  <c r="I16" i="179"/>
  <c r="I15" i="179"/>
  <c r="I14" i="179"/>
  <c r="H19" i="179"/>
  <c r="H20" i="179" s="1"/>
  <c r="H51" i="179" s="1"/>
  <c r="F19" i="179"/>
  <c r="F20" i="179" s="1"/>
  <c r="E19" i="179"/>
  <c r="E20" i="179" s="1"/>
  <c r="G18" i="179"/>
  <c r="G17" i="179"/>
  <c r="G16" i="179"/>
  <c r="L16" i="179" s="1"/>
  <c r="G15" i="179"/>
  <c r="L15" i="179" s="1"/>
  <c r="D32" i="3"/>
  <c r="D27" i="3"/>
  <c r="C32" i="3"/>
  <c r="C27" i="3"/>
  <c r="L41" i="179" l="1"/>
  <c r="F49" i="179"/>
  <c r="F51" i="179" s="1"/>
  <c r="D35" i="171" s="1"/>
  <c r="J49" i="179"/>
  <c r="I39" i="179"/>
  <c r="I44" i="179" s="1"/>
  <c r="I49" i="179" s="1"/>
  <c r="E49" i="179"/>
  <c r="E51" i="179" s="1"/>
  <c r="K51" i="179"/>
  <c r="G39" i="179"/>
  <c r="G44" i="179" s="1"/>
  <c r="L38" i="179"/>
  <c r="L47" i="179"/>
  <c r="L48" i="179" s="1"/>
  <c r="J51" i="179"/>
  <c r="L36" i="179"/>
  <c r="G28" i="179"/>
  <c r="G29" i="179" s="1"/>
  <c r="G48" i="179"/>
  <c r="G49" i="179" s="1"/>
  <c r="I28" i="179"/>
  <c r="I29" i="179" s="1"/>
  <c r="G38" i="174" s="1"/>
  <c r="I19" i="179"/>
  <c r="I20" i="179" s="1"/>
  <c r="G19" i="179"/>
  <c r="G20" i="179" s="1"/>
  <c r="D240" i="29"/>
  <c r="D234" i="29"/>
  <c r="D227" i="29"/>
  <c r="D225" i="29"/>
  <c r="D224" i="29"/>
  <c r="D223" i="29"/>
  <c r="D222" i="29"/>
  <c r="D216" i="29"/>
  <c r="G6" i="3"/>
  <c r="I51" i="179" l="1"/>
  <c r="D45" i="174" s="1"/>
  <c r="L39" i="179"/>
  <c r="L44" i="179" s="1"/>
  <c r="L49" i="179" s="1"/>
  <c r="G51" i="179"/>
  <c r="K7" i="12"/>
  <c r="H5" i="12"/>
  <c r="L276" i="29" l="1"/>
  <c r="D276" i="29"/>
  <c r="D275" i="29"/>
  <c r="L275" i="29"/>
  <c r="L274" i="29"/>
  <c r="D274" i="29"/>
  <c r="D267" i="29"/>
  <c r="L267" i="29"/>
  <c r="L266" i="29"/>
  <c r="D266" i="29"/>
  <c r="D264" i="29"/>
  <c r="L264" i="29"/>
  <c r="L263" i="29"/>
  <c r="D263" i="29"/>
  <c r="D259" i="29"/>
  <c r="L259" i="29"/>
  <c r="L241" i="29"/>
  <c r="L237" i="29"/>
  <c r="L234" i="29"/>
  <c r="D233" i="29"/>
  <c r="L233" i="29"/>
  <c r="G5" i="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0" i="179"/>
  <c r="L19" i="179"/>
  <c r="L18" i="179"/>
  <c r="L17" i="179"/>
  <c r="L14" i="179"/>
  <c r="L28" i="179" l="1"/>
  <c r="L29" i="179" s="1"/>
  <c r="L51"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l="1"/>
  <c r="F64" i="34"/>
  <c r="D36" i="108"/>
  <c r="B5246" i="106"/>
  <c r="D5246" i="106" s="1"/>
  <c r="E10" i="108"/>
  <c r="B3730" i="106" s="1"/>
  <c r="D3730" i="106" s="1"/>
  <c r="B6995" i="106"/>
  <c r="D6995" i="106" s="1"/>
  <c r="B2724" i="106"/>
  <c r="D2724" i="106" s="1"/>
  <c r="G39" i="108"/>
  <c r="F68" i="34"/>
  <c r="E34" i="108"/>
  <c r="F71" i="34"/>
  <c r="B7720" i="106"/>
  <c r="D7720" i="106" s="1"/>
  <c r="G30" i="108"/>
  <c r="C129" i="29"/>
  <c r="B7078" i="106"/>
  <c r="D7078" i="106" s="1"/>
  <c r="F34" i="34"/>
  <c r="B7826" i="106" s="1"/>
  <c r="D7826" i="106" s="1"/>
  <c r="B7074" i="106"/>
  <c r="D7074" i="106" s="1"/>
  <c r="H15" i="184"/>
  <c r="F72" i="34"/>
  <c r="B2836" i="106"/>
  <c r="D2836" i="106" s="1"/>
  <c r="F50" i="34"/>
  <c r="F36" i="108"/>
  <c r="F42" i="34"/>
  <c r="G14" i="4"/>
  <c r="B2609" i="106" s="1"/>
  <c r="D2609" i="106" s="1"/>
  <c r="G26" i="108"/>
  <c r="B7047" i="106"/>
  <c r="D7047" i="106" s="1"/>
  <c r="B1274" i="106"/>
  <c r="D1274" i="106" s="1"/>
  <c r="I210" i="29"/>
  <c r="B7071" i="106" s="1"/>
  <c r="D7071" i="106" s="1"/>
  <c r="J210" i="29"/>
  <c r="B7072" i="106" s="1"/>
  <c r="D7072" i="106" s="1"/>
  <c r="C342" i="29"/>
  <c r="B7216" i="106" s="1"/>
  <c r="D7216" i="106" s="1"/>
  <c r="J129" i="29"/>
  <c r="B7038" i="106" s="1"/>
  <c r="D7038" i="106" s="1"/>
  <c r="B6289" i="106"/>
  <c r="D6289" i="106" s="1"/>
  <c r="F77" i="4"/>
  <c r="B3255" i="106" s="1"/>
  <c r="D3255" i="106" s="1"/>
  <c r="H342" i="29"/>
  <c r="B7221" i="106" s="1"/>
  <c r="D7221" i="106" s="1"/>
  <c r="B7696" i="106"/>
  <c r="D7696" i="106" s="1"/>
  <c r="E66" i="184"/>
  <c r="N66" i="184" s="1"/>
  <c r="B7135" i="106"/>
  <c r="D7135" i="106" s="1"/>
  <c r="E58" i="184"/>
  <c r="N58" i="184" s="1"/>
  <c r="I129" i="29"/>
  <c r="B7037" i="106" s="1"/>
  <c r="D7037" i="106" s="1"/>
  <c r="H28" i="118"/>
  <c r="B7198" i="106"/>
  <c r="D7198" i="106" s="1"/>
  <c r="E65" i="184"/>
  <c r="N65" i="184" s="1"/>
  <c r="B7126" i="106"/>
  <c r="D7126" i="106" s="1"/>
  <c r="E57" i="184"/>
  <c r="D31" i="108"/>
  <c r="E16" i="184"/>
  <c r="H16" i="184" s="1"/>
  <c r="F37" i="34"/>
  <c r="B7829" i="106" s="1"/>
  <c r="D7829" i="106" s="1"/>
  <c r="B7189" i="106"/>
  <c r="D7189" i="106" s="1"/>
  <c r="E64" i="184"/>
  <c r="N64" i="184" s="1"/>
  <c r="C352" i="29"/>
  <c r="C367" i="29" s="1"/>
  <c r="B3622" i="106" s="1"/>
  <c r="D3622" i="106" s="1"/>
  <c r="H76" i="4"/>
  <c r="B3298" i="106" s="1"/>
  <c r="D3298" i="106" s="1"/>
  <c r="G33" i="108"/>
  <c r="E17" i="184"/>
  <c r="H17" i="184" s="1"/>
  <c r="B7180" i="106"/>
  <c r="D7180" i="106" s="1"/>
  <c r="E63" i="184"/>
  <c r="N63" i="184" s="1"/>
  <c r="B7705" i="106"/>
  <c r="D7705" i="106" s="1"/>
  <c r="E67" i="184"/>
  <c r="N67" i="184" s="1"/>
  <c r="B7171" i="106"/>
  <c r="D7171" i="106" s="1"/>
  <c r="E62" i="184"/>
  <c r="N62" i="184" s="1"/>
  <c r="D24" i="37"/>
  <c r="B4270" i="106" s="1"/>
  <c r="D4270" i="106" s="1"/>
  <c r="F36" i="34"/>
  <c r="B7828" i="106" s="1"/>
  <c r="D7828" i="106" s="1"/>
  <c r="B7162" i="106"/>
  <c r="D7162" i="106" s="1"/>
  <c r="E61" i="184"/>
  <c r="N61" i="184" s="1"/>
  <c r="H365" i="29"/>
  <c r="B7242" i="106" s="1"/>
  <c r="D7242" i="106" s="1"/>
  <c r="H12" i="184"/>
  <c r="B7153" i="106"/>
  <c r="D7153" i="106" s="1"/>
  <c r="E60" i="184"/>
  <c r="N60" i="184"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B2056" i="106"/>
  <c r="D2056" i="106" s="1"/>
  <c r="M16" i="3"/>
  <c r="B2057" i="106"/>
  <c r="D2057" i="106" s="1"/>
  <c r="M17" i="3"/>
  <c r="B274" i="106" s="1"/>
  <c r="D274" i="106" s="1"/>
  <c r="B2059" i="106"/>
  <c r="D2059" i="106" s="1"/>
  <c r="M19" i="3"/>
  <c r="B276" i="106" s="1"/>
  <c r="D276" i="106" s="1"/>
  <c r="B2058" i="106"/>
  <c r="D2058" i="106" s="1"/>
  <c r="M18" i="3"/>
  <c r="B275" i="106" s="1"/>
  <c r="D275" i="106" s="1"/>
  <c r="I7" i="4"/>
  <c r="B4444" i="106" s="1"/>
  <c r="D4444" i="106" s="1"/>
  <c r="K28" i="118"/>
  <c r="O27" i="118" s="1"/>
  <c r="O29" i="118" s="1"/>
  <c r="H77" i="4"/>
  <c r="B3299" i="106" s="1"/>
  <c r="D3299" i="106" s="1"/>
  <c r="F41" i="108"/>
  <c r="G43" i="108" s="1"/>
  <c r="B3621" i="106"/>
  <c r="D3621" i="106" s="1"/>
  <c r="H151" i="29"/>
  <c r="B1273" i="106" s="1"/>
  <c r="D1273" i="106" s="1"/>
  <c r="K365" i="29"/>
  <c r="B7243" i="106" s="1"/>
  <c r="D7243" i="106" s="1"/>
  <c r="B7235" i="106"/>
  <c r="D7235" i="106" s="1"/>
  <c r="J16" i="4"/>
  <c r="B6226" i="106" s="1"/>
  <c r="D6226" i="106" s="1"/>
  <c r="H19" i="184"/>
  <c r="L20" i="184" s="1"/>
  <c r="B1381" i="106"/>
  <c r="D1381" i="106" s="1"/>
  <c r="L114" i="29"/>
  <c r="B5527" i="106"/>
  <c r="D5527" i="106" s="1"/>
  <c r="B7222" i="106"/>
  <c r="D7222" i="106" s="1"/>
  <c r="F76" i="34"/>
  <c r="B7887" i="106" s="1"/>
  <c r="D7887" i="106" s="1"/>
  <c r="E367" i="29"/>
  <c r="B3636" i="106" s="1"/>
  <c r="D3636" i="106" s="1"/>
  <c r="B3635" i="106"/>
  <c r="D3635" i="106" s="1"/>
  <c r="L16" i="11"/>
  <c r="B2061" i="106" s="1"/>
  <c r="D2061" i="106" s="1"/>
  <c r="K342" i="29"/>
  <c r="F13" i="34" s="1"/>
  <c r="K77" i="4"/>
  <c r="B3587" i="106" s="1"/>
  <c r="D3587" i="106" s="1"/>
  <c r="N57" i="184"/>
  <c r="N68" i="184" s="1"/>
  <c r="E68" i="184"/>
  <c r="I151" i="29"/>
  <c r="F59" i="34" s="1"/>
  <c r="B7220" i="106"/>
  <c r="D7220" i="106" s="1"/>
  <c r="F75" i="34"/>
  <c r="B7886" i="106" s="1"/>
  <c r="D7886" i="106" s="1"/>
  <c r="B5770" i="106"/>
  <c r="D5770" i="106" s="1"/>
  <c r="D44" i="36"/>
  <c r="B1328" i="106"/>
  <c r="D1328" i="106" s="1"/>
  <c r="B6216" i="106"/>
  <c r="D6216" i="106" s="1"/>
  <c r="E19" i="184"/>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273" i="106"/>
  <c r="D273" i="106" s="1"/>
  <c r="M23" i="3"/>
  <c r="K367" i="29"/>
  <c r="B3678" i="106" s="1"/>
  <c r="D3678" i="106" s="1"/>
  <c r="B7051" i="106"/>
  <c r="D7051" i="106" s="1"/>
  <c r="B1145" i="106"/>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79" i="106"/>
  <c r="D279" i="106" s="1"/>
  <c r="M40" i="3"/>
  <c r="F8" i="4"/>
  <c r="F10" i="4" s="1"/>
  <c r="B4125" i="106" s="1"/>
  <c r="D4125" i="106" s="1"/>
  <c r="B6223" i="106"/>
  <c r="D6223" i="106" s="1"/>
  <c r="J20" i="4"/>
  <c r="B6230" i="106" s="1"/>
  <c r="D6230" i="106" s="1"/>
  <c r="J19" i="4"/>
  <c r="B6229" i="106" s="1"/>
  <c r="D6229" i="106" s="1"/>
  <c r="K17" i="4"/>
  <c r="B3575" i="106" s="1"/>
  <c r="D3575"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K20" i="4"/>
  <c r="B3576" i="106" s="1"/>
  <c r="D3576" i="106" s="1"/>
  <c r="K19" i="4"/>
  <c r="B4144" i="106" s="1"/>
  <c r="D4144" i="106" s="1"/>
  <c r="B2595" i="106"/>
  <c r="D2595" i="106" s="1"/>
  <c r="D8" i="146"/>
  <c r="J78" i="4"/>
  <c r="J81"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281" i="106" l="1"/>
  <c r="D281" i="106" s="1"/>
  <c r="D54" i="36"/>
  <c r="D10" i="146"/>
  <c r="F8" i="146"/>
  <c r="D78" i="4"/>
  <c r="D81" i="4" s="1"/>
  <c r="K78" i="4"/>
  <c r="B3588" i="106" s="1"/>
  <c r="D3588" i="106" s="1"/>
  <c r="B6263" i="106"/>
  <c r="D6263" i="106"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K81" i="4"/>
  <c r="K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<sst xmlns="http://schemas.openxmlformats.org/spreadsheetml/2006/main" count="5363" uniqueCount="2166">
  <si>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</si>
  <si>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</si>
  <si>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</si>
  <si>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</si>
  <si>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</si>
  <si>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</si>
  <si>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</si>
  <si>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</si>
  <si>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</si>
  <si>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</si>
  <si>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</si>
  <si>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</si>
  <si>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</si>
  <si>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</si>
  <si>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</si>
  <si>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</si>
  <si>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</si>
  <si>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</si>
  <si>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</si>
  <si>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</si>
  <si>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</si>
  <si>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</si>
  <si>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</si>
  <si>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</si>
  <si>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</si>
  <si>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</si>
  <si>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</si>
  <si>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</si>
  <si>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</si>
  <si>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</si>
  <si>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</si>
  <si>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</si>
  <si>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</si>
  <si>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</si>
  <si>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</si>
  <si>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</si>
  <si>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</si>
  <si>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</si>
  <si>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</si>
  <si>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</si>
  <si>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</si>
  <si>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</si>
  <si>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</si>
  <si>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</si>
  <si>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</si>
  <si>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</si>
  <si>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</si>
  <si>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</si>
  <si>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</si>
  <si>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</si>
  <si>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</si>
  <si>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</si>
  <si>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</si>
  <si>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</si>
  <si>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</si>
  <si>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</si>
  <si>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</si>
  <si>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</si>
  <si>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</si>
  <si>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</si>
  <si>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</si>
  <si>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</si>
  <si>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</si>
  <si>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</si>
  <si>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</si>
  <si>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</si>
  <si>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</si>
  <si>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</si>
  <si>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</si>
  <si>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</si>
  <si>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</si>
  <si>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</si>
  <si>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</si>
  <si>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</si>
  <si>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</si>
  <si>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</si>
  <si>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</si>
  <si>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</si>
  <si>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</si>
  <si>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</si>
  <si>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</si>
  <si>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</si>
  <si>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</si>
  <si>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</si>
  <si>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</si>
  <si>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</si>
  <si>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</si>
  <si>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</si>
  <si>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</si>
  <si>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</si>
  <si>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</si>
  <si>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</si>
  <si>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</si>
  <si>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</si>
  <si>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</si>
  <si>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</si>
  <si>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</si>
  <si>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</si>
  <si>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</si>
  <si>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</si>
  <si>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</si>
  <si>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</si>
  <si>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</si>
  <si>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</si>
  <si>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</si>
  <si>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</si>
  <si>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</si>
  <si>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</si>
  <si>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</si>
  <si>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</si>
  <si>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</si>
  <si>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</si>
  <si>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</si>
  <si>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</si>
  <si>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</si>
  <si>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</si>
  <si>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</si>
  <si>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</si>
  <si>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</si>
  <si>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</si>
  <si>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</si>
  <si>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</si>
  <si>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</si>
  <si>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</si>
  <si>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</si>
  <si>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</si>
  <si>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</si>
  <si>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</si>
  <si>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</si>
  <si>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</si>
  <si>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</si>
  <si>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</si>
  <si>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</si>
  <si>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</si>
  <si>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</si>
  <si>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</si>
  <si>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</si>
  <si>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</si>
  <si>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</si>
  <si>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</si>
  <si>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</si>
  <si>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</si>
  <si>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</si>
  <si>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</si>
  <si>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</si>
  <si>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</si>
  <si>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</si>
  <si>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</si>
  <si>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</si>
  <si>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</si>
  <si>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</si>
  <si>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</si>
  <si>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</si>
  <si>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</si>
  <si>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</si>
  <si>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</si>
  <si>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</si>
  <si>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</si>
  <si>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</si>
  <si>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</si>
  <si>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</si>
  <si>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</si>
  <si>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</si>
  <si>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</si>
  <si>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</si>
  <si>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</si>
  <si>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</si>
  <si>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</si>
  <si>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</si>
  <si>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</si>
  <si>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</si>
  <si>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</si>
  <si>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</si>
  <si>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</si>
  <si>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</si>
  <si>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</si>
  <si>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</si>
  <si>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</si>
  <si>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</si>
  <si>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</si>
  <si>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</si>
  <si>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</si>
  <si>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</si>
  <si>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</si>
  <si>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</si>
  <si>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</si>
  <si>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</si>
  <si>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</si>
  <si>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</si>
  <si>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</si>
  <si>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</si>
  <si>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</si>
  <si>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</si>
  <si>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</si>
  <si>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</si>
  <si>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</si>
  <si>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</si>
  <si>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</si>
  <si>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</si>
  <si>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</si>
  <si>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</si>
  <si>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</si>
  <si>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</si>
  <si>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</si>
  <si>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</si>
  <si>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</si>
  <si>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</si>
  <si>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</si>
  <si>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</si>
  <si>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</si>
  <si>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</si>
  <si>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</si>
  <si>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</si>
  <si>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</si>
  <si>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</si>
  <si>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</si>
  <si>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</si>
  <si>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</si>
  <si>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</si>
  <si>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</si>
  <si>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</si>
  <si>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</si>
  <si>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</si>
  <si>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</si>
  <si>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</si>
  <si>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</si>
  <si>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</si>
  <si>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</si>
  <si>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</si>
  <si>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</si>
  <si>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</si>
  <si>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</si>
  <si>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</si>
  <si>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</si>
  <si>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</si>
  <si>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</si>
  <si>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</si>
  <si>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</si>
  <si>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</si>
  <si>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</si>
  <si>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</si>
  <si>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</si>
  <si>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</si>
  <si>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</si>
  <si>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</si>
  <si>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</si>
  <si>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</si>
  <si>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</si>
  <si>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</si>
  <si>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</si>
  <si>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</si>
  <si>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</si>
  <si>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</si>
  <si>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</si>
  <si>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</si>
  <si>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</si>
  <si>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</si>
  <si>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</si>
  <si>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</si>
  <si>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</si>
  <si>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</si>
  <si>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</si>
  <si>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</si>
  <si>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</si>
  <si>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</si>
  <si>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</si>
  <si>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</si>
  <si>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</si>
  <si>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</si>
  <si>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</si>
  <si>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</si>
  <si>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</si>
  <si>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</si>
  <si>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</si>
  <si>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</si>
  <si>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</si>
  <si>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</si>
  <si>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</si>
  <si>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</si>
  <si>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</si>
  <si>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</si>
  <si>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</si>
  <si>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</si>
  <si>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</si>
  <si>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</si>
  <si>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</si>
  <si>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</si>
  <si>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</si>
  <si>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</si>
  <si>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</si>
  <si>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</si>
  <si>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</si>
  <si>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</si>
  <si>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</si>
  <si>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</si>
  <si>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</si>
  <si>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</si>
  <si>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</si>
  <si>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</si>
  <si>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</si>
  <si>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</si>
  <si>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</si>
  <si>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</si>
  <si>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</si>
  <si>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</si>
  <si>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</si>
  <si>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</si>
  <si>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</si>
  <si>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</si>
  <si>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</si>
  <si>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</si>
  <si>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</si>
  <si>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</si>
  <si>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</si>
  <si>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</si>
  <si>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</si>
  <si>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</si>
  <si>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</si>
  <si>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</si>
  <si>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</si>
  <si>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</si>
  <si>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</si>
  <si>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</si>
  <si>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</si>
  <si>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</si>
  <si>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</si>
  <si>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</si>
  <si>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</si>
  <si>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</si>
  <si>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</si>
  <si>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</si>
  <si>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</si>
  <si>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</si>
  <si>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</si>
  <si>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</si>
  <si>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</si>
  <si>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</si>
  <si>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</si>
  <si>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</si>
  <si>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</si>
  <si>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</si>
  <si>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</si>
  <si>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</si>
  <si>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</si>
  <si>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</si>
  <si>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</si>
  <si>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</si>
  <si>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</si>
  <si>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</si>
  <si>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</si>
  <si>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</si>
  <si>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</si>
  <si>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</si>
  <si>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</si>
  <si>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</si>
  <si>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</si>
  <si>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</si>
  <si>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</si>
  <si>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</si>
  <si>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</si>
  <si>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</si>
  <si>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</si>
  <si>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</si>
  <si>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</si>
  <si>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</si>
  <si>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</si>
  <si>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</si>
  <si>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</si>
  <si>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</si>
  <si>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</si>
  <si>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</si>
  <si>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</si>
  <si>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</si>
  <si>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</si>
  <si>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</si>
  <si>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</si>
  <si>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</si>
  <si>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</si>
  <si>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</si>
  <si>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</si>
  <si>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</si>
  <si>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</si>
  <si>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</si>
  <si>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</si>
  <si>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</si>
  <si>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</si>
  <si>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</si>
  <si>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</si>
  <si>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</si>
  <si>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</si>
  <si>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</si>
  <si>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</si>
  <si>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</si>
  <si>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</si>
  <si>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</si>
  <si>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</si>
  <si>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</si>
  <si>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</si>
  <si>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</si>
  <si>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</si>
  <si>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</si>
  <si>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</si>
  <si>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</si>
  <si>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</si>
  <si>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</si>
  <si>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</si>
  <si>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</si>
  <si>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</si>
  <si>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</si>
  <si>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</si>
  <si>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</si>
  <si>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</si>
  <si>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</si>
  <si>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</si>
  <si>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</si>
  <si>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</si>
  <si>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</si>
  <si>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</si>
  <si>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</si>
  <si>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</si>
  <si>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</si>
  <si>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</si>
  <si>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</si>
  <si>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</si>
  <si>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</si>
  <si>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</si>
  <si>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</si>
  <si>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</si>
  <si>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</si>
  <si>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</si>
  <si>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</si>
  <si>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</si>
  <si>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</si>
  <si>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</si>
  <si>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</si>
  <si>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</si>
  <si>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</si>
  <si>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</si>
  <si>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</si>
  <si>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</si>
  <si>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</si>
  <si>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</si>
  <si>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</si>
  <si>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</si>
  <si>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</si>
  <si>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</si>
  <si>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</si>
  <si>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</si>
  <si>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</si>
  <si>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</si>
  <si>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</si>
  <si>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</si>
  <si>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</si>
  <si>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</si>
  <si>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</si>
  <si>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</si>
  <si>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</si>
  <si>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</si>
  <si>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</si>
  <si>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</si>
  <si>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</si>
  <si>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</si>
  <si>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</si>
  <si>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</si>
  <si>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</si>
  <si>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</si>
  <si>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</si>
  <si>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</si>
  <si>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</si>
  <si>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</si>
  <si>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</si>
  <si>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</si>
  <si>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</si>
  <si>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</si>
  <si>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</si>
  <si>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</si>
  <si>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</si>
  <si>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</si>
  <si>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</si>
  <si>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</si>
  <si>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</si>
  <si>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</si>
  <si>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</si>
  <si>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</si>
  <si>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</si>
  <si>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</si>
  <si>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</si>
  <si>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</si>
  <si>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</si>
  <si>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</si>
  <si>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</si>
  <si>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</si>
  <si>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</si>
  <si>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</si>
  <si>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</si>
  <si>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</si>
  <si>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</si>
  <si>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</si>
  <si>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</si>
  <si>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</si>
  <si>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</si>
  <si>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</si>
  <si>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</si>
  <si>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</si>
  <si>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</si>
  <si>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</si>
  <si>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</si>
  <si>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</si>
  <si>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</si>
  <si>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</si>
  <si>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</si>
  <si>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</si>
  <si>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</si>
  <si>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</si>
  <si>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</si>
  <si>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</si>
  <si>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</si>
  <si>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</si>
  <si>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</si>
  <si>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</si>
  <si>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</si>
  <si>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</si>
  <si>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</si>
  <si>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</si>
  <si>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</si>
  <si>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</si>
  <si>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</si>
  <si>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</si>
  <si>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</si>
  <si>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</si>
  <si>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</si>
  <si>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</si>
  <si>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</si>
  <si>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</si>
  <si>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</si>
  <si>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</si>
  <si>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</si>
  <si>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</si>
  <si>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</si>
  <si>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</si>
  <si>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</si>
  <si>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</si>
  <si>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</si>
  <si>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</si>
  <si>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</si>
  <si>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</si>
  <si>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</si>
  <si>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</si>
  <si>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</si>
  <si>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</si>
  <si>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</si>
  <si>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</si>
  <si>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</si>
  <si>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</si>
  <si>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</si>
  <si>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</si>
  <si>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</si>
  <si>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</si>
  <si>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</si>
  <si>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</si>
  <si>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</si>
  <si>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</si>
  <si>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</si>
  <si>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</si>
  <si>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</si>
  <si>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</si>
  <si>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</si>
  <si>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</si>
  <si>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</si>
  <si>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</si>
  <si>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</si>
  <si>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</si>
  <si>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</si>
  <si>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</si>
  <si>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</si>
  <si>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</si>
  <si>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</si>
  <si>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</si>
  <si>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</si>
  <si>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</si>
  <si>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</si>
  <si>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</si>
  <si>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</si>
  <si>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</si>
  <si>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</si>
  <si>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</si>
  <si>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</si>
  <si>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</si>
  <si>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</si>
  <si>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</si>
  <si>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</si>
  <si>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</si>
  <si>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</si>
  <si>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</si>
  <si>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</si>
  <si>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</si>
  <si>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</si>
  <si>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</si>
  <si>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</si>
  <si>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</si>
  <si>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</si>
  <si>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</si>
  <si>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</si>
  <si>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</si>
  <si>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</si>
  <si>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</si>
  <si>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</si>
  <si>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</si>
  <si>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</si>
  <si>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</si>
  <si>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</si>
  <si>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</si>
  <si>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</si>
  <si>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</si>
  <si>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</si>
  <si>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</si>
  <si>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</si>
  <si>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</si>
  <si>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</si>
  <si>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</si>
  <si>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</si>
  <si>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</si>
  <si>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</si>
  <si>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</si>
  <si>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</si>
  <si>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</si>
  <si>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</si>
  <si>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</si>
  <si>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</si>
  <si>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</si>
  <si>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</si>
  <si>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</si>
  <si>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</si>
  <si>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</si>
  <si>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</si>
  <si>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</si>
  <si>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</si>
  <si>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</si>
  <si>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</si>
  <si>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</si>
  <si>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</si>
  <si>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</si>
  <si>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</si>
  <si>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</si>
  <si>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</si>
  <si>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</si>
  <si>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</si>
  <si>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</si>
  <si>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</si>
  <si>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</si>
  <si>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</si>
  <si>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</si>
  <si>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</si>
  <si>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</si>
  <si>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</si>
  <si>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</si>
  <si>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</si>
  <si>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</si>
  <si>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</si>
  <si>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</si>
  <si>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</si>
  <si>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</si>
  <si>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</si>
  <si>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</si>
  <si>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</si>
  <si>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</si>
  <si>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</si>
  <si>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</si>
  <si>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</si>
  <si>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</si>
  <si>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</si>
  <si>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</si>
  <si>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</si>
  <si>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</si>
  <si>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</si>
  <si>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</si>
  <si>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</si>
  <si>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</si>
  <si>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</si>
  <si>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</si>
  <si>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</si>
  <si>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</si>
  <si>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</si>
  <si>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</si>
  <si>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</si>
  <si>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</si>
  <si>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</si>
  <si>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</si>
  <si>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</si>
  <si>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</si>
  <si>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</si>
  <si>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</si>
  <si>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</si>
  <si>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</si>
  <si>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</si>
  <si>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</si>
  <si>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</si>
  <si>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</si>
  <si>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</si>
  <si>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</si>
  <si>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</si>
  <si>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</si>
  <si>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</si>
  <si>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</si>
  <si>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</si>
  <si>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</si>
  <si>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</si>
  <si>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</si>
  <si>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</si>
  <si>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</si>
  <si>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</si>
  <si>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</si>
  <si>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</si>
  <si>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</si>
  <si>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</si>
  <si>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</si>
  <si>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</si>
  <si>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</si>
  <si>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</si>
  <si>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</si>
  <si>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</si>
  <si>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</si>
  <si>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</si>
  <si>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</si>
  <si>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</si>
  <si>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</si>
  <si>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</si>
  <si>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</si>
  <si>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</si>
  <si>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</si>
  <si>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</si>
  <si>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</si>
  <si>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</si>
  <si>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</si>
  <si>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</si>
  <si>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</si>
  <si>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</si>
  <si>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</si>
  <si>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</si>
  <si>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</si>
  <si>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</si>
  <si>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</si>
  <si>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</si>
  <si>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</si>
  <si>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</si>
  <si>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</si>
  <si>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</si>
  <si>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</si>
  <si>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</si>
  <si>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</si>
  <si>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</si>
  <si>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</si>
  <si>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</si>
  <si>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</si>
  <si>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</si>
  <si>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</si>
  <si>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</si>
  <si>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</si>
  <si>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</si>
  <si>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</si>
  <si>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</si>
  <si>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</si>
  <si>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</si>
  <si>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</si>
  <si>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</si>
  <si>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</si>
  <si>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</si>
  <si>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</si>
  <si>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</si>
  <si>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</si>
  <si>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</si>
  <si>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</si>
  <si>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</si>
  <si>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</si>
  <si>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</si>
  <si>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</si>
  <si>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</si>
  <si>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</si>
  <si>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</si>
  <si>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</si>
  <si>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</si>
  <si>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</si>
  <si>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</si>
  <si>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</si>
  <si>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</si>
  <si>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</si>
  <si>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</si>
  <si>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</si>
  <si>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</si>
  <si>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</si>
  <si>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</si>
  <si>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</si>
  <si>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</si>
  <si>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</si>
  <si>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</si>
  <si>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</si>
  <si>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</si>
  <si>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</si>
  <si>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</si>
  <si>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</si>
  <si>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</si>
  <si>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</si>
  <si>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</si>
  <si>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</si>
  <si>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</si>
  <si>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</si>
  <si>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</si>
  <si>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</si>
  <si>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</si>
  <si>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</si>
  <si>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</si>
  <si>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</si>
  <si>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</si>
  <si>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</si>
  <si>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</si>
  <si>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</si>
  <si>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</si>
  <si>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</si>
  <si>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</si>
  <si>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</si>
  <si>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</si>
  <si>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</si>
  <si>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</si>
  <si>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</si>
  <si>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</si>
  <si>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</si>
  <si>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</si>
  <si>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</si>
  <si>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</si>
  <si>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</si>
  <si>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</si>
  <si>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</si>
  <si>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</si>
  <si>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</si>
  <si>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</si>
  <si>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</si>
  <si>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</si>
  <si>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</si>
  <si>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</si>
  <si>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</si>
  <si>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</si>
  <si>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</si>
  <si>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</si>
  <si>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</si>
  <si>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</si>
  <si>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</si>
  <si>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</si>
  <si>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</si>
  <si>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</si>
  <si>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</si>
  <si>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</si>
  <si>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</si>
  <si>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</si>
  <si>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</si>
  <si>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</si>
  <si>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</si>
  <si>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</si>
  <si>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</si>
  <si>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</si>
  <si>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</si>
  <si>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</si>
  <si>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</si>
  <si>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</si>
  <si>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</si>
  <si>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</si>
  <si>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</si>
  <si>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</si>
  <si>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</si>
  <si>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</si>
  <si>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</si>
  <si>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</si>
  <si>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</si>
  <si>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</si>
  <si>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</si>
  <si>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</si>
  <si>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</si>
  <si>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</si>
  <si>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</si>
  <si>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</si>
  <si>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</si>
  <si>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</si>
  <si>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</si>
  <si>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</si>
  <si>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</si>
  <si>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</si>
  <si>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</si>
  <si>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</si>
  <si>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</si>
  <si>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</si>
  <si>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</si>
  <si>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</si>
  <si>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</si>
  <si>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</si>
  <si>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</si>
  <si>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</si>
  <si>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</si>
  <si>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</si>
  <si>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</si>
  <si>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</si>
  <si>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</si>
  <si>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</si>
  <si>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</si>
  <si>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</si>
  <si>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</si>
  <si>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</si>
  <si>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</si>
  <si>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</si>
  <si>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</si>
  <si>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</si>
  <si>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</si>
  <si>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</si>
  <si>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</si>
  <si>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</si>
  <si>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</si>
  <si>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</si>
  <si>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</si>
  <si>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</si>
  <si>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</si>
  <si>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</si>
  <si>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</si>
  <si>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</si>
  <si>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</si>
  <si>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</si>
  <si>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</si>
  <si>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</si>
  <si>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</si>
  <si>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</si>
  <si>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</si>
  <si>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</si>
  <si>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</si>
  <si>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</si>
  <si>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</si>
  <si>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</si>
  <si>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</si>
  <si>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</si>
  <si>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</si>
  <si>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</si>
  <si>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</si>
  <si>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</si>
  <si>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</si>
  <si>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</si>
  <si>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</si>
  <si>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</si>
  <si>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</si>
  <si>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</si>
  <si>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</si>
  <si>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</si>
  <si>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</si>
  <si>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</si>
  <si>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</si>
  <si>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</si>
  <si>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</si>
  <si>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</si>
  <si>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</si>
  <si>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</si>
  <si>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</si>
  <si>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</si>
  <si>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</si>
  <si>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</si>
  <si>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</si>
  <si>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</si>
  <si>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</si>
  <si>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</si>
  <si>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</si>
  <si>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</si>
  <si>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</si>
  <si>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</si>
  <si>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</si>
  <si>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</si>
  <si>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</si>
  <si>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</si>
  <si>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</si>
  <si>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</si>
  <si>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</si>
  <si>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</si>
  <si>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</si>
  <si>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</si>
  <si>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</si>
  <si>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</si>
  <si>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</si>
  <si>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</si>
  <si>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</si>
  <si>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</si>
  <si>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</si>
  <si>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</si>
  <si>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</si>
  <si>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</si>
  <si>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</si>
  <si>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</si>
  <si>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</si>
  <si>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</si>
  <si>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</si>
  <si>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</si>
  <si>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</si>
  <si>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</si>
  <si>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</si>
  <si>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</si>
  <si>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</si>
  <si>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</si>
  <si>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</si>
  <si>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</si>
  <si>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</si>
  <si>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</si>
  <si>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</si>
  <si>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</si>
  <si>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</si>
  <si>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</si>
  <si>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</si>
  <si>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</si>
  <si>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</si>
  <si>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</si>
  <si>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</si>
  <si>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</si>
  <si>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</si>
  <si>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</si>
  <si>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</si>
  <si>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</si>
  <si>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</si>
  <si>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</si>
  <si>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</si>
  <si>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</si>
  <si>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</si>
  <si>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</si>
  <si>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</si>
  <si>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</si>
  <si>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</si>
  <si>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</si>
  <si>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</si>
  <si>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</si>
  <si>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</si>
  <si>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</si>
  <si>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</si>
  <si>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</si>
  <si>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</si>
  <si>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</si>
  <si>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</si>
  <si>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</si>
  <si>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</si>
  <si>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</si>
  <si>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</si>
  <si>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</si>
  <si>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</si>
  <si>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</si>
  <si>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</si>
  <si>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</si>
  <si>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</si>
  <si>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</si>
  <si>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</si>
  <si>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</si>
  <si>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</si>
  <si>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</si>
  <si>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</si>
  <si>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</si>
  <si>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</si>
  <si>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</si>
  <si>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</si>
  <si>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</si>
  <si>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</si>
  <si>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</si>
  <si>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</si>
  <si>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</si>
  <si>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</si>
  <si>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</si>
  <si>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</si>
  <si>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</si>
  <si>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</si>
  <si>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</si>
  <si>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</si>
  <si>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</si>
  <si>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</si>
  <si>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</si>
  <si>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</si>
  <si>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</si>
  <si>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</si>
  <si>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</si>
  <si>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</si>
  <si>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</si>
  <si>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</si>
  <si>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</si>
  <si>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</si>
  <si>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</si>
  <si>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</si>
  <si>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</si>
  <si>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</si>
  <si>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</si>
  <si>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</si>
  <si>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</si>
  <si>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</si>
  <si>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</si>
  <si>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</si>
  <si>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</si>
  <si>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</si>
  <si>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</si>
  <si>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</si>
  <si>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</si>
  <si>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</si>
  <si>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</si>
  <si>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</si>
  <si>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</si>
  <si>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</si>
  <si>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</si>
  <si>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</si>
  <si>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</si>
  <si>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</si>
  <si>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</si>
  <si>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</si>
  <si>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</si>
  <si>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</si>
  <si>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</si>
  <si>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</si>
  <si>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</si>
  <si>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</si>
  <si>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</si>
  <si>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</si>
  <si>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</si>
  <si>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</si>
  <si>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</si>
  <si>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</si>
  <si>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</si>
  <si>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</si>
  <si>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</si>
  <si>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</si>
  <si>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</si>
  <si>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</si>
  <si>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</si>
  <si>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</si>
  <si>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</si>
  <si>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</si>
  <si>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</si>
  <si>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</si>
  <si>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</si>
  <si>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</si>
  <si>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</si>
  <si>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</si>
  <si>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</si>
  <si>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</si>
  <si>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</si>
  <si>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</si>
  <si>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</si>
  <si>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</si>
  <si>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</si>
  <si>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</si>
  <si>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</si>
  <si>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</si>
  <si>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</si>
  <si>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</si>
  <si>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</si>
  <si>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</si>
  <si>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</si>
  <si>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</si>
  <si>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</si>
  <si>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</si>
  <si>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</si>
  <si>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</si>
  <si>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</si>
  <si>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</si>
  <si>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</si>
  <si>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</si>
  <si>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</si>
  <si>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</si>
  <si>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</si>
  <si>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</si>
  <si>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</si>
  <si>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</si>
  <si>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</si>
  <si>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</si>
  <si>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</si>
  <si>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</si>
  <si>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</si>
  <si>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</si>
  <si>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</si>
  <si>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</si>
  <si>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</si>
  <si>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</si>
  <si>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</si>
  <si>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</si>
  <si>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</si>
  <si>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</si>
  <si>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</si>
  <si>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</si>
  <si>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</si>
  <si>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</si>
  <si>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</si>
  <si>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</si>
  <si>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</si>
  <si>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</si>
  <si>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</si>
  <si>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</si>
  <si>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</si>
  <si>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</si>
  <si>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</si>
  <si>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</si>
  <si>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</si>
  <si>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</si>
  <si>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</si>
  <si>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</si>
  <si>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</si>
  <si>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</si>
  <si>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</si>
  <si>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</si>
  <si>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</si>
  <si>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</si>
  <si>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</si>
  <si>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</si>
  <si>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</si>
  <si>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</si>
  <si>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</si>
  <si>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</si>
  <si>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</si>
  <si>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</si>
  <si>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</si>
  <si>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</si>
  <si>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</si>
  <si>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</si>
  <si>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</si>
  <si>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</si>
  <si>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</si>
  <si>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</si>
  <si>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</si>
  <si>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</si>
  <si>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</si>
  <si>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</si>
  <si>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</si>
  <si>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</si>
  <si>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</si>
  <si>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</si>
  <si>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</si>
  <si>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</si>
  <si>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</si>
  <si>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</si>
  <si>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</si>
  <si>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</si>
  <si>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</si>
  <si>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</si>
  <si>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</si>
  <si>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</si>
  <si>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</si>
  <si>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</si>
  <si>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</si>
  <si>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</si>
  <si>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</si>
  <si>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</si>
  <si>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</si>
  <si>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</si>
  <si>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</si>
  <si>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</si>
  <si>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</si>
  <si>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</si>
  <si>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</si>
  <si>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</si>
  <si>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</si>
  <si>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</si>
  <si>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</si>
  <si>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</si>
  <si>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</si>
  <si>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</si>
  <si>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</si>
  <si>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</si>
  <si>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</si>
  <si>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</si>
  <si>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</si>
  <si>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</si>
  <si>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</si>
  <si>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</si>
  <si>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</si>
  <si>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</si>
  <si>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</si>
  <si>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</si>
  <si>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</si>
  <si>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</si>
  <si>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</si>
  <si>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</si>
  <si>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</si>
  <si>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</si>
  <si>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</si>
  <si>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</si>
  <si>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</si>
  <si>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</si>
  <si>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</si>
  <si>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</si>
  <si>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</si>
  <si>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</si>
  <si>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</si>
  <si>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</si>
  <si>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</si>
  <si>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</si>
  <si>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</si>
  <si>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</si>
  <si>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</si>
  <si>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</si>
  <si>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</si>
  <si>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</si>
  <si>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</si>
  <si>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</si>
  <si>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</si>
  <si>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</si>
  <si>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</si>
  <si>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</si>
  <si>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</si>
  <si>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</si>
  <si>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</si>
  <si>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</si>
  <si>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</si>
  <si>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</si>
  <si>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</si>
  <si>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</si>
  <si>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</si>
  <si>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</si>
  <si>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</si>
  <si>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</si>
  <si>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</si>
  <si>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</si>
  <si>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</si>
  <si>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</si>
  <si>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</si>
  <si>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</si>
  <si>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</si>
  <si>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</si>
  <si>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</si>
  <si>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</si>
  <si>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</si>
  <si>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</si>
  <si>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</si>
  <si>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</si>
  <si>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</si>
  <si>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</si>
  <si>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</si>
  <si>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</si>
  <si>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</si>
  <si>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</si>
  <si>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</si>
  <si>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</si>
  <si>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</si>
  <si>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</si>
  <si>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</si>
  <si>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</si>
  <si>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</si>
  <si>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</si>
  <si>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</si>
  <si>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</si>
  <si>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</si>
  <si>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</si>
  <si>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</si>
  <si>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</si>
  <si>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</si>
  <si>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</si>
  <si>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</si>
  <si>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</si>
  <si>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</si>
  <si>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</si>
  <si>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</si>
  <si>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</si>
  <si>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</si>
  <si>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</si>
  <si>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</si>
  <si>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</si>
  <si>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</si>
  <si>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</si>
  <si>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</si>
  <si>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</si>
  <si>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</si>
  <si>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</si>
  <si>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</si>
  <si>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</si>
  <si>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</si>
  <si>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</si>
  <si>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</si>
  <si>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</si>
  <si>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</si>
  <si>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</si>
  <si>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</si>
  <si>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</si>
  <si>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</si>
  <si>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</si>
  <si>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</si>
  <si>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</si>
  <si>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</si>
  <si>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</si>
  <si>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</si>
  <si>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</si>
  <si>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</si>
  <si>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</si>
  <si>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</si>
  <si>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</si>
  <si>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</si>
  <si>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</si>
  <si>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</si>
  <si>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</si>
  <si>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</si>
  <si>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</si>
  <si>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</si>
  <si>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</si>
  <si>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</si>
  <si>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</si>
  <si>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</si>
  <si>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</si>
  <si>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</si>
  <si>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</si>
  <si>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</si>
  <si>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</si>
  <si>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</si>
  <si>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</si>
  <si>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</si>
  <si>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</si>
  <si>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</si>
  <si>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</si>
  <si>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</si>
  <si>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</si>
  <si>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</si>
  <si>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</si>
  <si>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</si>
  <si>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</si>
  <si>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</si>
  <si>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</si>
  <si>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</si>
  <si>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</si>
  <si>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</si>
  <si>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</si>
  <si>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</si>
  <si>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</si>
  <si>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</si>
  <si>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</si>
  <si>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</si>
  <si>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</si>
  <si>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</si>
  <si>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</si>
  <si>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</si>
  <si>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</si>
  <si>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</si>
  <si>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</si>
  <si>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</si>
  <si>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</si>
  <si>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</si>
  <si>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</si>
  <si>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</si>
  <si>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</si>
  <si>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</si>
  <si>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</si>
  <si>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</si>
  <si>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</si>
  <si>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</si>
  <si>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</si>
  <si>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</si>
  <si>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</si>
  <si>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</si>
  <si>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</si>
  <si>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</si>
  <si>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</si>
  <si>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</si>
  <si>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</si>
  <si>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</si>
  <si>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</si>
  <si>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</si>
  <si>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</si>
  <si>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</si>
  <si>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</si>
  <si>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</si>
  <si>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</si>
  <si>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</si>
  <si>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</si>
  <si>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</si>
  <si>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</si>
  <si>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</si>
  <si>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</si>
  <si>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</si>
  <si>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</si>
  <si>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</si>
  <si>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</si>
  <si>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</si>
  <si>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</si>
  <si>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</si>
  <si>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</si>
  <si>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</si>
  <si>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</si>
  <si>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</si>
  <si>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</si>
  <si>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</si>
  <si>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</si>
  <si>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</si>
  <si>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</si>
  <si>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</si>
  <si>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</si>
  <si>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</si>
  <si>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</si>
  <si>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</si>
  <si>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</si>
  <si>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</si>
  <si>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</si>
  <si>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</si>
  <si>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</si>
  <si>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</si>
  <si>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</si>
  <si>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</si>
  <si>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</si>
  <si>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</si>
  <si>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</si>
  <si>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</si>
  <si>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</si>
  <si>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</si>
  <si>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</si>
  <si>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</si>
  <si>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</si>
  <si>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</si>
  <si>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</si>
  <si>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</si>
  <si>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</si>
  <si>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</si>
  <si>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</si>
  <si>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</si>
  <si>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</si>
  <si>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</si>
  <si>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</si>
  <si>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</si>
  <si>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</si>
  <si>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</si>
  <si>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</si>
  <si>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</si>
  <si>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</si>
  <si>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</si>
  <si>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</si>
  <si>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</si>
  <si>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</si>
  <si>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</si>
  <si>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</si>
  <si>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</si>
  <si>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</si>
  <si>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</si>
  <si>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</si>
  <si>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</si>
  <si>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</si>
  <si>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</si>
  <si>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</si>
  <si>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</si>
  <si>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</si>
  <si>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</si>
  <si>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</si>
  <si>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</si>
  <si>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</si>
  <si>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</si>
  <si>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</si>
  <si>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</si>
  <si>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</si>
  <si>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</si>
  <si>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</si>
  <si>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</si>
  <si>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</si>
  <si>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</si>
  <si>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</si>
  <si>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</si>
  <si>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</si>
  <si>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</si>
  <si>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</si>
  <si>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</si>
  <si>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</si>
  <si>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</si>
  <si>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</si>
  <si>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</si>
  <si>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</si>
  <si>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</si>
  <si>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</si>
  <si>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</si>
  <si>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</si>
  <si>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</si>
  <si>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</si>
  <si>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</si>
  <si>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</si>
  <si>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</si>
  <si>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</si>
  <si>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</si>
  <si>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</si>
  <si>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</si>
  <si>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</si>
  <si>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</si>
  <si>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</si>
  <si>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</si>
  <si>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</si>
  <si>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</si>
  <si>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</si>
  <si>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</si>
  <si>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</si>
  <si>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</si>
  <si>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</si>
  <si>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</si>
  <si>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</si>
  <si>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</si>
  <si>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</si>
  <si>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</si>
  <si>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</si>
  <si>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</si>
  <si>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</si>
  <si>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</si>
  <si>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</si>
  <si>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</si>
  <si>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</si>
  <si>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</si>
  <si>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</si>
  <si>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</si>
  <si>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</si>
  <si>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</si>
  <si>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</si>
  <si>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</si>
  <si>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</si>
  <si>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</si>
  <si>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</si>
  <si>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</si>
  <si>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</si>
  <si>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</si>
  <si>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</si>
  <si>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</si>
  <si>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</si>
  <si>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</si>
  <si>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</si>
  <si>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</si>
  <si>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</si>
  <si>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</si>
  <si>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</si>
  <si>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</si>
  <si>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</si>
  <si>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</si>
  <si>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</si>
  <si>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</si>
  <si>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</si>
  <si>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</si>
  <si>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</si>
  <si>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</si>
  <si>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</si>
  <si>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</si>
  <si>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</si>
  <si>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</si>
  <si>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</si>
  <si>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</si>
  <si>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</si>
  <si>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</si>
  <si>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</si>
  <si>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</si>
  <si>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</si>
  <si>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</si>
  <si>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</si>
  <si>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</si>
  <si>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</si>
  <si>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</si>
  <si>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</si>
  <si>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</si>
  <si>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</si>
  <si>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</si>
  <si>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</si>
  <si>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</si>
  <si>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</si>
  <si>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</si>
  <si>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</si>
  <si>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</si>
  <si>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</si>
  <si>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</si>
  <si>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</si>
  <si>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</si>
  <si>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</si>
  <si>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</si>
  <si>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</si>
  <si>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</si>
  <si>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</si>
  <si>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</si>
  <si>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</si>
  <si>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</si>
  <si>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</si>
  <si>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</si>
  <si>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</si>
  <si>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</si>
  <si>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</si>
  <si>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</si>
  <si>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</si>
  <si>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</si>
  <si>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</si>
  <si>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</si>
  <si>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</si>
  <si>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</si>
  <si>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</si>
  <si>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</si>
  <si>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</si>
  <si>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</si>
  <si>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</si>
  <si>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</si>
  <si>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</si>
  <si>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</si>
  <si>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</si>
  <si>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</si>
  <si>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</si>
  <si>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</si>
  <si>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</si>
  <si>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</si>
  <si>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</si>
  <si>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</si>
  <si>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</si>
  <si>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</si>
  <si>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</si>
  <si>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</si>
  <si>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</si>
  <si>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</si>
  <si>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</si>
  <si>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</si>
  <si>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</si>
  <si>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</si>
  <si>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</si>
  <si>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</si>
  <si>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</si>
  <si>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</si>
  <si>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</si>
  <si>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</si>
  <si>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</si>
  <si>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</si>
  <si>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</si>
  <si>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</si>
  <si>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</si>
  <si>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</si>
  <si>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</si>
  <si>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</si>
  <si>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</si>
  <si>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</si>
  <si>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</si>
  <si>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</si>
  <si>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</si>
  <si>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</si>
  <si>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</si>
  <si>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</si>
  <si>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</si>
  <si>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</si>
  <si>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</si>
  <si>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</si>
  <si>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</si>
  <si>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</si>
  <si>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</si>
  <si>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</si>
  <si>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</si>
  <si>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</si>
  <si>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</si>
  <si>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</si>
  <si>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</si>
  <si>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</si>
  <si>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</si>
  <si>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</si>
  <si>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</si>
  <si>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</si>
  <si>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</si>
  <si>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</si>
  <si>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</si>
  <si>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</si>
  <si>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</si>
  <si>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</si>
  <si>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</si>
  <si>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</si>
  <si>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</si>
  <si>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</si>
  <si>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</si>
  <si>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</si>
  <si>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</si>
  <si>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</si>
  <si>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</si>
  <si>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</si>
  <si>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</si>
  <si>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</si>
  <si>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</si>
  <si>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</si>
  <si>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</si>
  <si>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</si>
  <si>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</si>
  <si>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</si>
  <si>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</si>
  <si>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</si>
  <si>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</si>
  <si>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</si>
  <si>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</si>
  <si>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</si>
  <si>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</si>
  <si>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</si>
  <si>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</si>
  <si>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</si>
  <si>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</si>
  <si>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</si>
  <si>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</si>
  <si>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</si>
  <si>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</si>
  <si>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</si>
  <si>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</si>
  <si>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</si>
  <si>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</si>
  <si>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</si>
  <si>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</si>
  <si>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</si>
  <si>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</si>
  <si>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</si>
  <si>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</si>
  <si>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</si>
  <si>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</si>
  <si>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</si>
  <si>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</si>
  <si>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</si>
  <si>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</si>
  <si>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</si>
  <si>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</si>
  <si>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</si>
  <si>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</si>
  <si>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</si>
  <si>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</si>
  <si>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</si>
  <si>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</si>
  <si>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</si>
  <si>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</si>
  <si>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</si>
  <si>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</si>
  <si>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</si>
  <si>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</si>
  <si>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</si>
  <si>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</si>
  <si>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</si>
  <si>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</si>
  <si>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</si>
  <si>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</si>
  <si>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</si>
  <si>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</si>
  <si>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</si>
  <si>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</si>
  <si>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</si>
  <si>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</si>
  <si>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</si>
  <si>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</si>
  <si>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</si>
  <si>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</si>
  <si>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</si>
  <si>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</si>
  <si>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</si>
  <si>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</si>
  <si>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</si>
  <si>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</si>
  <si>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</si>
  <si>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</si>
  <si>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</si>
  <si>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</si>
  <si>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</si>
  <si>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</si>
  <si>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</si>
  <si>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</si>
  <si>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</si>
  <si>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</si>
  <si>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</si>
  <si>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</si>
  <si>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</si>
  <si>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</si>
  <si>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</si>
  <si>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</si>
  <si>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</si>
  <si>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</si>
  <si>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</si>
  <si>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</si>
  <si>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</si>
  <si>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</si>
  <si>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</si>
  <si>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</si>
  <si>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</si>
  <si>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</si>
  <si>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</si>
  <si>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</si>
  <si>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</si>
  <si>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</si>
  <si>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</si>
  <si>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</si>
  <si>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</si>
  <si>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</si>
  <si>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</si>
  <si>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</si>
  <si>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</si>
  <si>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</si>
  <si>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</si>
  <si>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</si>
  <si>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</si>
  <si>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</si>
  <si>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</si>
  <si>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</si>
  <si>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</si>
  <si>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</si>
  <si>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</si>
  <si>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</si>
  <si>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</si>
  <si>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</si>
  <si>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</si>
  <si>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</si>
  <si>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</si>
  <si>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</si>
  <si>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</si>
  <si>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</si>
  <si>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</si>
  <si>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</si>
  <si>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</si>
  <si>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</si>
  <si>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</si>
  <si>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</si>
  <si>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</si>
  <si>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</si>
  <si>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</si>
  <si>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</si>
  <si>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</si>
  <si>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</si>
  <si>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</si>
  <si>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</si>
  <si>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</si>
  <si>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</si>
  <si>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</si>
  <si>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</si>
  <si>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</si>
  <si>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</si>
  <si>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</si>
  <si>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</si>
  <si>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</si>
  <si>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</si>
  <si>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</si>
  <si>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</si>
  <si>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</si>
  <si>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</si>
  <si>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</si>
  <si>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</si>
  <si>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</si>
  <si>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</si>
  <si>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</si>
  <si>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</si>
  <si>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</si>
  <si>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</si>
  <si>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</si>
  <si>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</si>
  <si>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</si>
  <si>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</si>
  <si>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</si>
  <si>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</si>
  <si>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</si>
  <si>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</si>
  <si>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</si>
  <si>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</si>
  <si>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</si>
  <si>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</si>
  <si>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</si>
  <si>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</si>
  <si>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</si>
  <si>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</si>
  <si>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</si>
  <si>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</si>
  <si>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</si>
  <si>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</si>
  <si>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</si>
  <si>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</si>
  <si>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</si>
  <si>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</si>
  <si>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</si>
  <si>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</si>
  <si>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</si>
  <si>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</si>
  <si>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</si>
  <si>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</si>
  <si>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</si>
  <si>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</si>
  <si>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</si>
  <si>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</si>
  <si>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</si>
  <si>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</si>
  <si>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</si>
  <si>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</si>
  <si>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</si>
  <si>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</si>
  <si>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</si>
  <si>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</si>
  <si>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</si>
  <si>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</si>
  <si>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</si>
  <si>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</si>
  <si>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</si>
  <si>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</si>
  <si>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</si>
  <si>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</si>
  <si>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</si>
  <si>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</si>
  <si>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</si>
  <si>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</si>
  <si>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</si>
  <si>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</si>
  <si>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</si>
  <si>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</si>
  <si>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</si>
  <si>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</si>
  <si>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</si>
  <si>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</si>
  <si>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</si>
  <si>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</si>
  <si>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</si>
  <si>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</si>
  <si>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</si>
  <si>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</si>
  <si>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</si>
  <si>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</si>
  <si>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</si>
  <si>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</si>
  <si>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</si>
  <si>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</si>
  <si>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</si>
  <si>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</si>
  <si>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</si>
  <si>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</si>
  <si>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</si>
  <si>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</si>
  <si>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</si>
  <si>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</si>
  <si>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</si>
  <si>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</si>
  <si>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</si>
  <si>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</si>
  <si>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</si>
  <si>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</si>
  <si>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</si>
  <si>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</si>
  <si>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</si>
  <si>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</si>
  <si>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</si>
  <si>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</si>
  <si>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</si>
  <si>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</si>
  <si>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</si>
  <si>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</si>
  <si>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</si>
  <si>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</si>
  <si>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</si>
  <si>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</si>
  <si>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</si>
  <si>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</si>
  <si>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</si>
  <si>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</si>
  <si>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</si>
  <si>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</si>
  <si>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</si>
  <si>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</si>
  <si>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</si>
  <si>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</si>
  <si>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</si>
  <si>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</si>
  <si>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</si>
  <si>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</si>
  <si>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</si>
  <si>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</si>
  <si>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</si>
  <si>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</si>
  <si>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</si>
  <si>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</si>
  <si>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</si>
  <si>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</si>
  <si>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</si>
  <si>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DuPage</t>
  </si>
  <si>
    <t>5211 Center Avenue</t>
  </si>
  <si>
    <t>Lisle</t>
  </si>
  <si>
    <t>dwilkinson@lisle202.org</t>
  </si>
  <si>
    <t>Keith Filipiak</t>
  </si>
  <si>
    <t>kfilipiak@lisle202.org</t>
  </si>
  <si>
    <t>Lauterbach &amp; Amen, LLP</t>
  </si>
  <si>
    <t>Don Shaw</t>
  </si>
  <si>
    <t>668 N. River Road</t>
  </si>
  <si>
    <t>Naperville</t>
  </si>
  <si>
    <t>IL</t>
  </si>
  <si>
    <t>065-037815</t>
  </si>
  <si>
    <t>dshaw@lauterbachamen.com</t>
  </si>
  <si>
    <t>GO Limited School Bonds, Series 2010</t>
  </si>
  <si>
    <t>GO Limited Tax School Bonds, Series 2015</t>
  </si>
  <si>
    <t>GO Limited Tax School Bonds, Series 2019</t>
  </si>
  <si>
    <t>Equipment Lease</t>
  </si>
  <si>
    <t>N/A</t>
  </si>
  <si>
    <t>Educational Benefit Cooperative</t>
  </si>
  <si>
    <t>Illinois Gas Cooperative, Illinois Energy Consortium</t>
  </si>
  <si>
    <t>Aramark Educational Services</t>
  </si>
  <si>
    <t>Illinois School District Liquid Asset Fund</t>
  </si>
  <si>
    <t>See additional sapce below</t>
  </si>
  <si>
    <t>School Resource Officer with the Village of Lisle</t>
  </si>
  <si>
    <t>School Association for Special Education in DuPage County (SASED)</t>
  </si>
  <si>
    <t>Purchasing Cooperatives: Southeast DuPage Purchasing Group, TIPS, Sourcewell, NCPA</t>
  </si>
  <si>
    <t>See additional space below</t>
  </si>
  <si>
    <t>Westway Coach, Sunrise Transportation</t>
  </si>
  <si>
    <t>Tecnhology Center of DuPage</t>
  </si>
  <si>
    <t>Agreement with Lisle Park District for use of athletic fields</t>
  </si>
  <si>
    <t xml:space="preserve">Technology Services: Intergovernmental Agreement with the Village of Lisle for managed information technology services     </t>
  </si>
  <si>
    <t xml:space="preserve">Insurance: School Employees Loss Fund (SELF) - Worker's Compensation, Suburban School Cooperative Insurance Pool (SSCIP) - Property &amp; Casualty     
</t>
  </si>
  <si>
    <t xml:space="preserve">Technology Services: Joint Agreement with the Village of Lisle, Lisle-Woodridge Fire Protection District, Lisle Library, and other private organizations located in Lisle for shared dark fiber     </t>
  </si>
  <si>
    <t>ED-Data Processing Services-Purchased Services</t>
  </si>
  <si>
    <t>Amplified IT, LLC</t>
  </si>
  <si>
    <t>ED-Food Services-Purchased Services</t>
  </si>
  <si>
    <t>Aramark Services, Inc.</t>
  </si>
  <si>
    <t>ED-Instruction-Purchased Services</t>
  </si>
  <si>
    <t>Athletico Management LLC</t>
  </si>
  <si>
    <t>TR-Pupil Transportation Services-Purchased Services</t>
  </si>
  <si>
    <t>Aurora Naper Transportation, Inc.</t>
  </si>
  <si>
    <t>ED-Instruction-Other</t>
  </si>
  <si>
    <t>Camelot Education</t>
  </si>
  <si>
    <t>O&amp;M-Oper. &amp; Maint. Plant Services-Purchased Services</t>
  </si>
  <si>
    <t>Everest Snow Management, Inc.</t>
  </si>
  <si>
    <t>Giant Steps Illinois, Inc</t>
  </si>
  <si>
    <t>GlenOaks Therapeutic Day School</t>
  </si>
  <si>
    <t>Kretman Masonry, Inc</t>
  </si>
  <si>
    <t>Little Friends, Inc.</t>
  </si>
  <si>
    <t>New Hope Academy</t>
  </si>
  <si>
    <t>Parkland Preparatory Academy, Inc</t>
  </si>
  <si>
    <t>S.E.A.L South, Inc</t>
  </si>
  <si>
    <t>SEAL of Illinois Inc</t>
  </si>
  <si>
    <t>ED-General Admin.-Purchased Services</t>
  </si>
  <si>
    <t>SELF</t>
  </si>
  <si>
    <t>SHI International Corp</t>
  </si>
  <si>
    <t>Soaring Eagle Academy, Inc</t>
  </si>
  <si>
    <t>ED-Pupil Support Services-Purchased Services</t>
  </si>
  <si>
    <t>Staffing Options &amp; Solutions LLC</t>
  </si>
  <si>
    <t>Suburban School Cooperative Insurance Pool</t>
  </si>
  <si>
    <t>Sunrise Southwest LLC</t>
  </si>
  <si>
    <t>Village of Lisle</t>
  </si>
  <si>
    <t>Westway Coach, Inc.</t>
  </si>
  <si>
    <t>Child Nutrition Cluster</t>
  </si>
  <si>
    <t>US Dept of Agriculture</t>
  </si>
  <si>
    <t>Illinois State Board of Education</t>
  </si>
  <si>
    <t>Commodities (Non-cash)</t>
  </si>
  <si>
    <t>Commodities - DoD F&amp;V (Non-cash)</t>
  </si>
  <si>
    <t>2019-4210</t>
  </si>
  <si>
    <t>2020-4210</t>
  </si>
  <si>
    <t>2020-4225</t>
  </si>
  <si>
    <t>Total US Dept of Agriculture</t>
  </si>
  <si>
    <t>Total Child Nutrition Cluster</t>
  </si>
  <si>
    <t>Special Education (IDEA) Cluster</t>
  </si>
  <si>
    <t>Dept of Education</t>
  </si>
  <si>
    <t>Special Education - Grants to States (IDEA Flow Through) (M)</t>
  </si>
  <si>
    <t>Special Education - Grants to States (IDEA Preschool) (M)</t>
  </si>
  <si>
    <t>Special Education - Grants to States (IDEA Room &amp; Board) (M)</t>
  </si>
  <si>
    <t>2020-4620</t>
  </si>
  <si>
    <t>2020-4600</t>
  </si>
  <si>
    <t>2019-4625</t>
  </si>
  <si>
    <t>Total Dept of Education</t>
  </si>
  <si>
    <t>Total Special Education (IDEA) Cluster</t>
  </si>
  <si>
    <t>Other Programs</t>
  </si>
  <si>
    <t>Title Iva - Student Support and Academic Enrichment</t>
  </si>
  <si>
    <t>Education Stabilization Grant</t>
  </si>
  <si>
    <t>84.425D</t>
  </si>
  <si>
    <t>2019-4300</t>
  </si>
  <si>
    <t>2020-4300</t>
  </si>
  <si>
    <t>2020-4932</t>
  </si>
  <si>
    <t>2020-4400</t>
  </si>
  <si>
    <t>2020-4998</t>
  </si>
  <si>
    <t>DuPage Area Occupational Education System</t>
  </si>
  <si>
    <t>Career and Technical Education - Basic Grants to States</t>
  </si>
  <si>
    <t>DuPage Regional Office of Education</t>
  </si>
  <si>
    <t>Education for Homeless Children and Youth</t>
  </si>
  <si>
    <t>Total Illinois State Board of Education</t>
  </si>
  <si>
    <t>Dept of Health and Human Services</t>
  </si>
  <si>
    <t>Medical Assistance Program</t>
  </si>
  <si>
    <t>Total Dept of Health and Human Services</t>
  </si>
  <si>
    <t>Total Other Programs</t>
  </si>
  <si>
    <t>Total Federal Awards</t>
  </si>
  <si>
    <r>
      <t xml:space="preserve">The accompanying Schedule of Expenditures of Federal Awards includes the federal grant activity of </t>
    </r>
    <r>
      <rPr>
        <b/>
        <sz val="9"/>
        <rFont val="Calibri"/>
        <family val="2"/>
        <scheme val="minor"/>
      </rPr>
      <t>Lisle CUSD 202</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</si>
  <si>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r>
      <t xml:space="preserve">Of the federal expenditures presented in the schedule, </t>
    </r>
    <r>
      <rPr>
        <b/>
        <sz val="9"/>
        <rFont val="Calibri"/>
        <family val="2"/>
        <scheme val="minor"/>
      </rPr>
      <t>Lisle CUSD 202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</si>
  <si>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Lisle CUSD 202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</si>
  <si>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</si>
  <si>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84.027/84.173</t>
  </si>
  <si>
    <t>Agreement with Lisle Park District for grounds maintenance</t>
  </si>
  <si>
    <t>Assets 7-8: 60-190 - Deposits $50,677</t>
  </si>
  <si>
    <t>Revenues 9-14; Other Local Revenues; $91 from miscellaneous sources</t>
  </si>
  <si>
    <t>Revenues 9-14; 10-3999: Other Restricted Revenue from State Sources; $1,047 from Library Grant</t>
  </si>
  <si>
    <t>Revenues 9-14; 10-4799: Local Carl Perkins Grant $5,780</t>
  </si>
  <si>
    <t>Revenues 9-14; 10-4998: Education Stabilization Grant $3,214</t>
  </si>
  <si>
    <t>Expenditures 15-22; 10-2190 Other Support Services - Pupils; Lunchroom Supervisors</t>
  </si>
  <si>
    <t>Expenditures 15-22; 30-5400-300 Debt Service - Other; Dues &amp; Fees $1,250</t>
  </si>
  <si>
    <t>Expenditures 15-22; 50-2190 Other Support Services - Pupils; $7,264 lunchroom supervisors</t>
  </si>
  <si>
    <t xml:space="preserve">  Lisle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</si>
</sst>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2"/>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xdr:colOff>
          <xdr:row>0</xdr:row>
          <xdr:rowOff>95250</xdr:rowOff>
        </xdr:from>
        <xdr:to>
          <xdr:col>1</xdr:col>
          <xdr:colOff>959427</xdr:colOff>
          <xdr:row>4</xdr:row>
          <xdr:rowOff>143741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1121352</xdr:colOff>
          <xdr:row>0</xdr:row>
          <xdr:rowOff>95250</xdr:rowOff>
        </xdr:from>
        <xdr:to>
          <xdr:col>1</xdr:col>
          <xdr:colOff>2035752</xdr:colOff>
          <xdr:row>4</xdr:row>
          <xdr:rowOff>143741</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2169102</xdr:colOff>
          <xdr:row>0</xdr:row>
          <xdr:rowOff>95250</xdr:rowOff>
        </xdr:from>
        <xdr:to>
          <xdr:col>1</xdr:col>
          <xdr:colOff>3083502</xdr:colOff>
          <xdr:row>4</xdr:row>
          <xdr:rowOff>143741</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3188277</xdr:colOff>
          <xdr:row>0</xdr:row>
          <xdr:rowOff>95250</xdr:rowOff>
        </xdr:from>
        <xdr:to>
          <xdr:col>2</xdr:col>
          <xdr:colOff>122959</xdr:colOff>
          <xdr:row>4</xdr:row>
          <xdr:rowOff>143741</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T44" sqref="T44:AA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1">
        <f>+'AFR20'!E4</f>
        <v>44119</v>
      </c>
      <c r="C1" s="2131"/>
      <c r="D1" s="2132"/>
      <c r="I1" s="2090" t="s">
        <v>402</v>
      </c>
      <c r="J1" s="2091"/>
      <c r="K1" s="2091"/>
      <c r="L1" s="2091"/>
      <c r="M1" s="2091"/>
      <c r="N1" s="2091"/>
      <c r="O1" s="2091"/>
      <c r="P1" s="2091"/>
      <c r="Q1" s="2091"/>
      <c r="R1" s="2091"/>
      <c r="S1" s="2091"/>
    </row>
    <row r="2" spans="1:32" ht="12" customHeight="1" x14ac:dyDescent="0.2">
      <c r="A2" s="1831" t="str">
        <f>"Due to ISBE on "</f>
        <v xml:space="preserve">Due to ISBE on </v>
      </c>
      <c r="B2" s="2133">
        <f>+'AFR20'!F4</f>
        <v>44151</v>
      </c>
      <c r="C2" s="2133"/>
      <c r="D2" s="2134"/>
      <c r="I2" s="2092" t="s">
        <v>2000</v>
      </c>
      <c r="J2" s="2091"/>
      <c r="K2" s="2091"/>
      <c r="L2" s="2091"/>
      <c r="M2" s="2091"/>
      <c r="N2" s="2091"/>
      <c r="O2" s="2091"/>
      <c r="P2" s="2091"/>
      <c r="Q2" s="2091"/>
      <c r="R2" s="2091"/>
      <c r="S2" s="2091"/>
    </row>
    <row r="3" spans="1:32" ht="12" customHeight="1" x14ac:dyDescent="0.2">
      <c r="A3" s="1834" t="str">
        <f>"SD/JA"&amp;MID('AFR20'!E2,3,2)</f>
        <v>SD/JA20</v>
      </c>
      <c r="B3" s="151"/>
      <c r="C3" s="151"/>
      <c r="D3" s="152"/>
      <c r="I3" s="2092" t="s">
        <v>52</v>
      </c>
      <c r="J3" s="2091"/>
      <c r="K3" s="2091"/>
      <c r="L3" s="2091"/>
      <c r="M3" s="2091"/>
      <c r="N3" s="2091"/>
      <c r="O3" s="2091"/>
      <c r="P3" s="2091"/>
      <c r="Q3" s="2091"/>
      <c r="R3" s="2091"/>
      <c r="S3" s="2091"/>
    </row>
    <row r="4" spans="1:32" ht="12" customHeight="1" x14ac:dyDescent="0.2">
      <c r="A4" s="37"/>
      <c r="I4" s="2092" t="s">
        <v>521</v>
      </c>
      <c r="J4" s="2091"/>
      <c r="K4" s="2091"/>
      <c r="L4" s="2091"/>
      <c r="M4" s="2091"/>
      <c r="N4" s="2091"/>
      <c r="O4" s="2091"/>
      <c r="P4" s="2091"/>
      <c r="Q4" s="2091"/>
      <c r="R4" s="2091"/>
      <c r="S4" s="2091"/>
    </row>
    <row r="5" spans="1:32" ht="14.1" customHeight="1" x14ac:dyDescent="0.2">
      <c r="B5" s="101" t="s">
        <v>2048</v>
      </c>
      <c r="C5" s="26" t="s">
        <v>904</v>
      </c>
      <c r="D5" s="81"/>
      <c r="E5" s="81"/>
      <c r="H5" s="38"/>
      <c r="I5" s="2100" t="s">
        <v>675</v>
      </c>
      <c r="J5" s="2099"/>
      <c r="K5" s="2099"/>
      <c r="L5" s="2099"/>
      <c r="M5" s="2099"/>
      <c r="N5" s="2099"/>
      <c r="O5" s="2099"/>
      <c r="P5" s="2099"/>
      <c r="Q5" s="2099"/>
      <c r="R5" s="2099"/>
      <c r="S5" s="2099"/>
      <c r="AF5" s="1827"/>
    </row>
    <row r="6" spans="1:32" ht="14.1" customHeight="1" x14ac:dyDescent="0.2">
      <c r="B6" s="101"/>
      <c r="C6" s="26" t="s">
        <v>905</v>
      </c>
      <c r="D6" s="81"/>
      <c r="E6" s="81"/>
      <c r="I6" s="2098" t="s">
        <v>877</v>
      </c>
      <c r="J6" s="2099"/>
      <c r="K6" s="2099"/>
      <c r="L6" s="2099"/>
      <c r="M6" s="2099"/>
      <c r="N6" s="2099"/>
      <c r="O6" s="2099"/>
      <c r="P6" s="2099"/>
      <c r="Q6" s="2099"/>
      <c r="R6" s="2099"/>
      <c r="S6" s="2099"/>
    </row>
    <row r="7" spans="1:32" ht="12.2" customHeight="1" x14ac:dyDescent="0.2">
      <c r="I7" s="2093" t="str">
        <f>"June 30, "&amp;'AFR20'!E2</f>
        <v>June 30, 2020</v>
      </c>
      <c r="J7" s="2094"/>
      <c r="K7" s="2094"/>
      <c r="L7" s="2094"/>
      <c r="M7" s="2094"/>
      <c r="N7" s="2094"/>
      <c r="O7" s="2094"/>
      <c r="P7" s="2094"/>
      <c r="Q7" s="2094"/>
      <c r="R7" s="2094"/>
      <c r="S7" s="20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5" t="s">
        <v>669</v>
      </c>
      <c r="J9" s="2096"/>
      <c r="K9" s="2096"/>
      <c r="L9" s="2096"/>
      <c r="M9" s="2096"/>
      <c r="N9" s="2096"/>
      <c r="O9" s="2096"/>
      <c r="P9" s="2096"/>
      <c r="Q9" s="2096"/>
      <c r="R9" s="2096"/>
      <c r="S9" s="2097"/>
      <c r="T9" s="2148" t="s">
        <v>530</v>
      </c>
      <c r="U9" s="2149"/>
      <c r="V9" s="2149"/>
      <c r="W9" s="2149"/>
      <c r="X9" s="2149"/>
      <c r="Y9" s="2149"/>
      <c r="Z9" s="2149"/>
      <c r="AA9" s="2150"/>
    </row>
    <row r="10" spans="1:32" ht="13.5" customHeight="1" x14ac:dyDescent="0.2">
      <c r="A10" s="2155" t="s">
        <v>670</v>
      </c>
      <c r="B10" s="2156"/>
      <c r="C10" s="2156"/>
      <c r="D10" s="2156"/>
      <c r="E10" s="2156"/>
      <c r="F10" s="2156"/>
      <c r="G10" s="2156"/>
      <c r="H10" s="2157"/>
      <c r="I10" s="29"/>
      <c r="J10" s="30"/>
      <c r="K10" s="28"/>
      <c r="R10" s="30"/>
      <c r="S10" s="30"/>
      <c r="T10" s="2151"/>
      <c r="U10" s="2099"/>
      <c r="V10" s="2099"/>
      <c r="W10" s="2099"/>
      <c r="X10" s="2099"/>
      <c r="Y10" s="2099"/>
      <c r="Z10" s="2099"/>
      <c r="AA10" s="2105"/>
    </row>
    <row r="11" spans="1:32" ht="14.25" customHeight="1" x14ac:dyDescent="0.2">
      <c r="A11" s="2158" t="s">
        <v>949</v>
      </c>
      <c r="B11" s="2159"/>
      <c r="C11" s="2159"/>
      <c r="D11" s="2159"/>
      <c r="E11" s="2159"/>
      <c r="F11" s="2159"/>
      <c r="G11" s="2159"/>
      <c r="H11" s="2160"/>
      <c r="I11" s="27"/>
      <c r="J11" s="71"/>
      <c r="K11" s="27"/>
      <c r="O11" s="144"/>
      <c r="P11" s="97" t="s">
        <v>199</v>
      </c>
      <c r="Q11" s="30"/>
      <c r="R11" s="28"/>
      <c r="S11" s="27"/>
      <c r="T11" s="2152"/>
      <c r="U11" s="2153"/>
      <c r="V11" s="2153"/>
      <c r="W11" s="2153"/>
      <c r="X11" s="2153"/>
      <c r="Y11" s="2153"/>
      <c r="Z11" s="2153"/>
      <c r="AA11" s="2154"/>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111">
        <v>19022202026</v>
      </c>
      <c r="B13" s="2112"/>
      <c r="C13" s="2112"/>
      <c r="D13" s="2112"/>
      <c r="E13" s="2112"/>
      <c r="F13" s="2112"/>
      <c r="G13" s="2112"/>
      <c r="H13" s="2113"/>
      <c r="I13" s="31"/>
      <c r="J13" s="30"/>
      <c r="K13" s="28"/>
      <c r="L13" s="30"/>
      <c r="M13" s="30"/>
      <c r="N13" s="30"/>
      <c r="O13" s="30"/>
      <c r="P13" s="30"/>
      <c r="Q13" s="30"/>
      <c r="R13" s="30"/>
      <c r="S13" s="30"/>
      <c r="T13" s="2117" t="s">
        <v>2055</v>
      </c>
      <c r="U13" s="2118"/>
      <c r="V13" s="2118"/>
      <c r="W13" s="2118"/>
      <c r="X13" s="2118"/>
      <c r="Y13" s="2119"/>
      <c r="Z13" s="2119"/>
      <c r="AA13" s="212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4" t="s">
        <v>2049</v>
      </c>
      <c r="B15" s="2115"/>
      <c r="C15" s="2115"/>
      <c r="D15" s="2115"/>
      <c r="E15" s="2115"/>
      <c r="F15" s="2115"/>
      <c r="G15" s="2115"/>
      <c r="H15" s="2116"/>
      <c r="T15" s="2121" t="s">
        <v>2056</v>
      </c>
      <c r="U15" s="2078"/>
      <c r="V15" s="2078"/>
      <c r="W15" s="2078"/>
      <c r="X15" s="2078"/>
      <c r="Y15" s="2122"/>
      <c r="Z15" s="2122"/>
      <c r="AA15" s="212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4" t="s">
        <v>2165</v>
      </c>
      <c r="B17" s="2085"/>
      <c r="C17" s="2085"/>
      <c r="D17" s="2085"/>
      <c r="E17" s="2085"/>
      <c r="F17" s="2085"/>
      <c r="G17" s="2085"/>
      <c r="H17" s="2110"/>
      <c r="T17" s="2128" t="s">
        <v>2057</v>
      </c>
      <c r="U17" s="2129"/>
      <c r="V17" s="2129"/>
      <c r="W17" s="2129"/>
      <c r="X17" s="2129"/>
      <c r="Y17" s="2129"/>
      <c r="Z17" s="2129"/>
      <c r="AA17" s="2130"/>
    </row>
    <row r="18" spans="1:27" ht="13.5" customHeight="1" x14ac:dyDescent="0.2">
      <c r="A18" s="82" t="s">
        <v>527</v>
      </c>
      <c r="B18" s="73"/>
      <c r="C18" s="69"/>
      <c r="D18" s="73"/>
      <c r="E18" s="73"/>
      <c r="F18" s="73"/>
      <c r="G18" s="73"/>
      <c r="H18" s="53"/>
      <c r="I18" s="210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114" t="s">
        <v>2050</v>
      </c>
      <c r="B19" s="2070"/>
      <c r="C19" s="2070"/>
      <c r="D19" s="2070"/>
      <c r="E19" s="2070"/>
      <c r="F19" s="2070"/>
      <c r="G19" s="2070"/>
      <c r="H19" s="2050"/>
      <c r="I19" s="30"/>
      <c r="J19" s="96"/>
      <c r="K19" s="40"/>
      <c r="L19" s="38"/>
      <c r="M19" s="109" t="s">
        <v>312</v>
      </c>
      <c r="P19" s="27"/>
      <c r="Q19" s="27"/>
      <c r="R19" s="27"/>
      <c r="S19" s="31"/>
      <c r="T19" s="2114" t="s">
        <v>2058</v>
      </c>
      <c r="U19" s="2049"/>
      <c r="V19" s="2049"/>
      <c r="W19" s="2050"/>
      <c r="X19" s="2126" t="s">
        <v>2059</v>
      </c>
      <c r="Y19" s="2127"/>
      <c r="Z19" s="2124">
        <v>60563</v>
      </c>
      <c r="AA19" s="212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8" t="s">
        <v>2051</v>
      </c>
      <c r="B21" s="2049"/>
      <c r="C21" s="2049"/>
      <c r="D21" s="2049"/>
      <c r="E21" s="2049"/>
      <c r="F21" s="2049"/>
      <c r="G21" s="2049"/>
      <c r="H21" s="2050"/>
      <c r="I21" s="2104" t="s">
        <v>673</v>
      </c>
      <c r="J21" s="2099"/>
      <c r="K21" s="2099"/>
      <c r="L21" s="2099"/>
      <c r="M21" s="2099"/>
      <c r="N21" s="2099"/>
      <c r="O21" s="2099"/>
      <c r="P21" s="2099"/>
      <c r="Q21" s="2099"/>
      <c r="R21" s="2099"/>
      <c r="S21" s="2105"/>
      <c r="T21" s="2139">
        <v>6303931483</v>
      </c>
      <c r="U21" s="2140"/>
      <c r="V21" s="2140"/>
      <c r="W21" s="2140"/>
      <c r="X21" s="2145">
        <v>6303932516</v>
      </c>
      <c r="Y21" s="2146"/>
      <c r="Z21" s="2146"/>
      <c r="AA21" s="2147"/>
    </row>
    <row r="22" spans="1:27" ht="13.5" customHeight="1" x14ac:dyDescent="0.2">
      <c r="A22" s="84" t="s">
        <v>528</v>
      </c>
      <c r="B22" s="56"/>
      <c r="C22" s="56"/>
      <c r="D22" s="56"/>
      <c r="E22" s="56"/>
      <c r="F22" s="56"/>
      <c r="G22" s="56"/>
      <c r="H22" s="57"/>
      <c r="I22" s="2106" t="s">
        <v>1412</v>
      </c>
      <c r="J22" s="2107"/>
      <c r="K22" s="2107"/>
      <c r="L22" s="2107"/>
      <c r="M22" s="2107"/>
      <c r="N22" s="2107"/>
      <c r="O22" s="2107"/>
      <c r="P22" s="2107"/>
      <c r="Q22" s="2107"/>
      <c r="R22" s="2107"/>
      <c r="S22" s="2108"/>
      <c r="T22" s="82" t="s">
        <v>1499</v>
      </c>
      <c r="U22" s="48"/>
      <c r="V22" s="69"/>
      <c r="W22" s="48"/>
      <c r="X22" s="155" t="s">
        <v>1307</v>
      </c>
      <c r="Z22" s="43"/>
      <c r="AA22" s="44"/>
    </row>
    <row r="23" spans="1:27" ht="13.5" customHeight="1" x14ac:dyDescent="0.2">
      <c r="A23" s="2101" t="s">
        <v>2052</v>
      </c>
      <c r="B23" s="2102"/>
      <c r="C23" s="2102"/>
      <c r="D23" s="2102"/>
      <c r="E23" s="2102"/>
      <c r="F23" s="2102"/>
      <c r="G23" s="2102"/>
      <c r="H23" s="2103"/>
      <c r="T23" s="2084" t="s">
        <v>2060</v>
      </c>
      <c r="U23" s="2138"/>
      <c r="V23" s="2138"/>
      <c r="W23" s="2138"/>
      <c r="X23" s="2142">
        <v>44469</v>
      </c>
      <c r="Y23" s="2143"/>
      <c r="Z23" s="2143"/>
      <c r="AA23" s="2144"/>
    </row>
    <row r="24" spans="1:27" ht="14.1" customHeight="1" x14ac:dyDescent="0.2">
      <c r="A24" s="85" t="s">
        <v>672</v>
      </c>
      <c r="B24" s="46"/>
      <c r="C24" s="46"/>
      <c r="D24" s="46"/>
      <c r="E24" s="46"/>
      <c r="F24" s="46"/>
      <c r="G24" s="46"/>
      <c r="H24" s="58"/>
      <c r="J24" s="2071">
        <f>IF(B5="x",IF(AUDITCHECK!D29="AFR form Incomplete.","",IF(AUDITCHECK!D29="Deficit reduction plan is required.","School District must complete a deficit reduction plan in the 2020-2021 Budget",)),"")</f>
        <v>0</v>
      </c>
      <c r="K24" s="2071"/>
      <c r="L24" s="2071"/>
      <c r="M24" s="2071"/>
      <c r="N24" s="2071"/>
      <c r="O24" s="2071"/>
      <c r="P24" s="2071"/>
      <c r="Q24" s="2071"/>
      <c r="R24" s="2071"/>
      <c r="S24" s="2072"/>
      <c r="T24" s="102" t="s">
        <v>528</v>
      </c>
      <c r="U24" s="103"/>
      <c r="V24" s="103"/>
      <c r="W24" s="103"/>
      <c r="X24" s="104"/>
      <c r="Y24" s="104"/>
      <c r="Z24" s="104"/>
      <c r="AA24" s="105"/>
    </row>
    <row r="25" spans="1:27" ht="14.1" customHeight="1" x14ac:dyDescent="0.2">
      <c r="A25" s="2048">
        <v>60532</v>
      </c>
      <c r="B25" s="2049"/>
      <c r="C25" s="2049"/>
      <c r="D25" s="2049"/>
      <c r="E25" s="2049"/>
      <c r="F25" s="2049"/>
      <c r="G25" s="2049"/>
      <c r="H25" s="2050"/>
      <c r="I25" s="110"/>
      <c r="J25" s="2073"/>
      <c r="K25" s="2073"/>
      <c r="L25" s="2073"/>
      <c r="M25" s="2073"/>
      <c r="N25" s="2073"/>
      <c r="O25" s="2073"/>
      <c r="P25" s="2073"/>
      <c r="Q25" s="2073"/>
      <c r="R25" s="2073"/>
      <c r="S25" s="2074"/>
      <c r="T25" s="2135" t="s">
        <v>2061</v>
      </c>
      <c r="U25" s="2136"/>
      <c r="V25" s="2136"/>
      <c r="W25" s="2136"/>
      <c r="X25" s="2136"/>
      <c r="Y25" s="2136"/>
      <c r="Z25" s="2136"/>
      <c r="AA25" s="213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9" t="s">
        <v>1494</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99"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0"/>
      <c r="Q35" s="2049"/>
      <c r="R35" s="20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4" t="s">
        <v>2053</v>
      </c>
      <c r="B38" s="2085"/>
      <c r="C38" s="2085"/>
      <c r="D38" s="2085"/>
      <c r="E38" s="2085"/>
      <c r="F38" s="2049"/>
      <c r="G38" s="2049"/>
      <c r="H38" s="2050"/>
      <c r="I38" s="2077"/>
      <c r="J38" s="2078"/>
      <c r="K38" s="2078"/>
      <c r="L38" s="2078"/>
      <c r="M38" s="2078"/>
      <c r="N38" s="2078"/>
      <c r="O38" s="2078"/>
      <c r="P38" s="2079"/>
      <c r="Q38" s="2079"/>
      <c r="R38" s="2079"/>
      <c r="S38" s="2080"/>
      <c r="T38" s="2121"/>
      <c r="U38" s="2078"/>
      <c r="V38" s="2078"/>
      <c r="W38" s="2078"/>
      <c r="X38" s="2079"/>
      <c r="Y38" s="2079"/>
      <c r="Z38" s="2079"/>
      <c r="AA38" s="2080"/>
    </row>
    <row r="39" spans="1:27" ht="12" customHeight="1" x14ac:dyDescent="0.2">
      <c r="A39" s="2054" t="s">
        <v>528</v>
      </c>
      <c r="B39" s="2055"/>
      <c r="C39" s="69"/>
      <c r="D39" s="66"/>
      <c r="E39" s="66"/>
      <c r="F39" s="76"/>
      <c r="G39" s="66"/>
      <c r="H39" s="53"/>
      <c r="I39" s="2054" t="s">
        <v>528</v>
      </c>
      <c r="J39" s="2055"/>
      <c r="K39" s="2055"/>
      <c r="L39" s="2055"/>
      <c r="M39" s="2055"/>
      <c r="N39" s="64"/>
      <c r="O39" s="69"/>
      <c r="P39" s="69"/>
      <c r="Q39" s="75"/>
      <c r="R39" s="69"/>
      <c r="S39" s="53"/>
      <c r="T39" s="69" t="s">
        <v>528</v>
      </c>
      <c r="U39" s="48"/>
      <c r="V39" s="69"/>
      <c r="W39" s="47"/>
      <c r="X39" s="75"/>
      <c r="Y39" s="43"/>
      <c r="Z39" s="43"/>
      <c r="AA39" s="44"/>
    </row>
    <row r="40" spans="1:27" ht="13.5" customHeight="1" x14ac:dyDescent="0.2">
      <c r="A40" s="2062" t="s">
        <v>2054</v>
      </c>
      <c r="B40" s="2063"/>
      <c r="C40" s="2064"/>
      <c r="D40" s="2064"/>
      <c r="E40" s="2064"/>
      <c r="F40" s="2065"/>
      <c r="G40" s="2065"/>
      <c r="H40" s="2066"/>
      <c r="I40" s="2087"/>
      <c r="J40" s="2088"/>
      <c r="K40" s="2088"/>
      <c r="L40" s="2088"/>
      <c r="M40" s="2088"/>
      <c r="N40" s="2088"/>
      <c r="O40" s="2088"/>
      <c r="P40" s="2088"/>
      <c r="Q40" s="2088"/>
      <c r="R40" s="2088"/>
      <c r="S40" s="2089"/>
      <c r="T40" s="2087"/>
      <c r="U40" s="2141"/>
      <c r="V40" s="2088"/>
      <c r="W40" s="2088"/>
      <c r="X40" s="2088"/>
      <c r="Y40" s="2088"/>
      <c r="Z40" s="2088"/>
      <c r="AA40" s="20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6">
        <v>6304938001</v>
      </c>
      <c r="B42" s="2068"/>
      <c r="C42" s="2069"/>
      <c r="D42" s="2067"/>
      <c r="E42" s="2068"/>
      <c r="F42" s="2068"/>
      <c r="G42" s="2068"/>
      <c r="H42" s="2069"/>
      <c r="I42" s="2051"/>
      <c r="J42" s="2052"/>
      <c r="K42" s="2052"/>
      <c r="L42" s="2052"/>
      <c r="M42" s="2052"/>
      <c r="N42" s="2052"/>
      <c r="O42" s="2053"/>
      <c r="P42" s="2086"/>
      <c r="Q42" s="2052"/>
      <c r="R42" s="2052"/>
      <c r="S42" s="2053"/>
      <c r="T42" s="2051"/>
      <c r="U42" s="2052"/>
      <c r="V42" s="2052"/>
      <c r="W42" s="2053"/>
      <c r="X42" s="2086"/>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1"/>
      <c r="B44" s="2082"/>
      <c r="C44" s="2082"/>
      <c r="D44" s="2082"/>
      <c r="E44" s="2082"/>
      <c r="F44" s="2082"/>
      <c r="G44" s="2082"/>
      <c r="H44" s="2083"/>
      <c r="I44" s="2056"/>
      <c r="J44" s="2057"/>
      <c r="K44" s="2057"/>
      <c r="L44" s="2057"/>
      <c r="M44" s="2057"/>
      <c r="N44" s="2057"/>
      <c r="O44" s="2057"/>
      <c r="P44" s="2057"/>
      <c r="Q44" s="2057"/>
      <c r="R44" s="2057"/>
      <c r="S44" s="2058"/>
      <c r="T44" s="2056"/>
      <c r="U44" s="2075"/>
      <c r="V44" s="2075"/>
      <c r="W44" s="2075"/>
      <c r="X44" s="2075"/>
      <c r="Y44" s="2075"/>
      <c r="Z44" s="2057"/>
      <c r="AA44" s="205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0"/>
      <c r="B3" s="1294"/>
      <c r="C3" s="1295"/>
      <c r="D3" s="1296" t="s">
        <v>254</v>
      </c>
      <c r="E3" s="1295"/>
      <c r="F3" s="1296" t="s">
        <v>255</v>
      </c>
    </row>
    <row r="4" spans="1:8" ht="13.7" customHeight="1" x14ac:dyDescent="0.2">
      <c r="A4" s="579" t="s">
        <v>1145</v>
      </c>
      <c r="B4" s="1721">
        <f>'Revenues 9-14'!C5</f>
        <v>18274083</v>
      </c>
      <c r="C4" s="1722">
        <v>9840143</v>
      </c>
      <c r="D4" s="1723">
        <f>B4-C4</f>
        <v>8433940</v>
      </c>
      <c r="E4" s="1722">
        <v>19296756</v>
      </c>
      <c r="F4" s="1723">
        <f>E4-C4</f>
        <v>9456613</v>
      </c>
    </row>
    <row r="5" spans="1:8" ht="13.7" customHeight="1" x14ac:dyDescent="0.2">
      <c r="A5" s="579" t="s">
        <v>865</v>
      </c>
      <c r="B5" s="1724">
        <f>'Revenues 9-14'!D5</f>
        <v>3094542</v>
      </c>
      <c r="C5" s="1664">
        <v>1986648</v>
      </c>
      <c r="D5" s="1725">
        <f t="shared" ref="D5:D18" si="0">B5-C5</f>
        <v>1107894</v>
      </c>
      <c r="E5" s="1664">
        <v>3895865</v>
      </c>
      <c r="F5" s="1725">
        <f>E5-C5</f>
        <v>1909217</v>
      </c>
    </row>
    <row r="6" spans="1:8" ht="13.7" customHeight="1" x14ac:dyDescent="0.2">
      <c r="A6" s="579" t="s">
        <v>408</v>
      </c>
      <c r="B6" s="1724">
        <f>'Revenues 9-14'!E5</f>
        <v>738757</v>
      </c>
      <c r="C6" s="1664">
        <v>616579</v>
      </c>
      <c r="D6" s="1725">
        <f t="shared" si="0"/>
        <v>122178</v>
      </c>
      <c r="E6" s="1664">
        <v>1209127</v>
      </c>
      <c r="F6" s="1725">
        <f t="shared" ref="F6:F18" si="1">E6-C6</f>
        <v>592548</v>
      </c>
    </row>
    <row r="7" spans="1:8" ht="13.7" customHeight="1" x14ac:dyDescent="0.2">
      <c r="A7" s="579" t="s">
        <v>154</v>
      </c>
      <c r="B7" s="1724">
        <f>'Revenues 9-14'!F5</f>
        <v>1796494</v>
      </c>
      <c r="C7" s="1664">
        <v>509306</v>
      </c>
      <c r="D7" s="1725">
        <f t="shared" si="0"/>
        <v>1287188</v>
      </c>
      <c r="E7" s="1664">
        <v>998762</v>
      </c>
      <c r="F7" s="1725">
        <f t="shared" si="1"/>
        <v>489456</v>
      </c>
    </row>
    <row r="8" spans="1:8" ht="13.7" customHeight="1" x14ac:dyDescent="0.2">
      <c r="A8" s="579" t="s">
        <v>1169</v>
      </c>
      <c r="B8" s="1724">
        <f>'Revenues 9-14'!G5</f>
        <v>359545</v>
      </c>
      <c r="C8" s="1664">
        <v>219056</v>
      </c>
      <c r="D8" s="1725">
        <f t="shared" si="0"/>
        <v>140489</v>
      </c>
      <c r="E8" s="1664">
        <v>429575</v>
      </c>
      <c r="F8" s="1725">
        <f t="shared" si="1"/>
        <v>210519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4302</v>
      </c>
      <c r="C10" s="1664">
        <v>2255</v>
      </c>
      <c r="D10" s="1725">
        <f t="shared" si="0"/>
        <v>2047</v>
      </c>
      <c r="E10" s="1664">
        <v>4422</v>
      </c>
      <c r="F10" s="1725">
        <f t="shared" si="1"/>
        <v>2167</v>
      </c>
    </row>
    <row r="11" spans="1:8" x14ac:dyDescent="0.2">
      <c r="A11" s="579" t="s">
        <v>406</v>
      </c>
      <c r="B11" s="1724">
        <f>'Revenues 9-14'!J5</f>
        <v>4302</v>
      </c>
      <c r="C11" s="1664">
        <v>2255</v>
      </c>
      <c r="D11" s="1725">
        <f t="shared" si="0"/>
        <v>2047</v>
      </c>
      <c r="E11" s="1664">
        <v>4422</v>
      </c>
      <c r="F11" s="1725">
        <f t="shared" si="1"/>
        <v>2167</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4867680</v>
      </c>
      <c r="C14" s="1664">
        <v>2546531</v>
      </c>
      <c r="D14" s="1725">
        <f t="shared" si="0"/>
        <v>2321149</v>
      </c>
      <c r="E14" s="1664">
        <v>4993808</v>
      </c>
      <c r="F14" s="1725">
        <f t="shared" si="1"/>
        <v>2447277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798988</v>
      </c>
      <c r="C16" s="1664">
        <v>254814</v>
      </c>
      <c r="D16" s="1725">
        <f t="shared" si="0"/>
        <v>544174</v>
      </c>
      <c r="E16" s="1664">
        <v>499697</v>
      </c>
      <c r="F16" s="1725">
        <f t="shared" si="1"/>
        <v>244883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29938693</v>
      </c>
      <c r="C19" s="1726">
        <f>SUM(C4:C18)</f>
        <v>15977587</v>
      </c>
      <c r="D19" s="1726">
        <f>SUM(D4:D18)</f>
        <v>13961106</v>
      </c>
      <c r="E19" s="1726">
        <f>SUM(E4:E18)</f>
        <v>31332434</v>
      </c>
      <c r="F19" s="1726">
        <f>SUM(F4:F18)</f>
        <v>15354847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D35" sqref="D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1" t="s">
        <v>625</v>
      </c>
      <c r="B1" s="2319"/>
      <c r="C1" s="585"/>
    </row>
    <row r="2" spans="1:7" ht="33.75" x14ac:dyDescent="0.2">
      <c r="A2" s="2326" t="s">
        <v>1776</v>
      </c>
      <c r="B2" s="232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8" t="s">
        <v>1104</v>
      </c>
      <c r="B3" s="2329"/>
      <c r="C3" s="2322"/>
      <c r="D3" s="2323"/>
      <c r="E3" s="2323"/>
      <c r="F3" s="2324"/>
    </row>
    <row r="4" spans="1:7" ht="12.75" customHeight="1" thickBot="1" x14ac:dyDescent="0.25">
      <c r="A4" s="2316" t="s">
        <v>626</v>
      </c>
      <c r="B4" s="2317"/>
      <c r="C4" s="1656"/>
      <c r="D4" s="1656"/>
      <c r="E4" s="1656"/>
      <c r="F4" s="1732">
        <f>SUM(C4+D4)-E4</f>
        <v>0</v>
      </c>
    </row>
    <row r="5" spans="1:7" ht="15.75" customHeight="1" thickTop="1" x14ac:dyDescent="0.2">
      <c r="A5" s="2320" t="s">
        <v>1101</v>
      </c>
      <c r="B5" s="2315"/>
      <c r="C5" s="2309"/>
      <c r="D5" s="2310"/>
      <c r="E5" s="2310"/>
      <c r="F5" s="231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2" t="s">
        <v>627</v>
      </c>
      <c r="B15" s="2313"/>
      <c r="C15" s="1732">
        <f>SUM(C6:C14)</f>
        <v>0</v>
      </c>
      <c r="D15" s="1732">
        <f>SUM(D6:D14)</f>
        <v>0</v>
      </c>
      <c r="E15" s="1732">
        <f>SUM(E6:E14)</f>
        <v>0</v>
      </c>
      <c r="F15" s="1732">
        <f>SUM(F6:F14)</f>
        <v>0</v>
      </c>
      <c r="G15" s="473"/>
    </row>
    <row r="16" spans="1:7" s="197" customFormat="1" ht="15.75" customHeight="1" thickTop="1" x14ac:dyDescent="0.2">
      <c r="A16" s="2325" t="s">
        <v>1102</v>
      </c>
      <c r="B16" s="2315"/>
      <c r="C16" s="2309"/>
      <c r="D16" s="2310"/>
      <c r="E16" s="2310"/>
      <c r="F16" s="2311"/>
    </row>
    <row r="17" spans="1:11" ht="12.75" customHeight="1" thickBot="1" x14ac:dyDescent="0.25">
      <c r="A17" s="2307" t="s">
        <v>64</v>
      </c>
      <c r="B17" s="2308"/>
      <c r="C17" s="1733"/>
      <c r="D17" s="1664"/>
      <c r="E17" s="1733"/>
      <c r="F17" s="1732">
        <f>SUM(C17+D17)-E17</f>
        <v>0</v>
      </c>
    </row>
    <row r="18" spans="1:11" ht="12.75" customHeight="1" thickTop="1" thickBot="1" x14ac:dyDescent="0.25">
      <c r="A18" s="2307" t="s">
        <v>6</v>
      </c>
      <c r="B18" s="2308"/>
      <c r="C18" s="1733"/>
      <c r="D18" s="1664"/>
      <c r="E18" s="1733"/>
      <c r="F18" s="1732">
        <f>SUM(C18+D18)-E18</f>
        <v>0</v>
      </c>
    </row>
    <row r="19" spans="1:11" ht="12.75" customHeight="1" thickTop="1" thickBot="1" x14ac:dyDescent="0.25">
      <c r="A19" s="2307" t="s">
        <v>385</v>
      </c>
      <c r="B19" s="2308"/>
      <c r="C19" s="1733"/>
      <c r="D19" s="1664"/>
      <c r="E19" s="1733"/>
      <c r="F19" s="1732">
        <f>SUM(C19+D19)-E19</f>
        <v>0</v>
      </c>
    </row>
    <row r="20" spans="1:11" ht="12.75" customHeight="1" thickTop="1" thickBot="1" x14ac:dyDescent="0.25">
      <c r="A20" s="2307" t="s">
        <v>445</v>
      </c>
      <c r="B20" s="2308"/>
      <c r="C20" s="1733"/>
      <c r="D20" s="1664"/>
      <c r="E20" s="1733"/>
      <c r="F20" s="1732">
        <f>SUM(C20+D20)-E20</f>
        <v>0</v>
      </c>
    </row>
    <row r="21" spans="1:11" ht="14.25" thickTop="1" thickBot="1" x14ac:dyDescent="0.25">
      <c r="A21" s="2312" t="s">
        <v>628</v>
      </c>
      <c r="B21" s="2313"/>
      <c r="C21" s="1732">
        <f>SUM(C17:C20)</f>
        <v>0</v>
      </c>
      <c r="D21" s="1732">
        <f>SUM(D17:D20)</f>
        <v>0</v>
      </c>
      <c r="E21" s="1732">
        <f>SUM(E17:E20)</f>
        <v>0</v>
      </c>
      <c r="F21" s="1732">
        <f>SUM(F17:F20)</f>
        <v>0</v>
      </c>
      <c r="G21" s="473"/>
    </row>
    <row r="22" spans="1:11" ht="15.75" customHeight="1" thickTop="1" x14ac:dyDescent="0.2">
      <c r="A22" s="2314" t="s">
        <v>1103</v>
      </c>
      <c r="B22" s="2315"/>
      <c r="C22" s="2309"/>
      <c r="D22" s="2310"/>
      <c r="E22" s="2310"/>
      <c r="F22" s="2311"/>
    </row>
    <row r="23" spans="1:11" ht="13.5" thickBot="1" x14ac:dyDescent="0.25">
      <c r="A23" s="2316" t="s">
        <v>629</v>
      </c>
      <c r="B23" s="2317"/>
      <c r="C23" s="1656"/>
      <c r="D23" s="1656"/>
      <c r="E23" s="1656"/>
      <c r="F23" s="1732">
        <f>SUM(C23+D23)-E23</f>
        <v>0</v>
      </c>
      <c r="G23" s="473"/>
    </row>
    <row r="24" spans="1:11" ht="15.75" customHeight="1" thickTop="1" x14ac:dyDescent="0.2">
      <c r="A24" s="2314" t="s">
        <v>2003</v>
      </c>
      <c r="B24" s="2315"/>
      <c r="C24" s="2309"/>
      <c r="D24" s="2310"/>
      <c r="E24" s="2310"/>
      <c r="F24" s="2311"/>
    </row>
    <row r="25" spans="1:11" ht="13.5" thickBot="1" x14ac:dyDescent="0.25">
      <c r="A25" s="2316" t="s">
        <v>2004</v>
      </c>
      <c r="B25" s="2317"/>
      <c r="C25" s="1656"/>
      <c r="D25" s="1656"/>
      <c r="E25" s="1656"/>
      <c r="F25" s="1732">
        <f>SUM(C25+D25)-E25</f>
        <v>0</v>
      </c>
      <c r="G25" s="473"/>
    </row>
    <row r="26" spans="1:11" ht="15.75" customHeight="1" thickTop="1" x14ac:dyDescent="0.2">
      <c r="A26" s="2320" t="s">
        <v>652</v>
      </c>
      <c r="B26" s="2315"/>
      <c r="C26" s="589"/>
      <c r="D26" s="589"/>
      <c r="E26" s="589"/>
      <c r="F26" s="590"/>
    </row>
    <row r="27" spans="1:11" ht="13.5" thickBot="1" x14ac:dyDescent="0.25">
      <c r="A27" s="2312" t="s">
        <v>1061</v>
      </c>
      <c r="B27" s="2313"/>
      <c r="C27" s="1664"/>
      <c r="D27" s="1664"/>
      <c r="E27" s="1664"/>
      <c r="F27" s="1732">
        <f>SUM(C27+D27)-E27</f>
        <v>0</v>
      </c>
      <c r="G27" s="473"/>
    </row>
    <row r="28" spans="1:11" ht="7.5" customHeight="1" thickTop="1" x14ac:dyDescent="0.2">
      <c r="A28" s="489"/>
    </row>
    <row r="29" spans="1:11" ht="23.25" customHeight="1" x14ac:dyDescent="0.2">
      <c r="A29" s="2318" t="s">
        <v>578</v>
      </c>
      <c r="B29" s="231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2037" t="s">
        <v>2062</v>
      </c>
      <c r="B31" s="595">
        <v>40519</v>
      </c>
      <c r="C31" s="1734">
        <v>4895000</v>
      </c>
      <c r="D31" s="1735">
        <v>3</v>
      </c>
      <c r="E31" s="1734">
        <v>555000</v>
      </c>
      <c r="F31" s="1734"/>
      <c r="G31" s="1734"/>
      <c r="H31" s="1734">
        <v>555000</v>
      </c>
      <c r="I31" s="1736">
        <f>((E31+F31)-H31)+G31</f>
        <v>0</v>
      </c>
      <c r="J31" s="1734"/>
      <c r="K31" s="596"/>
    </row>
    <row r="32" spans="1:11" ht="12" customHeight="1" x14ac:dyDescent="0.2">
      <c r="A32" s="594" t="s">
        <v>2063</v>
      </c>
      <c r="B32" s="595">
        <v>42353</v>
      </c>
      <c r="C32" s="1734">
        <v>3345000</v>
      </c>
      <c r="D32" s="1735">
        <v>3</v>
      </c>
      <c r="E32" s="1734">
        <v>730000</v>
      </c>
      <c r="F32" s="1734"/>
      <c r="G32" s="1734"/>
      <c r="H32" s="1734">
        <v>730000</v>
      </c>
      <c r="I32" s="1736">
        <f>((E32+F32)-H32)+G32</f>
        <v>0</v>
      </c>
      <c r="J32" s="1734"/>
      <c r="K32" s="596"/>
    </row>
    <row r="33" spans="1:11" ht="12" customHeight="1" x14ac:dyDescent="0.2">
      <c r="A33" s="594" t="s">
        <v>2064</v>
      </c>
      <c r="B33" s="595">
        <v>43546</v>
      </c>
      <c r="C33" s="1734">
        <v>12640000</v>
      </c>
      <c r="D33" s="1735">
        <v>1</v>
      </c>
      <c r="E33" s="1734">
        <v>12640000</v>
      </c>
      <c r="F33" s="1734"/>
      <c r="G33" s="1734"/>
      <c r="H33" s="1734">
        <v>170000</v>
      </c>
      <c r="I33" s="1736">
        <f t="shared" ref="I33:I48" si="1">((E33+F33)-H33)+G33</f>
        <v>12470000</v>
      </c>
      <c r="J33" s="1734">
        <f>I33</f>
        <v>12470000</v>
      </c>
      <c r="K33" s="596"/>
    </row>
    <row r="34" spans="1:11" ht="12" customHeight="1" x14ac:dyDescent="0.2">
      <c r="A34" s="594" t="s">
        <v>2065</v>
      </c>
      <c r="B34" s="595">
        <v>42010</v>
      </c>
      <c r="C34" s="1734">
        <v>140818</v>
      </c>
      <c r="D34" s="1735">
        <v>7</v>
      </c>
      <c r="E34" s="1734">
        <v>17958</v>
      </c>
      <c r="F34" s="1734"/>
      <c r="G34" s="1734"/>
      <c r="H34" s="1734">
        <v>17958</v>
      </c>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21020818</v>
      </c>
      <c r="D49" s="1742"/>
      <c r="E49" s="1736">
        <f t="shared" ref="E49:J49" si="2">SUM(E31:E48)</f>
        <v>13942958</v>
      </c>
      <c r="F49" s="1736">
        <f t="shared" si="2"/>
        <v>0</v>
      </c>
      <c r="G49" s="1736">
        <f t="shared" si="2"/>
        <v>0</v>
      </c>
      <c r="H49" s="1736">
        <f t="shared" si="2"/>
        <v>1472958</v>
      </c>
      <c r="I49" s="1736">
        <f t="shared" si="2"/>
        <v>12470000</v>
      </c>
      <c r="J49" s="1736">
        <f t="shared" si="2"/>
        <v>12470000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c r="G52" s="2304"/>
      <c r="H52" s="596"/>
      <c r="I52" s="596"/>
      <c r="J52" s="600"/>
    </row>
    <row r="53" spans="1:11" ht="11.25" customHeight="1" x14ac:dyDescent="0.2">
      <c r="A53" s="604" t="s">
        <v>907</v>
      </c>
      <c r="B53" s="605" t="s">
        <v>945</v>
      </c>
      <c r="C53" s="600"/>
      <c r="D53" s="597"/>
      <c r="E53" s="603" t="s">
        <v>494</v>
      </c>
      <c r="F53" s="2305"/>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0" t="s">
        <v>851</v>
      </c>
      <c r="B1" s="2331"/>
      <c r="C1" s="2331"/>
      <c r="D1" s="2331"/>
      <c r="E1" s="2331"/>
      <c r="F1" s="2331"/>
      <c r="G1" s="2332"/>
      <c r="H1" s="1298"/>
      <c r="I1" s="614"/>
      <c r="J1" s="400"/>
    </row>
    <row r="2" spans="1:11" ht="26.25" x14ac:dyDescent="0.2">
      <c r="A2" s="2349" t="s">
        <v>1658</v>
      </c>
      <c r="B2" s="2350"/>
      <c r="C2" s="2350"/>
      <c r="D2" s="2350"/>
      <c r="E2" s="2351"/>
      <c r="F2" s="615" t="s">
        <v>898</v>
      </c>
      <c r="G2" s="616" t="s">
        <v>1655</v>
      </c>
      <c r="H2" s="616" t="s">
        <v>407</v>
      </c>
      <c r="I2" s="616" t="s">
        <v>1148</v>
      </c>
      <c r="J2" s="616" t="s">
        <v>1786</v>
      </c>
      <c r="K2" s="616" t="s">
        <v>137</v>
      </c>
    </row>
    <row r="3" spans="1:11" x14ac:dyDescent="0.2">
      <c r="A3" s="2352" t="str">
        <f>"Cash Basis Fund Balance as of July 1, "&amp;'AFR20'!E2-1</f>
        <v>Cash Basis Fund Balance as of July 1, 2019</v>
      </c>
      <c r="B3" s="2353"/>
      <c r="C3" s="2353"/>
      <c r="D3" s="2353"/>
      <c r="E3" s="2354"/>
      <c r="F3" s="617"/>
      <c r="G3" s="1744"/>
      <c r="H3" s="1744"/>
      <c r="I3" s="1744"/>
      <c r="J3" s="1745"/>
      <c r="K3" s="1745"/>
    </row>
    <row r="4" spans="1:11" x14ac:dyDescent="0.2">
      <c r="A4" s="2355" t="s">
        <v>366</v>
      </c>
      <c r="B4" s="2356"/>
      <c r="C4" s="2356"/>
      <c r="D4" s="2356"/>
      <c r="E4" s="2302"/>
      <c r="F4" s="620"/>
      <c r="G4" s="1746"/>
      <c r="H4" s="1747"/>
      <c r="I4" s="1746"/>
      <c r="J4" s="1748"/>
      <c r="K4" s="1748"/>
    </row>
    <row r="5" spans="1:11" x14ac:dyDescent="0.2">
      <c r="A5" s="2333" t="s">
        <v>1060</v>
      </c>
      <c r="B5" s="2334"/>
      <c r="C5" s="2334"/>
      <c r="D5" s="2334"/>
      <c r="E5" s="2335"/>
      <c r="F5" s="622" t="s">
        <v>843</v>
      </c>
      <c r="G5" s="1749"/>
      <c r="H5" s="1744">
        <f>'Revenues 9-14'!C7</f>
        <v>4867680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f>'Revenues 9-14'!C101</f>
        <v>14994</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3" t="s">
        <v>1787</v>
      </c>
      <c r="B10" s="2334"/>
      <c r="C10" s="2334"/>
      <c r="D10" s="2334"/>
      <c r="E10" s="2336"/>
      <c r="F10" s="633" t="s">
        <v>857</v>
      </c>
      <c r="G10" s="1753"/>
      <c r="H10" s="1754"/>
      <c r="I10" s="1744"/>
      <c r="J10" s="1745"/>
      <c r="K10" s="1745"/>
    </row>
    <row r="11" spans="1:11" x14ac:dyDescent="0.2">
      <c r="A11" s="2333" t="s">
        <v>159</v>
      </c>
      <c r="B11" s="2334"/>
      <c r="C11" s="2334"/>
      <c r="D11" s="2334"/>
      <c r="E11" s="2335"/>
      <c r="F11" s="622" t="s">
        <v>847</v>
      </c>
      <c r="G11" s="1749"/>
      <c r="H11" s="1744"/>
      <c r="I11" s="1744"/>
      <c r="J11" s="1745"/>
      <c r="K11" s="1751"/>
    </row>
    <row r="12" spans="1:11" ht="13.5" thickBot="1" x14ac:dyDescent="0.25">
      <c r="A12" s="2360" t="s">
        <v>899</v>
      </c>
      <c r="B12" s="2361"/>
      <c r="C12" s="2361"/>
      <c r="D12" s="2361"/>
      <c r="E12" s="2362"/>
      <c r="F12" s="1433"/>
      <c r="G12" s="1755">
        <f>SUM(G5:G11)</f>
        <v>0</v>
      </c>
      <c r="H12" s="1755">
        <f>SUM(H5:H11)</f>
        <v>4867680</v>
      </c>
      <c r="I12" s="1755">
        <f>SUM(I5:I11)</f>
        <v>0</v>
      </c>
      <c r="J12" s="1755">
        <f>SUM(J5:J11)</f>
        <v>0</v>
      </c>
      <c r="K12" s="1755">
        <f>SUM(K5:K11)</f>
        <v>14994</v>
      </c>
    </row>
    <row r="13" spans="1:11" ht="13.5" thickTop="1" x14ac:dyDescent="0.2">
      <c r="A13" s="2357" t="s">
        <v>367</v>
      </c>
      <c r="B13" s="2358"/>
      <c r="C13" s="2358"/>
      <c r="D13" s="2358"/>
      <c r="E13" s="2359"/>
      <c r="F13" s="634"/>
      <c r="G13" s="1756"/>
      <c r="H13" s="1757"/>
      <c r="I13" s="1758"/>
      <c r="J13" s="1758"/>
      <c r="K13" s="1758"/>
    </row>
    <row r="14" spans="1:11" x14ac:dyDescent="0.2">
      <c r="A14" s="2340" t="s">
        <v>453</v>
      </c>
      <c r="B14" s="2340"/>
      <c r="C14" s="2340"/>
      <c r="D14" s="2340"/>
      <c r="E14" s="2341"/>
      <c r="F14" s="635" t="s">
        <v>849</v>
      </c>
      <c r="G14" s="1753"/>
      <c r="H14" s="1744">
        <f>H12</f>
        <v>4867680</v>
      </c>
      <c r="I14" s="1749"/>
      <c r="J14" s="1751"/>
      <c r="K14" s="1745">
        <f>K12</f>
        <v>14994</v>
      </c>
    </row>
    <row r="15" spans="1:11" x14ac:dyDescent="0.2">
      <c r="A15" s="2334" t="s">
        <v>4</v>
      </c>
      <c r="B15" s="2334"/>
      <c r="C15" s="2334"/>
      <c r="D15" s="2334"/>
      <c r="E15" s="2335"/>
      <c r="F15" s="635" t="s">
        <v>850</v>
      </c>
      <c r="G15" s="1749"/>
      <c r="H15" s="1744"/>
      <c r="I15" s="1744"/>
      <c r="J15" s="1745"/>
      <c r="K15" s="1745"/>
    </row>
    <row r="16" spans="1:11" x14ac:dyDescent="0.2">
      <c r="A16" s="2334" t="s">
        <v>295</v>
      </c>
      <c r="B16" s="2334"/>
      <c r="C16" s="2334"/>
      <c r="D16" s="2334"/>
      <c r="E16" s="2335"/>
      <c r="F16" s="635" t="s">
        <v>917</v>
      </c>
      <c r="G16" s="1750"/>
      <c r="H16" s="1746"/>
      <c r="I16" s="1746"/>
      <c r="J16" s="1748"/>
      <c r="K16" s="1748"/>
    </row>
    <row r="17" spans="1:15" x14ac:dyDescent="0.2">
      <c r="A17" s="2367" t="s">
        <v>929</v>
      </c>
      <c r="B17" s="2367"/>
      <c r="C17" s="2367"/>
      <c r="D17" s="2367"/>
      <c r="E17" s="2368"/>
      <c r="F17" s="636"/>
      <c r="G17" s="1759"/>
      <c r="H17" s="1760"/>
      <c r="I17" s="1760"/>
      <c r="J17" s="1761"/>
      <c r="K17" s="1762"/>
    </row>
    <row r="18" spans="1:15" x14ac:dyDescent="0.2">
      <c r="A18" s="2344" t="s">
        <v>365</v>
      </c>
      <c r="B18" s="2345"/>
      <c r="C18" s="2345"/>
      <c r="D18" s="2345"/>
      <c r="E18" s="2346"/>
      <c r="F18" s="635" t="s">
        <v>926</v>
      </c>
      <c r="G18" s="1753"/>
      <c r="H18" s="1753"/>
      <c r="I18" s="1753"/>
      <c r="J18" s="1745"/>
      <c r="K18" s="1763"/>
    </row>
    <row r="19" spans="1:15" ht="21.75" customHeight="1" x14ac:dyDescent="0.2">
      <c r="A19" s="2342" t="s">
        <v>1783</v>
      </c>
      <c r="B19" s="2342"/>
      <c r="C19" s="2342"/>
      <c r="D19" s="2342"/>
      <c r="E19" s="2343"/>
      <c r="F19" s="635" t="s">
        <v>927</v>
      </c>
      <c r="G19" s="1753"/>
      <c r="H19" s="1753"/>
      <c r="I19" s="1753"/>
      <c r="J19" s="1745"/>
      <c r="K19" s="1763"/>
    </row>
    <row r="20" spans="1:15" x14ac:dyDescent="0.2">
      <c r="A20" s="2344" t="s">
        <v>1788</v>
      </c>
      <c r="B20" s="2345"/>
      <c r="C20" s="2345"/>
      <c r="D20" s="2345"/>
      <c r="E20" s="2346"/>
      <c r="F20" s="635" t="s">
        <v>928</v>
      </c>
      <c r="G20" s="1753"/>
      <c r="H20" s="1753"/>
      <c r="I20" s="1753"/>
      <c r="J20" s="1745"/>
      <c r="K20" s="1763"/>
    </row>
    <row r="21" spans="1:15" ht="13.5" thickBot="1" x14ac:dyDescent="0.25">
      <c r="A21" s="2363" t="s">
        <v>633</v>
      </c>
      <c r="B21" s="2363"/>
      <c r="C21" s="2363"/>
      <c r="D21" s="2363"/>
      <c r="E21" s="2363"/>
      <c r="F21" s="1434"/>
      <c r="G21" s="1760"/>
      <c r="H21" s="1764"/>
      <c r="I21" s="1764"/>
      <c r="J21" s="1765">
        <f>SUM(J18:J20)</f>
        <v>0</v>
      </c>
      <c r="K21" s="1761"/>
    </row>
    <row r="22" spans="1:15" ht="13.5" thickTop="1" x14ac:dyDescent="0.2">
      <c r="A22" s="2334" t="s">
        <v>1789</v>
      </c>
      <c r="B22" s="2334"/>
      <c r="C22" s="2334"/>
      <c r="D22" s="2334"/>
      <c r="E22" s="2335"/>
      <c r="F22" s="635" t="s">
        <v>857</v>
      </c>
      <c r="G22" s="1753"/>
      <c r="H22" s="1744"/>
      <c r="I22" s="1744"/>
      <c r="J22" s="1766"/>
      <c r="K22" s="1745"/>
    </row>
    <row r="23" spans="1:15" ht="13.5" thickBot="1" x14ac:dyDescent="0.25">
      <c r="A23" s="2364" t="s">
        <v>900</v>
      </c>
      <c r="B23" s="2363"/>
      <c r="C23" s="2363"/>
      <c r="D23" s="2363"/>
      <c r="E23" s="2363"/>
      <c r="F23" s="1436"/>
      <c r="G23" s="1755">
        <f>SUM(G14:G16,G21,G22)</f>
        <v>0</v>
      </c>
      <c r="H23" s="1755">
        <f>SUM(H14:H16,H21,H22)</f>
        <v>4867680</v>
      </c>
      <c r="I23" s="1755">
        <f>SUM(I14:I16,I21,I22)</f>
        <v>0</v>
      </c>
      <c r="J23" s="1755">
        <f>SUM(J14:J16,J21,J22)</f>
        <v>0</v>
      </c>
      <c r="K23" s="1755">
        <f>SUM(K14:K16,K21,K22)</f>
        <v>14994</v>
      </c>
      <c r="M23" s="1846"/>
      <c r="N23" s="1846"/>
      <c r="O23" s="1846"/>
    </row>
    <row r="24" spans="1:15" ht="14.25" thickTop="1" thickBot="1" x14ac:dyDescent="0.25">
      <c r="A24" s="2365" t="str">
        <f>"Ending Cash Basis Fund Balance as of June 30, "&amp;'AFR20'!E2</f>
        <v>Ending Cash Basis Fund Balance as of June 30, 2020</v>
      </c>
      <c r="B24" s="2366"/>
      <c r="C24" s="2366"/>
      <c r="D24" s="2366"/>
      <c r="E24" s="236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7"/>
      <c r="I31" s="2338"/>
      <c r="J31" s="2338"/>
      <c r="K31" s="2338"/>
    </row>
    <row r="32" spans="1:15" x14ac:dyDescent="0.2">
      <c r="A32" s="649"/>
      <c r="B32" s="232"/>
      <c r="C32" s="232"/>
      <c r="D32" s="232"/>
      <c r="E32" s="645"/>
      <c r="F32" s="651" t="s">
        <v>537</v>
      </c>
      <c r="G32" s="618"/>
      <c r="H32" s="2339"/>
      <c r="I32" s="2338"/>
      <c r="J32" s="2338"/>
      <c r="K32" s="2338"/>
    </row>
    <row r="33" spans="1:11" ht="1.5" customHeight="1" x14ac:dyDescent="0.2">
      <c r="A33" s="652" t="s">
        <v>1159</v>
      </c>
      <c r="B33" s="341"/>
      <c r="C33" s="341"/>
      <c r="D33" s="341"/>
      <c r="E33" s="341"/>
      <c r="F33" s="341"/>
      <c r="G33" s="653"/>
      <c r="H33" s="2339"/>
      <c r="I33" s="2338"/>
      <c r="J33" s="2338"/>
      <c r="K33" s="233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4" t="s">
        <v>538</v>
      </c>
      <c r="B41" s="2347"/>
      <c r="C41" s="2347"/>
      <c r="D41" s="2347"/>
      <c r="E41" s="2347"/>
      <c r="F41" s="234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A18" sqref="A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1872</v>
      </c>
      <c r="B1" s="2372"/>
      <c r="C1" s="2373"/>
      <c r="D1" s="666"/>
      <c r="E1" s="667"/>
      <c r="F1" s="667"/>
      <c r="G1" s="668"/>
      <c r="H1" s="669"/>
      <c r="I1" s="670"/>
      <c r="J1" s="2369"/>
      <c r="K1" s="2370"/>
      <c r="L1" s="237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941514</v>
      </c>
      <c r="D5" s="1770">
        <v>330992</v>
      </c>
      <c r="E5" s="1770"/>
      <c r="F5" s="1765">
        <f>(C5+D5)-E5</f>
        <v>1272506</v>
      </c>
      <c r="G5" s="676"/>
      <c r="H5" s="680"/>
      <c r="I5" s="680"/>
      <c r="J5" s="680"/>
      <c r="K5" s="637"/>
      <c r="L5" s="1442">
        <f>F5-K5</f>
        <v>1272506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39717361</v>
      </c>
      <c r="D8" s="1771">
        <v>35018929</v>
      </c>
      <c r="E8" s="1771"/>
      <c r="F8" s="1765">
        <f>(C8+D8)-E8</f>
        <v>74736290</v>
      </c>
      <c r="G8" s="681">
        <v>50</v>
      </c>
      <c r="H8" s="619">
        <v>18877263</v>
      </c>
      <c r="I8" s="619">
        <v>1439366</v>
      </c>
      <c r="J8" s="619"/>
      <c r="K8" s="1442">
        <f>(H8+I8)-J8</f>
        <v>20316629</v>
      </c>
      <c r="L8" s="1442">
        <f>F8-K8</f>
        <v>54419661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2224083</v>
      </c>
      <c r="D10" s="1772">
        <v>586586</v>
      </c>
      <c r="E10" s="1772"/>
      <c r="F10" s="1773">
        <f>(C10+D10)-E10</f>
        <v>2810669</v>
      </c>
      <c r="G10" s="681">
        <v>20</v>
      </c>
      <c r="H10" s="683">
        <v>1375784</v>
      </c>
      <c r="I10" s="683">
        <v>66299</v>
      </c>
      <c r="J10" s="683"/>
      <c r="K10" s="1442">
        <f>(H10+I10)-J10</f>
        <v>1442083</v>
      </c>
      <c r="L10" s="1442">
        <f>F10-K10</f>
        <v>1368586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3179702</v>
      </c>
      <c r="D12" s="1771">
        <v>1935122</v>
      </c>
      <c r="E12" s="1771">
        <v>79935</v>
      </c>
      <c r="F12" s="1765">
        <f>(C12+D12)-E12</f>
        <v>5034889</v>
      </c>
      <c r="G12" s="681">
        <v>10</v>
      </c>
      <c r="H12" s="619">
        <v>2736039</v>
      </c>
      <c r="I12" s="619">
        <v>229032</v>
      </c>
      <c r="J12" s="619">
        <v>76085</v>
      </c>
      <c r="K12" s="1442">
        <f>(H12+I12)-J12</f>
        <v>2888986</v>
      </c>
      <c r="L12" s="1442">
        <f>F12-K12</f>
        <v>2145903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31714806</v>
      </c>
      <c r="D15" s="1771"/>
      <c r="E15" s="1771">
        <v>31714806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77777466</v>
      </c>
      <c r="D16" s="1765">
        <f>SUM(D3,D5:D6,D8:D10,D12:D15)</f>
        <v>37871629</v>
      </c>
      <c r="E16" s="1765">
        <f>SUM(E3,E5:E6,E8:E10,E12:E15)</f>
        <v>31794741</v>
      </c>
      <c r="F16" s="1765">
        <f>SUM(F3,F5:F6,F8:F10,F12:F15)</f>
        <v>83854354</v>
      </c>
      <c r="G16" s="681"/>
      <c r="H16" s="1435">
        <f>SUM(H3,H6,H8:H10,H12:H14,)</f>
        <v>22989086</v>
      </c>
      <c r="I16" s="1435">
        <f>SUM(I3,I6,I8:I10,I12:I14,)</f>
        <v>1734697</v>
      </c>
      <c r="J16" s="1435">
        <f>SUM(J3,J6,J8:J10,J12:J14,)</f>
        <v>76085</v>
      </c>
      <c r="K16" s="1435">
        <f>(H16+I16)-J16</f>
        <v>24647698</v>
      </c>
      <c r="L16" s="1435">
        <f>F16-K16</f>
        <v>59206656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159876</v>
      </c>
      <c r="G17" s="676">
        <v>10</v>
      </c>
      <c r="H17" s="621"/>
      <c r="I17" s="1442">
        <f>F17/G17</f>
        <v>15987.6</v>
      </c>
      <c r="J17" s="621"/>
      <c r="K17" s="638"/>
      <c r="L17" s="638"/>
    </row>
    <row r="18" spans="1:12" ht="14.25" thickTop="1" thickBot="1" x14ac:dyDescent="0.25">
      <c r="A18" s="1440" t="s">
        <v>680</v>
      </c>
      <c r="B18" s="1441"/>
      <c r="C18" s="623"/>
      <c r="D18" s="623"/>
      <c r="E18" s="623"/>
      <c r="F18" s="686"/>
      <c r="G18" s="687"/>
      <c r="H18" s="624"/>
      <c r="I18" s="1435">
        <f>SUM(I16,I17)</f>
        <v>1750684.6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 sqref="F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25904077</v>
      </c>
      <c r="G8" s="701"/>
    </row>
    <row r="9" spans="1:9" x14ac:dyDescent="0.2">
      <c r="A9" s="705" t="s">
        <v>457</v>
      </c>
      <c r="B9" s="706" t="s">
        <v>1845</v>
      </c>
      <c r="C9" s="707"/>
      <c r="D9" s="705" t="s">
        <v>498</v>
      </c>
      <c r="E9" s="704"/>
      <c r="F9" s="1775">
        <f>'Expenditures 15-22'!K151</f>
        <v>2495666</v>
      </c>
      <c r="G9" s="708"/>
    </row>
    <row r="10" spans="1:9" x14ac:dyDescent="0.2">
      <c r="A10" s="705" t="s">
        <v>496</v>
      </c>
      <c r="B10" s="706" t="s">
        <v>1846</v>
      </c>
      <c r="C10" s="707"/>
      <c r="D10" s="705" t="s">
        <v>498</v>
      </c>
      <c r="E10" s="704"/>
      <c r="F10" s="1775">
        <f>'Expenditures 15-22'!K174</f>
        <v>2059602</v>
      </c>
      <c r="G10" s="708"/>
    </row>
    <row r="11" spans="1:9" x14ac:dyDescent="0.2">
      <c r="A11" s="705" t="s">
        <v>458</v>
      </c>
      <c r="B11" s="706" t="s">
        <v>1847</v>
      </c>
      <c r="C11" s="707"/>
      <c r="D11" s="705" t="s">
        <v>498</v>
      </c>
      <c r="E11" s="704"/>
      <c r="F11" s="1775">
        <f>'Expenditures 15-22'!K210</f>
        <v>1633540</v>
      </c>
      <c r="G11" s="708"/>
    </row>
    <row r="12" spans="1:9" x14ac:dyDescent="0.2">
      <c r="A12" s="705" t="s">
        <v>459</v>
      </c>
      <c r="B12" s="706" t="s">
        <v>1848</v>
      </c>
      <c r="C12" s="707"/>
      <c r="D12" s="705" t="s">
        <v>498</v>
      </c>
      <c r="E12" s="704"/>
      <c r="F12" s="1775">
        <f>'Expenditures 15-22'!K295</f>
        <v>861052</v>
      </c>
      <c r="G12" s="708"/>
    </row>
    <row r="13" spans="1:9" x14ac:dyDescent="0.2">
      <c r="A13" s="705" t="s">
        <v>106</v>
      </c>
      <c r="B13" s="706" t="s">
        <v>1849</v>
      </c>
      <c r="C13" s="707"/>
      <c r="D13" s="705" t="s">
        <v>498</v>
      </c>
      <c r="E13" s="704"/>
      <c r="F13" s="1775">
        <f>'Expenditures 15-22'!K342</f>
        <v>2180</v>
      </c>
      <c r="G13" s="709"/>
    </row>
    <row r="14" spans="1:9" ht="12" customHeight="1" thickBot="1" x14ac:dyDescent="0.25">
      <c r="A14" s="1443"/>
      <c r="B14" s="1444"/>
      <c r="C14" s="1445"/>
      <c r="D14" s="1446" t="s">
        <v>498</v>
      </c>
      <c r="E14" s="1447" t="s">
        <v>952</v>
      </c>
      <c r="F14" s="1776">
        <f>SUM(F8:F13)</f>
        <v>32956117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33494</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6659</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212954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90832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19862</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896257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16120</v>
      </c>
      <c r="G51" s="701"/>
    </row>
    <row r="52" spans="1:7" x14ac:dyDescent="0.2">
      <c r="A52" s="705" t="s">
        <v>456</v>
      </c>
      <c r="B52" s="705" t="s">
        <v>1457</v>
      </c>
      <c r="C52" s="724" t="str">
        <f>'Expenditures 15-22'!B75</f>
        <v>3000</v>
      </c>
      <c r="D52" s="723" t="s">
        <v>446</v>
      </c>
      <c r="E52" s="704"/>
      <c r="F52" s="1782">
        <f>'Expenditures 15-22'!K75-SUM('Expenditures 15-22'!G75,'Expenditures 15-22'!I75)</f>
        <v>98076</v>
      </c>
      <c r="G52" s="701"/>
    </row>
    <row r="53" spans="1:7" x14ac:dyDescent="0.2">
      <c r="A53" s="705" t="s">
        <v>456</v>
      </c>
      <c r="B53" s="705" t="s">
        <v>1458</v>
      </c>
      <c r="C53" s="724">
        <f>'Expenditures 15-22'!B102</f>
        <v>4000</v>
      </c>
      <c r="D53" s="723" t="str">
        <f>'Expenditures 15-22'!A102</f>
        <v>Total Payments to Other Govt Units</v>
      </c>
      <c r="E53" s="704"/>
      <c r="F53" s="1782">
        <f>'Expenditures 15-22'!K102</f>
        <v>1292394</v>
      </c>
      <c r="G53" s="701"/>
    </row>
    <row r="54" spans="1:7" x14ac:dyDescent="0.2">
      <c r="A54" s="705" t="s">
        <v>456</v>
      </c>
      <c r="B54" s="705" t="s">
        <v>1459</v>
      </c>
      <c r="C54" s="724" t="s">
        <v>975</v>
      </c>
      <c r="D54" s="720" t="s">
        <v>1086</v>
      </c>
      <c r="E54" s="704"/>
      <c r="F54" s="1782">
        <f>'Expenditures 15-22'!G114</f>
        <v>54170</v>
      </c>
      <c r="G54" s="701"/>
    </row>
    <row r="55" spans="1:7" x14ac:dyDescent="0.2">
      <c r="A55" s="705" t="s">
        <v>456</v>
      </c>
      <c r="B55" s="705" t="s">
        <v>1460</v>
      </c>
      <c r="C55" s="724" t="s">
        <v>975</v>
      </c>
      <c r="D55" s="720" t="s">
        <v>288</v>
      </c>
      <c r="E55" s="704"/>
      <c r="F55" s="1782">
        <f>'Expenditures 15-22'!I114</f>
        <v>39507</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95593</v>
      </c>
      <c r="G58" s="701"/>
    </row>
    <row r="59" spans="1:7" x14ac:dyDescent="0.2">
      <c r="A59" s="728" t="s">
        <v>457</v>
      </c>
      <c r="B59" s="692" t="s">
        <v>1852</v>
      </c>
      <c r="C59" s="729" t="s">
        <v>975</v>
      </c>
      <c r="D59" s="692" t="s">
        <v>288</v>
      </c>
      <c r="F59" s="1785">
        <f>'Expenditures 15-22'!I151</f>
        <v>120369</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1472958</v>
      </c>
      <c r="G61" s="701"/>
    </row>
    <row r="62" spans="1:7" x14ac:dyDescent="0.2">
      <c r="A62" s="705" t="s">
        <v>458</v>
      </c>
      <c r="B62" s="705" t="s">
        <v>1855</v>
      </c>
      <c r="C62" s="721">
        <f>'Expenditures 15-22'!B185</f>
        <v>3000</v>
      </c>
      <c r="D62" s="712" t="s">
        <v>446</v>
      </c>
      <c r="E62" s="704"/>
      <c r="F62" s="1782">
        <f>'Expenditures 15-22'!K185-SUM('Expenditures 15-22'!G185,'Expenditures 15-22'!I185)</f>
        <v>129655</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8231</v>
      </c>
      <c r="G67" s="701"/>
    </row>
    <row r="68" spans="1:9" x14ac:dyDescent="0.2">
      <c r="A68" s="705" t="s">
        <v>459</v>
      </c>
      <c r="B68" s="705" t="s">
        <v>1462</v>
      </c>
      <c r="C68" s="721" t="str">
        <f>'Expenditures 15-22'!B218</f>
        <v>1225</v>
      </c>
      <c r="D68" s="727" t="str">
        <f>'Expenditures 15-22'!A218</f>
        <v>Special Education Programs - Pre-K</v>
      </c>
      <c r="E68" s="704"/>
      <c r="F68" s="1782">
        <f>'Expenditures 15-22'!K218</f>
        <v>3521</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168</v>
      </c>
      <c r="G71" s="701"/>
    </row>
    <row r="72" spans="1:9" x14ac:dyDescent="0.2">
      <c r="A72" s="705" t="s">
        <v>459</v>
      </c>
      <c r="B72" s="705" t="s">
        <v>1864</v>
      </c>
      <c r="C72" s="721">
        <f>'Expenditures 15-22'!B280</f>
        <v>3000</v>
      </c>
      <c r="D72" s="712" t="s">
        <v>446</v>
      </c>
      <c r="E72" s="704"/>
      <c r="F72" s="1782">
        <f>'Expenditures 15-22'!K280</f>
        <v>5</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4590825</v>
      </c>
      <c r="G77" s="701"/>
    </row>
    <row r="78" spans="1:9" s="728" customFormat="1" ht="12" customHeight="1" thickTop="1" thickBot="1" x14ac:dyDescent="0.25">
      <c r="A78" s="1450"/>
      <c r="B78" s="1448"/>
      <c r="C78" s="1445"/>
      <c r="D78" s="1449" t="s">
        <v>2009</v>
      </c>
      <c r="E78" s="1447"/>
      <c r="F78" s="1788">
        <f>(F14-F77)</f>
        <v>28365292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1422.2</v>
      </c>
      <c r="G79" s="733"/>
      <c r="H79" s="705"/>
      <c r="I79" s="705"/>
    </row>
    <row r="80" spans="1:9" s="728" customFormat="1" ht="12" customHeight="1" thickBot="1" x14ac:dyDescent="0.25">
      <c r="A80" s="1452"/>
      <c r="B80" s="1448"/>
      <c r="C80" s="1445"/>
      <c r="D80" s="1449" t="s">
        <v>2010</v>
      </c>
      <c r="E80" s="1447" t="s">
        <v>952</v>
      </c>
      <c r="F80" s="1790">
        <f>IF(F79&gt;0,F78/F79," Complete Line 79")</f>
        <v>19944.657572774573</v>
      </c>
      <c r="G80" s="705"/>
    </row>
    <row r="81" spans="1:7" s="728" customFormat="1" ht="8.25" customHeight="1" thickTop="1" x14ac:dyDescent="0.2">
      <c r="A81" s="734"/>
      <c r="B81" s="705"/>
      <c r="C81" s="707"/>
      <c r="D81" s="735"/>
      <c r="E81" s="704"/>
      <c r="F81" s="1791"/>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204517</v>
      </c>
      <c r="G95" s="745"/>
    </row>
    <row r="96" spans="1:7" x14ac:dyDescent="0.2">
      <c r="A96" s="741" t="s">
        <v>139</v>
      </c>
      <c r="B96" s="741" t="s">
        <v>174</v>
      </c>
      <c r="C96" s="743">
        <v>1700</v>
      </c>
      <c r="D96" s="751" t="str">
        <f>'Revenues 9-14'!A82</f>
        <v>Total District/School Activity Income</v>
      </c>
      <c r="E96" s="739"/>
      <c r="F96" s="1793">
        <f>SUM('Revenues 9-14'!C82,'Revenues 9-14'!D82)</f>
        <v>78609</v>
      </c>
      <c r="G96" s="745"/>
    </row>
    <row r="97" spans="1:7" x14ac:dyDescent="0.2">
      <c r="A97" s="741" t="s">
        <v>456</v>
      </c>
      <c r="B97" s="741" t="s">
        <v>175</v>
      </c>
      <c r="C97" s="743">
        <f>'Revenues 9-14'!B84</f>
        <v>1811</v>
      </c>
      <c r="D97" s="744" t="str">
        <f>'Revenues 9-14'!A84</f>
        <v>Rentals - Regular Textbooks</v>
      </c>
      <c r="E97" s="739"/>
      <c r="F97" s="1793">
        <f>'Revenues 9-14'!C84</f>
        <v>182978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50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113470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12515</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437542</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6298</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1435</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20274</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774705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1047</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142273</v>
      </c>
      <c r="G126" s="763"/>
    </row>
    <row r="127" spans="1:7" x14ac:dyDescent="0.2">
      <c r="A127" s="760" t="s">
        <v>663</v>
      </c>
      <c r="B127" s="760" t="s">
        <v>1928</v>
      </c>
      <c r="C127" s="765">
        <v>4300</v>
      </c>
      <c r="D127" s="766" t="str">
        <f>'Revenues 9-14'!A204</f>
        <v>Total Title I</v>
      </c>
      <c r="E127" s="739"/>
      <c r="F127" s="1793">
        <f>SUM('Revenues 9-14'!C204,'Revenues 9-14'!D204,'Revenues 9-14'!F204,'Revenues 9-14'!G204)</f>
        <v>143743</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3939</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529434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3529</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5780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4701</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34298</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31314</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88175</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3214</v>
      </c>
      <c r="G171" s="760"/>
    </row>
    <row r="172" spans="1:7" x14ac:dyDescent="0.2">
      <c r="A172" s="1529" t="s">
        <v>5</v>
      </c>
      <c r="B172" s="1530" t="s">
        <v>1882</v>
      </c>
      <c r="C172" s="1531">
        <v>3100</v>
      </c>
      <c r="D172" s="1532" t="s">
        <v>1884</v>
      </c>
      <c r="E172" s="739"/>
      <c r="F172" s="1794">
        <v>568234.72</v>
      </c>
      <c r="G172" s="760"/>
    </row>
    <row r="173" spans="1:7" x14ac:dyDescent="0.2">
      <c r="A173" s="1529" t="s">
        <v>659</v>
      </c>
      <c r="B173" s="1530" t="s">
        <v>1882</v>
      </c>
      <c r="C173" s="1531">
        <v>3300</v>
      </c>
      <c r="D173" s="1532" t="s">
        <v>1885</v>
      </c>
      <c r="E173" s="739"/>
      <c r="F173" s="1794">
        <v>13357.58</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3455432.3</v>
      </c>
    </row>
    <row r="176" spans="1:7" ht="12" customHeight="1" x14ac:dyDescent="0.2">
      <c r="A176" s="1443"/>
      <c r="B176" s="1453"/>
      <c r="C176" s="1454"/>
      <c r="D176" s="1455" t="s">
        <v>2011</v>
      </c>
      <c r="E176" s="1456"/>
      <c r="F176" s="1793">
        <f>'PCTC-OEPP 27-28'!F78-F175</f>
        <v>24909859.699999999</v>
      </c>
    </row>
    <row r="177" spans="1:9" ht="12" customHeight="1" x14ac:dyDescent="0.2">
      <c r="A177" s="1443"/>
      <c r="B177" s="1453"/>
      <c r="C177" s="1454"/>
      <c r="D177" s="1455" t="s">
        <v>1791</v>
      </c>
      <c r="E177" s="1456"/>
      <c r="F177" s="1793">
        <f>'Cap Outlay Deprec 26'!I18</f>
        <v>1750684.6</v>
      </c>
    </row>
    <row r="178" spans="1:9" ht="12" customHeight="1" x14ac:dyDescent="0.2">
      <c r="A178" s="1443"/>
      <c r="B178" s="1453"/>
      <c r="C178" s="1454"/>
      <c r="D178" s="1455" t="s">
        <v>2012</v>
      </c>
      <c r="E178" s="1456"/>
      <c r="F178" s="1793">
        <f>F176+F177</f>
        <v>26660544.300000001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1422.2</v>
      </c>
      <c r="G179" s="763"/>
      <c r="I179" s="701"/>
    </row>
    <row r="180" spans="1:9" ht="12" customHeight="1" thickBot="1" x14ac:dyDescent="0.25">
      <c r="A180" s="1443"/>
      <c r="B180" s="1457"/>
      <c r="C180" s="1454"/>
      <c r="D180" s="1455" t="s">
        <v>2014</v>
      </c>
      <c r="E180" s="1456" t="s">
        <v>1528</v>
      </c>
      <c r="F180" s="1798">
        <f>F178/F179</f>
        <v>18745.988117001827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A41" sqref="A41"/>
    </sheetView>
  </sheetViews>
  <sheetFormatPr defaultColWidth="9.140625" defaultRowHeight="15" x14ac:dyDescent="0.25"/>
  <cols>
    <col min="1" max="1" width="52" style="1895" customWidth="1"/>
    <col min="2" max="2" width="16.42578125" style="1896" bestFit="1" customWidth="1"/>
    <col min="3" max="3" width="41.42578125" style="1897" bestFit="1"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8" t="s">
        <v>1792</v>
      </c>
      <c r="B4" s="2389"/>
      <c r="C4" s="2389"/>
      <c r="D4" s="2389"/>
      <c r="E4" s="2389"/>
      <c r="F4" s="2390"/>
    </row>
    <row r="5" spans="1:6" x14ac:dyDescent="0.25">
      <c r="A5" s="2391"/>
      <c r="B5" s="2392"/>
      <c r="C5" s="2392"/>
      <c r="D5" s="2392"/>
      <c r="E5" s="2392"/>
      <c r="F5" s="2393"/>
    </row>
    <row r="6" spans="1:6" ht="18.75" x14ac:dyDescent="0.25">
      <c r="A6" s="1867" t="s">
        <v>1793</v>
      </c>
      <c r="B6" s="1868"/>
      <c r="C6" s="1869"/>
      <c r="D6" s="1869"/>
      <c r="E6" s="1869"/>
      <c r="F6" s="1870"/>
    </row>
    <row r="7" spans="1:6" ht="47.25" customHeight="1" x14ac:dyDescent="0.25">
      <c r="A7" s="2394" t="s">
        <v>1982</v>
      </c>
      <c r="B7" s="2395"/>
      <c r="C7" s="2395"/>
      <c r="D7" s="2395"/>
      <c r="E7" s="2395"/>
      <c r="F7" s="239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7" t="s">
        <v>1978</v>
      </c>
      <c r="B10" s="2398"/>
      <c r="C10" s="2398"/>
      <c r="D10" s="2398"/>
      <c r="E10" s="2398"/>
      <c r="F10" s="2399"/>
    </row>
    <row r="11" spans="1:6" ht="33" customHeight="1" x14ac:dyDescent="0.25">
      <c r="A11" s="2394" t="s">
        <v>1983</v>
      </c>
      <c r="B11" s="2395"/>
      <c r="C11" s="2395"/>
      <c r="D11" s="2395"/>
      <c r="E11" s="2395"/>
      <c r="F11" s="2396"/>
    </row>
    <row r="12" spans="1:6" ht="15" customHeight="1" x14ac:dyDescent="0.25">
      <c r="A12" s="1873" t="s">
        <v>1979</v>
      </c>
      <c r="B12" s="1874"/>
      <c r="C12" s="1875"/>
      <c r="D12" s="1875"/>
      <c r="E12" s="1875"/>
      <c r="F12" s="1876"/>
    </row>
    <row r="13" spans="1:6" ht="17.25" customHeight="1" x14ac:dyDescent="0.25">
      <c r="A13" s="2394" t="s">
        <v>1980</v>
      </c>
      <c r="B13" s="2395"/>
      <c r="C13" s="2395"/>
      <c r="D13" s="2395"/>
      <c r="E13" s="2395"/>
      <c r="F13" s="2396"/>
    </row>
    <row r="14" spans="1:6" ht="15" customHeight="1" x14ac:dyDescent="0.25">
      <c r="A14" s="1873" t="s">
        <v>1797</v>
      </c>
      <c r="B14" s="1874"/>
      <c r="C14" s="1875"/>
      <c r="D14" s="1875"/>
      <c r="E14" s="1875"/>
      <c r="F14" s="1876"/>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1914" t="s">
        <v>2082</v>
      </c>
      <c r="B18" s="1908">
        <v>102660300</v>
      </c>
      <c r="C18" s="1915" t="s">
        <v>2083</v>
      </c>
      <c r="D18" s="1886">
        <v>29765</v>
      </c>
      <c r="E18" s="1906" t="str">
        <f t="shared" ref="E18:E81" si="0">IF(D18&lt;25000,D18,"25,000")</f>
        <v>25,000</v>
      </c>
      <c r="F18" s="1906">
        <f t="shared" ref="F18:F81" si="1">IF(D18&gt;=25000,(D18-E18),"0")</f>
        <v>4765</v>
      </c>
      <c r="G18" s="1887"/>
    </row>
    <row r="19" spans="1:7" x14ac:dyDescent="0.25">
      <c r="A19" s="1888" t="s">
        <v>2084</v>
      </c>
      <c r="B19" s="1908">
        <v>102560300</v>
      </c>
      <c r="C19" s="1885" t="s">
        <v>2085</v>
      </c>
      <c r="D19" s="1886">
        <v>288063</v>
      </c>
      <c r="E19" s="1906" t="str">
        <f t="shared" si="0"/>
        <v>25,000</v>
      </c>
      <c r="F19" s="1906">
        <f t="shared" si="1"/>
        <v>263063</v>
      </c>
    </row>
    <row r="20" spans="1:7" x14ac:dyDescent="0.25">
      <c r="A20" s="1888" t="s">
        <v>2086</v>
      </c>
      <c r="B20" s="1908">
        <v>101000300</v>
      </c>
      <c r="C20" s="1885" t="s">
        <v>2087</v>
      </c>
      <c r="D20" s="1886">
        <v>25013</v>
      </c>
      <c r="E20" s="1906" t="str">
        <f t="shared" si="0"/>
        <v>25,000</v>
      </c>
      <c r="F20" s="1906">
        <f t="shared" si="1"/>
        <v>13</v>
      </c>
    </row>
    <row r="21" spans="1:7" x14ac:dyDescent="0.25">
      <c r="A21" s="1888" t="s">
        <v>2088</v>
      </c>
      <c r="B21" s="1908">
        <v>402550300</v>
      </c>
      <c r="C21" s="1885" t="s">
        <v>2089</v>
      </c>
      <c r="D21" s="1886">
        <v>97375</v>
      </c>
      <c r="E21" s="1906" t="str">
        <f t="shared" si="0"/>
        <v>25,000</v>
      </c>
      <c r="F21" s="1906">
        <f t="shared" si="1"/>
        <v>72375</v>
      </c>
    </row>
    <row r="22" spans="1:7" x14ac:dyDescent="0.25">
      <c r="A22" s="1888" t="s">
        <v>2090</v>
      </c>
      <c r="B22" s="1908">
        <v>101000300</v>
      </c>
      <c r="C22" s="1885" t="s">
        <v>2091</v>
      </c>
      <c r="D22" s="1886">
        <v>33736</v>
      </c>
      <c r="E22" s="1906" t="str">
        <f t="shared" si="0"/>
        <v>25,000</v>
      </c>
      <c r="F22" s="1906">
        <f t="shared" si="1"/>
        <v>8736</v>
      </c>
    </row>
    <row r="23" spans="1:7" x14ac:dyDescent="0.25">
      <c r="A23" s="1888" t="s">
        <v>2092</v>
      </c>
      <c r="B23" s="1908">
        <v>202540300</v>
      </c>
      <c r="C23" s="1885" t="s">
        <v>2093</v>
      </c>
      <c r="D23" s="1886">
        <v>41151</v>
      </c>
      <c r="E23" s="1906" t="str">
        <f t="shared" si="0"/>
        <v>25,000</v>
      </c>
      <c r="F23" s="1906">
        <f t="shared" si="1"/>
        <v>16151</v>
      </c>
    </row>
    <row r="24" spans="1:7" x14ac:dyDescent="0.25">
      <c r="A24" s="1888" t="s">
        <v>2090</v>
      </c>
      <c r="B24" s="1908">
        <v>101000600</v>
      </c>
      <c r="C24" s="1885" t="s">
        <v>2094</v>
      </c>
      <c r="D24" s="1886">
        <v>118132</v>
      </c>
      <c r="E24" s="1906" t="str">
        <f t="shared" si="0"/>
        <v>25,000</v>
      </c>
      <c r="F24" s="1906">
        <f t="shared" si="1"/>
        <v>93132</v>
      </c>
    </row>
    <row r="25" spans="1:7" x14ac:dyDescent="0.25">
      <c r="A25" s="1888" t="s">
        <v>2090</v>
      </c>
      <c r="B25" s="1908">
        <v>101000600</v>
      </c>
      <c r="C25" s="1885" t="s">
        <v>2095</v>
      </c>
      <c r="D25" s="1886">
        <v>121582</v>
      </c>
      <c r="E25" s="1906" t="str">
        <f t="shared" si="0"/>
        <v>25,000</v>
      </c>
      <c r="F25" s="1906">
        <f t="shared" si="1"/>
        <v>96582</v>
      </c>
    </row>
    <row r="26" spans="1:7" x14ac:dyDescent="0.25">
      <c r="A26" s="1888" t="s">
        <v>2092</v>
      </c>
      <c r="B26" s="1908">
        <v>202540300</v>
      </c>
      <c r="C26" s="1885" t="s">
        <v>2096</v>
      </c>
      <c r="D26" s="1886">
        <v>25720</v>
      </c>
      <c r="E26" s="1906" t="str">
        <f t="shared" si="0"/>
        <v>25,000</v>
      </c>
      <c r="F26" s="1906">
        <f t="shared" si="1"/>
        <v>720</v>
      </c>
    </row>
    <row r="27" spans="1:7" x14ac:dyDescent="0.25">
      <c r="A27" s="1888" t="s">
        <v>2090</v>
      </c>
      <c r="B27" s="1908">
        <v>101000600</v>
      </c>
      <c r="C27" s="1889" t="s">
        <v>2097</v>
      </c>
      <c r="D27" s="1886">
        <v>46944</v>
      </c>
      <c r="E27" s="1906" t="str">
        <f t="shared" si="0"/>
        <v>25,000</v>
      </c>
      <c r="F27" s="1906">
        <f t="shared" si="1"/>
        <v>21944</v>
      </c>
    </row>
    <row r="28" spans="1:7" x14ac:dyDescent="0.25">
      <c r="A28" s="1888" t="s">
        <v>2090</v>
      </c>
      <c r="B28" s="1908">
        <v>101000600</v>
      </c>
      <c r="C28" s="1889" t="s">
        <v>2098</v>
      </c>
      <c r="D28" s="1886">
        <v>43516</v>
      </c>
      <c r="E28" s="1906" t="str">
        <f t="shared" si="0"/>
        <v>25,000</v>
      </c>
      <c r="F28" s="1906">
        <f t="shared" si="1"/>
        <v>18516</v>
      </c>
    </row>
    <row r="29" spans="1:7" x14ac:dyDescent="0.25">
      <c r="A29" s="1888" t="s">
        <v>2090</v>
      </c>
      <c r="B29" s="1908">
        <v>101000600</v>
      </c>
      <c r="C29" s="1889" t="s">
        <v>2099</v>
      </c>
      <c r="D29" s="1886">
        <v>60054</v>
      </c>
      <c r="E29" s="1906" t="str">
        <f t="shared" si="0"/>
        <v>25,000</v>
      </c>
      <c r="F29" s="1906">
        <f t="shared" si="1"/>
        <v>35054</v>
      </c>
    </row>
    <row r="30" spans="1:7" x14ac:dyDescent="0.25">
      <c r="A30" s="1888" t="s">
        <v>2090</v>
      </c>
      <c r="B30" s="1908">
        <v>101000600</v>
      </c>
      <c r="C30" s="1889" t="s">
        <v>2100</v>
      </c>
      <c r="D30" s="1886">
        <v>88204</v>
      </c>
      <c r="E30" s="1906" t="str">
        <f t="shared" si="0"/>
        <v>25,000</v>
      </c>
      <c r="F30" s="1906">
        <f t="shared" si="1"/>
        <v>63204</v>
      </c>
    </row>
    <row r="31" spans="1:7" x14ac:dyDescent="0.25">
      <c r="A31" s="1888" t="s">
        <v>2090</v>
      </c>
      <c r="B31" s="1908">
        <v>101000600</v>
      </c>
      <c r="C31" s="1889" t="s">
        <v>2101</v>
      </c>
      <c r="D31" s="1886">
        <v>89553</v>
      </c>
      <c r="E31" s="1906" t="str">
        <f t="shared" si="0"/>
        <v>25,000</v>
      </c>
      <c r="F31" s="1906">
        <f t="shared" si="1"/>
        <v>64553</v>
      </c>
    </row>
    <row r="32" spans="1:7" x14ac:dyDescent="0.25">
      <c r="A32" s="1888" t="s">
        <v>2102</v>
      </c>
      <c r="B32" s="1908">
        <v>102300300</v>
      </c>
      <c r="C32" s="1889" t="s">
        <v>2103</v>
      </c>
      <c r="D32" s="1886">
        <v>75075</v>
      </c>
      <c r="E32" s="1906" t="str">
        <f t="shared" si="0"/>
        <v>25,000</v>
      </c>
      <c r="F32" s="1906">
        <f t="shared" si="1"/>
        <v>50075</v>
      </c>
    </row>
    <row r="33" spans="1:6" x14ac:dyDescent="0.25">
      <c r="A33" s="1888" t="s">
        <v>2082</v>
      </c>
      <c r="B33" s="1908">
        <v>102660300</v>
      </c>
      <c r="C33" s="1889" t="s">
        <v>2104</v>
      </c>
      <c r="D33" s="1886">
        <v>29063</v>
      </c>
      <c r="E33" s="1906" t="str">
        <f t="shared" si="0"/>
        <v>25,000</v>
      </c>
      <c r="F33" s="1906">
        <f t="shared" si="1"/>
        <v>4063</v>
      </c>
    </row>
    <row r="34" spans="1:6" x14ac:dyDescent="0.25">
      <c r="A34" s="1888" t="s">
        <v>2090</v>
      </c>
      <c r="B34" s="1908">
        <v>101000600</v>
      </c>
      <c r="C34" s="1889" t="s">
        <v>2105</v>
      </c>
      <c r="D34" s="1886">
        <v>257988</v>
      </c>
      <c r="E34" s="1906" t="str">
        <f t="shared" si="0"/>
        <v>25,000</v>
      </c>
      <c r="F34" s="1906">
        <f t="shared" si="1"/>
        <v>232988</v>
      </c>
    </row>
    <row r="35" spans="1:6" x14ac:dyDescent="0.25">
      <c r="A35" s="1888" t="s">
        <v>2106</v>
      </c>
      <c r="B35" s="1908">
        <v>102100300</v>
      </c>
      <c r="C35" s="1889" t="s">
        <v>2107</v>
      </c>
      <c r="D35" s="1886">
        <v>52834</v>
      </c>
      <c r="E35" s="1906" t="str">
        <f t="shared" si="0"/>
        <v>25,000</v>
      </c>
      <c r="F35" s="1906">
        <f t="shared" si="1"/>
        <v>27834</v>
      </c>
    </row>
    <row r="36" spans="1:6" x14ac:dyDescent="0.25">
      <c r="A36" s="1888" t="s">
        <v>2102</v>
      </c>
      <c r="B36" s="1908">
        <v>102300300</v>
      </c>
      <c r="C36" s="1889" t="s">
        <v>2108</v>
      </c>
      <c r="D36" s="1886">
        <v>121870</v>
      </c>
      <c r="E36" s="1906" t="str">
        <f t="shared" si="0"/>
        <v>25,000</v>
      </c>
      <c r="F36" s="1906">
        <f t="shared" si="1"/>
        <v>96870</v>
      </c>
    </row>
    <row r="37" spans="1:6" x14ac:dyDescent="0.25">
      <c r="A37" s="1888" t="s">
        <v>2088</v>
      </c>
      <c r="B37" s="1908">
        <v>402550300</v>
      </c>
      <c r="C37" s="1889" t="s">
        <v>2109</v>
      </c>
      <c r="D37" s="1886">
        <v>581217</v>
      </c>
      <c r="E37" s="1906" t="str">
        <f t="shared" si="0"/>
        <v>25,000</v>
      </c>
      <c r="F37" s="1906">
        <f t="shared" si="1"/>
        <v>556217</v>
      </c>
    </row>
    <row r="38" spans="1:6" x14ac:dyDescent="0.25">
      <c r="A38" s="1888" t="s">
        <v>2082</v>
      </c>
      <c r="B38" s="1908">
        <v>102660300</v>
      </c>
      <c r="C38" s="1889" t="s">
        <v>2110</v>
      </c>
      <c r="D38" s="1886">
        <v>158875</v>
      </c>
      <c r="E38" s="1906" t="str">
        <f t="shared" si="0"/>
        <v>25,000</v>
      </c>
      <c r="F38" s="1906">
        <f t="shared" si="1"/>
        <v>133875</v>
      </c>
    </row>
    <row r="39" spans="1:6" x14ac:dyDescent="0.25">
      <c r="A39" s="1888" t="s">
        <v>2092</v>
      </c>
      <c r="B39" s="1909">
        <v>202540300</v>
      </c>
      <c r="C39" s="1889" t="s">
        <v>2110</v>
      </c>
      <c r="D39" s="1886">
        <v>113214</v>
      </c>
      <c r="E39" s="1906" t="str">
        <f t="shared" si="0"/>
        <v>25,000</v>
      </c>
      <c r="F39" s="1906">
        <f t="shared" si="1"/>
        <v>88214</v>
      </c>
    </row>
    <row r="40" spans="1:6" x14ac:dyDescent="0.25">
      <c r="A40" s="1888" t="s">
        <v>2088</v>
      </c>
      <c r="B40" s="1909">
        <v>402550300</v>
      </c>
      <c r="C40" s="1889" t="s">
        <v>2111</v>
      </c>
      <c r="D40" s="1886">
        <v>901986</v>
      </c>
      <c r="E40" s="1906" t="str">
        <f t="shared" si="0"/>
        <v>25,000</v>
      </c>
      <c r="F40" s="1906">
        <f t="shared" si="1"/>
        <v>876986</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3400930</v>
      </c>
      <c r="E142" s="1893">
        <f>SUM(E18:E141)</f>
        <v>0</v>
      </c>
      <c r="F142" s="1894">
        <f>SUM(F18:F141)</f>
        <v>2825930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f>'Revenues 9-14'!C198</f>
        <v>142273</v>
      </c>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801">
        <v>23608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17097592</v>
      </c>
      <c r="F19" s="1802"/>
      <c r="G19" s="1804">
        <f>'Expenditures 15-22'!K33-SUM('Expenditures 15-22'!G33,'Expenditures 15-22'!I33)+'Expenditures 15-22'!D229</f>
        <v>17097592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2108466</v>
      </c>
      <c r="F21" s="1805"/>
      <c r="G21" s="1808">
        <f>'Expenditures 15-22'!K42-SUM('Expenditures 15-22'!G42,'Expenditures 15-22'!I42)+'Expenditures 15-22'!K120-SUM('Expenditures 15-22'!G120,'Expenditures 15-22'!I120)+'Expenditures 15-22'!K180-SUM('Expenditures 15-22'!G180,'Expenditures 15-22'!I180)+'Expenditures 15-22'!D238</f>
        <v>2108466</v>
      </c>
      <c r="H21" s="817"/>
      <c r="I21" s="157"/>
    </row>
    <row r="22" spans="1:9" s="542" customFormat="1" ht="12" customHeight="1" x14ac:dyDescent="0.2">
      <c r="A22" s="824" t="s">
        <v>560</v>
      </c>
      <c r="B22" s="825"/>
      <c r="C22" s="823">
        <v>2200</v>
      </c>
      <c r="D22" s="1805"/>
      <c r="E22" s="1807">
        <f>'Expenditures 15-22'!K47-SUM('Expenditures 15-22'!G47,'Expenditures 15-22'!I47)+'Expenditures 15-22'!D243</f>
        <v>872186</v>
      </c>
      <c r="F22" s="1805"/>
      <c r="G22" s="1808">
        <f>'Expenditures 15-22'!K47-SUM('Expenditures 15-22'!G47,'Expenditures 15-22'!I47)+'Expenditures 15-22'!D243</f>
        <v>872186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959905</v>
      </c>
      <c r="F23" s="1805"/>
      <c r="G23" s="1807">
        <f>'Expenditures 15-22'!K53-SUM('Expenditures 15-22'!G53,'Expenditures 15-22'!I53)+'Expenditures 15-22'!D257+'Expenditures 15-22'!K330-SUM('Expenditures 15-22'!G330,'Expenditures 15-22'!I330)</f>
        <v>959905</v>
      </c>
      <c r="H23" s="817"/>
      <c r="I23" s="157"/>
    </row>
    <row r="24" spans="1:9" s="542" customFormat="1" ht="12" customHeight="1" x14ac:dyDescent="0.2">
      <c r="A24" s="824" t="s">
        <v>562</v>
      </c>
      <c r="B24" s="825"/>
      <c r="C24" s="823">
        <v>2400</v>
      </c>
      <c r="D24" s="1805"/>
      <c r="E24" s="1807">
        <f>'Expenditures 15-22'!K57-SUM('Expenditures 15-22'!G57,'Expenditures 15-22'!I57)+'Expenditures 15-22'!D261</f>
        <v>2211262</v>
      </c>
      <c r="F24" s="1805"/>
      <c r="G24" s="1808">
        <f>'Expenditures 15-22'!K57-SUM('Expenditures 15-22'!G57,'Expenditures 15-22'!I57)+'Expenditures 15-22'!D261</f>
        <v>2211262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163414</v>
      </c>
      <c r="E26" s="1807">
        <f>'Expenditures 15-22'!K122-SUM('Expenditures 15-22'!G122,'Expenditures 15-22'!I122)+E7</f>
        <v>0</v>
      </c>
      <c r="F26" s="1807">
        <f>'Expenditures 15-22'!K59-SUM('Expenditures 15-22'!G59,'Expenditures 15-22'!I59)+'Expenditures 15-22'!D263-E7</f>
        <v>163414</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301492</v>
      </c>
      <c r="E27" s="1807">
        <f>E8</f>
        <v>0</v>
      </c>
      <c r="F27" s="1807">
        <f>'Expenditures 15-22'!K60-SUM('Expenditures 15-22'!G60,'Expenditures 15-22'!I60)+'Expenditures 15-22'!D264-E8</f>
        <v>301492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2488185</v>
      </c>
      <c r="F28" s="1809">
        <f>'Expenditures 15-22'!K61-SUM('Expenditures 15-22'!G61,'Expenditures 15-22'!I61)+'Expenditures 15-22'!K124-SUM('Expenditures 15-22'!G124,'Expenditures 15-22'!I124)+'Expenditures 15-22'!D266-E9</f>
        <v>2488185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1511674</v>
      </c>
      <c r="F29" s="1805"/>
      <c r="G29" s="1808">
        <f>'Expenditures 15-22'!K62-SUM('Expenditures 15-22'!G62,'Expenditures 15-22'!I62)+'Expenditures 15-22'!K125-SUM('Expenditures 15-22'!G125,'Expenditures 15-22'!I125)+'Expenditures 15-22'!K182-SUM('Expenditures 15-22'!G182,'Expenditures 15-22'!I182)+'Expenditures 15-22'!D267</f>
        <v>1511674</v>
      </c>
      <c r="H29" s="815"/>
    </row>
    <row r="30" spans="1:9" ht="12" customHeight="1" x14ac:dyDescent="0.2">
      <c r="A30" s="824" t="s">
        <v>100</v>
      </c>
      <c r="B30" s="827"/>
      <c r="C30" s="823">
        <v>2560</v>
      </c>
      <c r="D30" s="1805"/>
      <c r="E30" s="1807">
        <f>'Expenditures 15-22'!K63-SUM('Expenditures 15-22'!G63,'Expenditures 15-22'!I63)+'Expenditures 15-22'!D268-E10</f>
        <v>148176</v>
      </c>
      <c r="F30" s="1805"/>
      <c r="G30" s="1807">
        <f>'Expenditures 15-22'!K63-SUM('Expenditures 15-22'!G63,'Expenditures 15-22'!I63)+'Expenditures 15-22'!D268-E10</f>
        <v>148176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137261</v>
      </c>
      <c r="F35" s="1805"/>
      <c r="G35" s="1807">
        <f>'Expenditures 15-22'!K69-SUM('Expenditures 15-22'!G69,'Expenditures 15-22'!I69)+'Expenditures 15-22'!D274</f>
        <v>137261</v>
      </c>
    </row>
    <row r="36" spans="1:7" ht="12" customHeight="1" x14ac:dyDescent="0.2">
      <c r="A36" s="824" t="s">
        <v>400</v>
      </c>
      <c r="B36" s="827"/>
      <c r="C36" s="823">
        <v>2640</v>
      </c>
      <c r="D36" s="1807">
        <f>'Expenditures 15-22'!K70-SUM('Expenditures 15-22'!G70,'Expenditures 15-22'!I70)+'Expenditures 15-22'!D275-E13</f>
        <v>220132</v>
      </c>
      <c r="E36" s="1807">
        <f>E13</f>
        <v>0</v>
      </c>
      <c r="F36" s="1807">
        <f>'Expenditures 15-22'!K70-SUM('Expenditures 15-22'!G70,'Expenditures 15-22'!I70)+'Expenditures 15-22'!D275-E13</f>
        <v>220132</v>
      </c>
      <c r="G36" s="1807">
        <f>E13</f>
        <v>0</v>
      </c>
    </row>
    <row r="37" spans="1:7" ht="12" customHeight="1" x14ac:dyDescent="0.2">
      <c r="A37" s="824" t="s">
        <v>401</v>
      </c>
      <c r="B37" s="827"/>
      <c r="C37" s="823">
        <v>2660</v>
      </c>
      <c r="D37" s="1807">
        <f>'Expenditures 15-22'!K71-SUM('Expenditures 15-22'!G71,'Expenditures 15-22'!I71)+'Expenditures 15-22'!D276-E14</f>
        <v>704728</v>
      </c>
      <c r="E37" s="1807">
        <f>E14</f>
        <v>0</v>
      </c>
      <c r="F37" s="1807">
        <f>'Expenditures 15-22'!K71-SUM('Expenditures 15-22'!G71,'Expenditures 15-22'!I71)+'Expenditures 15-22'!D276-E14</f>
        <v>704728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227736</v>
      </c>
      <c r="F39" s="1805"/>
      <c r="G39" s="1807">
        <f>'Expenditures 15-22'!K75-SUM('Expenditures 15-22'!G75,'Expenditures 15-22'!I75)+'Expenditures 15-22'!K130-SUM('Expenditures 15-22'!G130,'Expenditures 15-22'!I130)+'Expenditures 15-22'!K185-SUM('Expenditures 15-22'!G185,'Expenditures 15-22'!I185)+'Expenditures 15-22'!D280</f>
        <v>227736</v>
      </c>
    </row>
    <row r="40" spans="1:7" ht="12" customHeight="1" x14ac:dyDescent="0.2">
      <c r="A40" s="820" t="s">
        <v>1795</v>
      </c>
      <c r="B40" s="821"/>
      <c r="C40" s="823"/>
      <c r="D40" s="1805"/>
      <c r="E40" s="1809">
        <f>-'Contracts Paid in CY 29'!F142</f>
        <v>-2825930</v>
      </c>
      <c r="F40" s="1805"/>
      <c r="G40" s="1809">
        <f>-'Contracts Paid in CY 29'!F142</f>
        <v>-2825930</v>
      </c>
    </row>
    <row r="41" spans="1:7" ht="12" customHeight="1" x14ac:dyDescent="0.2">
      <c r="A41" s="828" t="s">
        <v>155</v>
      </c>
      <c r="B41" s="829"/>
      <c r="C41" s="830"/>
      <c r="D41" s="1809">
        <f>SUM(D19:D39)</f>
        <v>1389766</v>
      </c>
      <c r="E41" s="1809">
        <f>SUM(E19:E40)</f>
        <v>24936513</v>
      </c>
      <c r="F41" s="1809">
        <f>SUM(F19:F39)</f>
        <v>3877951</v>
      </c>
      <c r="G41" s="1809">
        <f>SUM(G19:G40)</f>
        <v>22448328</v>
      </c>
    </row>
    <row r="42" spans="1:7" x14ac:dyDescent="0.2">
      <c r="A42" s="817"/>
      <c r="B42" s="157"/>
      <c r="C42" s="831"/>
      <c r="D42" s="2403" t="s">
        <v>519</v>
      </c>
      <c r="E42" s="2404"/>
      <c r="F42" s="832" t="s">
        <v>520</v>
      </c>
      <c r="G42" s="833"/>
    </row>
    <row r="43" spans="1:7" ht="12" customHeight="1" x14ac:dyDescent="0.2">
      <c r="A43" s="817"/>
      <c r="B43" s="157"/>
      <c r="C43" s="831"/>
      <c r="D43" s="1458" t="s">
        <v>470</v>
      </c>
      <c r="E43" s="1810">
        <f>D41</f>
        <v>1389766</v>
      </c>
      <c r="F43" s="1458" t="s">
        <v>470</v>
      </c>
      <c r="G43" s="1810">
        <f>F41</f>
        <v>3877951</v>
      </c>
    </row>
    <row r="44" spans="1:7" ht="12" customHeight="1" x14ac:dyDescent="0.2">
      <c r="A44" s="817"/>
      <c r="B44" s="157"/>
      <c r="C44" s="831"/>
      <c r="D44" s="1458" t="s">
        <v>471</v>
      </c>
      <c r="E44" s="1810">
        <f>E41</f>
        <v>24936513</v>
      </c>
      <c r="F44" s="1458" t="s">
        <v>471</v>
      </c>
      <c r="G44" s="1810">
        <f>G41</f>
        <v>22448328</v>
      </c>
    </row>
    <row r="45" spans="1:7" ht="12" customHeight="1" x14ac:dyDescent="0.2">
      <c r="A45" s="817"/>
      <c r="B45" s="157"/>
      <c r="C45" s="157"/>
      <c r="D45" s="1459" t="s">
        <v>999</v>
      </c>
      <c r="E45" s="1811">
        <f>(E43/E44)</f>
        <v>5.5732170732932872E-2</v>
      </c>
      <c r="F45" s="1459" t="s">
        <v>999</v>
      </c>
      <c r="G45" s="1811">
        <f>(G43/G44)</f>
        <v>0.17275010415029574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9" zoomScale="110" zoomScaleNormal="110" workbookViewId="0">
      <selection activeCell="F19" sqref="F1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 xml:space="preserve">  Lisle CUSD 202</v>
      </c>
      <c r="D6" s="2426"/>
      <c r="E6" s="2426"/>
      <c r="F6" s="1482"/>
      <c r="G6" s="1507"/>
      <c r="L6" s="1507"/>
      <c r="M6" s="1855"/>
      <c r="N6" s="1855"/>
      <c r="O6" s="1855"/>
    </row>
    <row r="7" spans="1:15" ht="11.25" customHeight="1" thickBot="1" x14ac:dyDescent="0.3">
      <c r="A7" s="1480"/>
      <c r="B7" s="1481"/>
      <c r="C7" s="2427">
        <f>COVER!A13</f>
        <v>19022202026</v>
      </c>
      <c r="D7" s="2427"/>
      <c r="E7" s="242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2048</v>
      </c>
      <c r="D14" s="1495" t="s">
        <v>2048</v>
      </c>
      <c r="E14" s="1498" t="s">
        <v>2066</v>
      </c>
      <c r="F14" s="1497" t="s">
        <v>2067</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2048</v>
      </c>
      <c r="D15" s="1495" t="s">
        <v>2048</v>
      </c>
      <c r="E15" s="1498" t="s">
        <v>2066</v>
      </c>
      <c r="F15" s="1497" t="s">
        <v>2068</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2048</v>
      </c>
      <c r="D16" s="1495" t="s">
        <v>2048</v>
      </c>
      <c r="E16" s="1498" t="s">
        <v>2066</v>
      </c>
      <c r="F16" s="1497" t="s">
        <v>2069</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2048</v>
      </c>
      <c r="D18" s="1495" t="s">
        <v>2048</v>
      </c>
      <c r="E18" s="1498" t="s">
        <v>2066</v>
      </c>
      <c r="F18" s="1497" t="s">
        <v>2156</v>
      </c>
      <c r="G18" s="1507"/>
      <c r="H18" s="1507">
        <f t="shared" si="0"/>
        <v>5</v>
      </c>
      <c r="I18" s="1507">
        <f t="shared" si="1"/>
        <v>5</v>
      </c>
      <c r="J18" s="1507">
        <f t="shared" si="2"/>
        <v>0</v>
      </c>
      <c r="L18" s="1507"/>
      <c r="M18" s="1855"/>
      <c r="N18" s="1855"/>
      <c r="O18" s="1855"/>
    </row>
    <row r="19" spans="1:15" ht="12" customHeight="1" x14ac:dyDescent="0.2">
      <c r="A19" s="1493" t="s">
        <v>1510</v>
      </c>
      <c r="B19" s="1494"/>
      <c r="C19" s="1495" t="s">
        <v>2048</v>
      </c>
      <c r="D19" s="1495" t="s">
        <v>2048</v>
      </c>
      <c r="E19" s="1498" t="s">
        <v>2066</v>
      </c>
      <c r="F19" s="1497" t="s">
        <v>2071</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t="s">
        <v>2066</v>
      </c>
      <c r="F20" s="1497" t="s">
        <v>2070</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2048</v>
      </c>
      <c r="D25" s="1495" t="s">
        <v>2048</v>
      </c>
      <c r="E25" s="1498" t="s">
        <v>2066</v>
      </c>
      <c r="F25" s="1497" t="s">
        <v>2072</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2048</v>
      </c>
      <c r="D26" s="1495" t="s">
        <v>2048</v>
      </c>
      <c r="E26" s="1498" t="s">
        <v>2066</v>
      </c>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t="s">
        <v>2066</v>
      </c>
      <c r="F28" s="1497" t="s">
        <v>2074</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2048</v>
      </c>
      <c r="D29" s="1495" t="s">
        <v>2048</v>
      </c>
      <c r="E29" s="1498" t="s">
        <v>2066</v>
      </c>
      <c r="F29" s="1497" t="s">
        <v>2075</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2048</v>
      </c>
      <c r="D30" s="1495" t="s">
        <v>2048</v>
      </c>
      <c r="E30" s="1498" t="s">
        <v>2066</v>
      </c>
      <c r="F30" s="1497" t="s">
        <v>2076</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2048</v>
      </c>
      <c r="D31" s="1495" t="s">
        <v>2048</v>
      </c>
      <c r="E31" s="1498" t="s">
        <v>2066</v>
      </c>
      <c r="F31" s="1497" t="s">
        <v>2077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2048</v>
      </c>
      <c r="D32" s="1495" t="s">
        <v>2048</v>
      </c>
      <c r="E32" s="1498" t="s">
        <v>2066</v>
      </c>
      <c r="F32" s="1497" t="s">
        <v>2078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65</v>
      </c>
      <c r="I34" s="1507">
        <f>SUM(I11:I32)</f>
        <v>65</v>
      </c>
      <c r="J34" s="1507">
        <f>SUM(J11:J32)</f>
        <v>0</v>
      </c>
      <c r="K34" s="1507">
        <f>SUM(H34:J34)</f>
        <v>130</v>
      </c>
      <c r="L34" s="1507"/>
      <c r="M34" s="1855"/>
      <c r="N34" s="1855"/>
      <c r="O34" s="1855"/>
    </row>
    <row r="35" spans="1:15" ht="12" customHeight="1" x14ac:dyDescent="0.2">
      <c r="A35" s="1500" t="s">
        <v>1376</v>
      </c>
      <c r="B35" s="1501"/>
      <c r="C35" s="2428"/>
      <c r="D35" s="2428"/>
      <c r="E35" s="2428"/>
      <c r="F35" s="2429"/>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t="s">
        <v>2080</v>
      </c>
      <c r="B41" s="2420"/>
      <c r="C41" s="2420"/>
      <c r="D41" s="2420"/>
      <c r="E41" s="2420"/>
      <c r="F41" s="2421"/>
      <c r="H41" s="1508"/>
      <c r="I41" s="1508"/>
      <c r="J41" s="1508"/>
      <c r="K41" s="1508"/>
    </row>
    <row r="42" spans="1:15" s="1499" customFormat="1" ht="12" customHeight="1" x14ac:dyDescent="0.25">
      <c r="A42" s="2419" t="s">
        <v>2081</v>
      </c>
      <c r="B42" s="2420"/>
      <c r="C42" s="2420"/>
      <c r="D42" s="2420"/>
      <c r="E42" s="2420"/>
      <c r="F42" s="2421"/>
      <c r="H42" s="1508"/>
      <c r="I42" s="1508"/>
      <c r="J42" s="1508"/>
      <c r="K42" s="1508"/>
    </row>
    <row r="43" spans="1:15" s="1499" customFormat="1" ht="15" x14ac:dyDescent="0.25">
      <c r="A43" s="2408" t="s">
        <v>2079</v>
      </c>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7" zoomScaleNormal="100" workbookViewId="0">
      <selection activeCell="D11" sqref="D11"/>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1999</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48" t="str">
        <f>COVER!A17</f>
        <v xml:space="preserve">  Lisle CUSD 202</v>
      </c>
      <c r="K6" s="2448"/>
      <c r="L6" s="2462"/>
      <c r="M6" s="838"/>
      <c r="N6" s="2000"/>
    </row>
    <row r="7" spans="1:14" x14ac:dyDescent="0.2">
      <c r="A7" s="2463" t="s">
        <v>864</v>
      </c>
      <c r="B7" s="2464"/>
      <c r="C7" s="2464"/>
      <c r="D7" s="2464"/>
      <c r="E7" s="2465"/>
      <c r="F7" s="839"/>
      <c r="G7" s="838"/>
      <c r="H7" s="838"/>
      <c r="I7" s="1926" t="s">
        <v>369</v>
      </c>
      <c r="J7" s="2450">
        <f>COVER!A13</f>
        <v>19022202026</v>
      </c>
      <c r="K7" s="2450"/>
      <c r="L7" s="2450"/>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2015</v>
      </c>
      <c r="F9" s="1857"/>
      <c r="G9" s="1857"/>
      <c r="H9" s="1857"/>
      <c r="I9" s="1931" t="s">
        <v>2016</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66" t="s">
        <v>478</v>
      </c>
      <c r="B11" s="2467"/>
      <c r="C11" s="2468"/>
      <c r="D11" s="1939" t="s">
        <v>866</v>
      </c>
      <c r="E11" s="1939" t="s">
        <v>64</v>
      </c>
      <c r="F11" s="1939" t="s">
        <v>6</v>
      </c>
      <c r="G11" s="1940" t="s">
        <v>2017</v>
      </c>
      <c r="H11" s="1941" t="s">
        <v>155</v>
      </c>
      <c r="I11" s="1939" t="s">
        <v>64</v>
      </c>
      <c r="J11" s="1939" t="s">
        <v>6</v>
      </c>
      <c r="K11" s="1940" t="s">
        <v>1998</v>
      </c>
      <c r="L11" s="1941" t="s">
        <v>155</v>
      </c>
      <c r="M11" s="838"/>
      <c r="N11" s="2000"/>
    </row>
    <row r="12" spans="1:14" x14ac:dyDescent="0.2">
      <c r="A12" s="2005">
        <v>1</v>
      </c>
      <c r="B12" s="1942" t="s">
        <v>813</v>
      </c>
      <c r="C12" s="842"/>
      <c r="D12" s="1943">
        <v>2320</v>
      </c>
      <c r="E12" s="1946">
        <f>'Expenditures 15-22'!K50</f>
        <v>331812</v>
      </c>
      <c r="F12" s="1944"/>
      <c r="G12" s="1970">
        <f>G68</f>
        <v>0</v>
      </c>
      <c r="H12" s="1946">
        <f t="shared" ref="H12:H18" si="0">SUM(E12:G12)</f>
        <v>331812</v>
      </c>
      <c r="I12" s="1945">
        <v>333820</v>
      </c>
      <c r="J12" s="1944"/>
      <c r="K12" s="1945"/>
      <c r="L12" s="1946">
        <f t="shared" ref="L12:L18" si="1">SUM(I12:K12)</f>
        <v>333820</v>
      </c>
      <c r="M12" s="838"/>
      <c r="N12" s="2000"/>
    </row>
    <row r="13" spans="1:14" x14ac:dyDescent="0.2">
      <c r="A13" s="2005">
        <v>2</v>
      </c>
      <c r="B13" s="1942" t="s">
        <v>42</v>
      </c>
      <c r="C13" s="842"/>
      <c r="D13" s="1943">
        <v>2330</v>
      </c>
      <c r="E13" s="1946">
        <f>'Expenditures 15-22'!K51</f>
        <v>264926</v>
      </c>
      <c r="F13" s="1944"/>
      <c r="G13" s="1970">
        <f>H68</f>
        <v>0</v>
      </c>
      <c r="H13" s="1946">
        <f t="shared" si="0"/>
        <v>264926</v>
      </c>
      <c r="I13" s="1945">
        <v>260910</v>
      </c>
      <c r="J13" s="1944"/>
      <c r="K13" s="1945"/>
      <c r="L13" s="1946">
        <f t="shared" si="1"/>
        <v>260910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140329</v>
      </c>
      <c r="F15" s="1946">
        <f>'Expenditures 15-22'!K122</f>
        <v>0</v>
      </c>
      <c r="G15" s="1970">
        <f>J68</f>
        <v>0</v>
      </c>
      <c r="H15" s="1946">
        <f t="shared" si="0"/>
        <v>140329</v>
      </c>
      <c r="I15" s="1945">
        <v>144970</v>
      </c>
      <c r="J15" s="1945"/>
      <c r="K15" s="1945"/>
      <c r="L15" s="1946">
        <f t="shared" si="1"/>
        <v>144970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69" t="s">
        <v>7</v>
      </c>
      <c r="C18" s="2470"/>
      <c r="D18" s="2471"/>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737067</v>
      </c>
      <c r="F19" s="1952">
        <f t="shared" si="2"/>
        <v>0</v>
      </c>
      <c r="G19" s="1952">
        <f t="shared" ref="G19" si="3">SUM(G12:G17)-G18</f>
        <v>0</v>
      </c>
      <c r="H19" s="1952">
        <f t="shared" si="2"/>
        <v>737067</v>
      </c>
      <c r="I19" s="1952">
        <f t="shared" si="2"/>
        <v>739700</v>
      </c>
      <c r="J19" s="1952">
        <f t="shared" si="2"/>
        <v>0</v>
      </c>
      <c r="K19" s="1952">
        <f t="shared" si="2"/>
        <v>0</v>
      </c>
      <c r="L19" s="1952">
        <f t="shared" si="2"/>
        <v>739700</v>
      </c>
      <c r="M19" s="838"/>
      <c r="N19" s="2000"/>
    </row>
    <row r="20" spans="1:14" ht="13.5" thickTop="1" x14ac:dyDescent="0.2">
      <c r="A20" s="2005">
        <v>9</v>
      </c>
      <c r="B20" s="2472" t="s">
        <v>2018</v>
      </c>
      <c r="C20" s="2472"/>
      <c r="D20" s="2473"/>
      <c r="E20" s="1953"/>
      <c r="F20" s="1953"/>
      <c r="G20" s="1953"/>
      <c r="H20" s="1953"/>
      <c r="I20" s="1953"/>
      <c r="J20" s="1953"/>
      <c r="K20" s="1953"/>
      <c r="L20" s="1954">
        <f>IF(AND(H19&gt;0,L19&gt;0),(((L19-H19)/H19)),"Enter Budget Data")</f>
        <v>3.5722668359864165E-3</v>
      </c>
      <c r="M20" s="838"/>
      <c r="N20" s="2000"/>
    </row>
    <row r="21" spans="1:14" x14ac:dyDescent="0.2">
      <c r="A21" s="2007" t="s">
        <v>194</v>
      </c>
      <c r="B21" s="2008" t="s">
        <v>2043</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2019</v>
      </c>
      <c r="B24" s="2012"/>
      <c r="C24" s="2013"/>
      <c r="D24" s="2013"/>
      <c r="E24" s="2013"/>
      <c r="F24" s="2013"/>
      <c r="G24" s="2013"/>
      <c r="H24" s="2013"/>
      <c r="I24" s="2013"/>
      <c r="J24" s="2013"/>
      <c r="K24" s="2013"/>
      <c r="L24" s="838"/>
      <c r="M24" s="838"/>
      <c r="N24" s="2000"/>
    </row>
    <row r="25" spans="1:14" x14ac:dyDescent="0.2">
      <c r="A25" s="2011" t="s">
        <v>2020</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74"/>
      <c r="D27" s="2474"/>
      <c r="E27" s="843"/>
      <c r="F27" s="2475"/>
      <c r="G27" s="2475"/>
      <c r="H27" s="2475"/>
      <c r="I27" s="838"/>
      <c r="J27" s="838"/>
      <c r="K27" s="838"/>
      <c r="L27" s="838"/>
      <c r="M27" s="838"/>
      <c r="N27" s="2000"/>
    </row>
    <row r="28" spans="1:14" x14ac:dyDescent="0.2">
      <c r="A28" s="1999"/>
      <c r="B28" s="2009"/>
      <c r="C28" s="1959" t="s">
        <v>1026</v>
      </c>
      <c r="D28" s="844"/>
      <c r="E28" s="1960"/>
      <c r="F28" s="2476" t="s">
        <v>1492</v>
      </c>
      <c r="G28" s="2476"/>
      <c r="H28" s="2476"/>
      <c r="I28" s="838"/>
      <c r="J28" s="838"/>
      <c r="K28" s="838"/>
      <c r="L28" s="838"/>
      <c r="M28" s="838"/>
      <c r="N28" s="2000"/>
    </row>
    <row r="29" spans="1:14" x14ac:dyDescent="0.2">
      <c r="A29" s="1999"/>
      <c r="B29" s="2009"/>
      <c r="C29" s="2477"/>
      <c r="D29" s="2477"/>
      <c r="E29" s="845"/>
      <c r="F29" s="2477"/>
      <c r="G29" s="2477"/>
      <c r="H29" s="2477"/>
      <c r="I29" s="838"/>
      <c r="J29" s="838"/>
      <c r="K29" s="838"/>
      <c r="L29" s="838"/>
      <c r="M29" s="838"/>
      <c r="N29" s="2000"/>
    </row>
    <row r="30" spans="1:14" x14ac:dyDescent="0.2">
      <c r="A30" s="1999"/>
      <c r="B30" s="2009"/>
      <c r="C30" s="1962" t="s">
        <v>1544</v>
      </c>
      <c r="D30" s="838"/>
      <c r="E30" s="1961"/>
      <c r="F30" s="2461" t="s">
        <v>1493</v>
      </c>
      <c r="G30" s="2461"/>
      <c r="H30" s="2461"/>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38" t="s">
        <v>2021</v>
      </c>
      <c r="D34" s="2439"/>
      <c r="E34" s="2439"/>
      <c r="F34" s="2439"/>
      <c r="G34" s="2439"/>
      <c r="H34" s="2439"/>
      <c r="I34" s="2439"/>
      <c r="J34" s="2439"/>
      <c r="K34" s="2018"/>
      <c r="L34" s="838"/>
      <c r="M34" s="838"/>
      <c r="N34" s="2000"/>
    </row>
    <row r="35" spans="1:14" x14ac:dyDescent="0.2">
      <c r="A35" s="1999"/>
      <c r="B35" s="838"/>
      <c r="C35" s="2439"/>
      <c r="D35" s="2439"/>
      <c r="E35" s="2439"/>
      <c r="F35" s="2439"/>
      <c r="G35" s="2439"/>
      <c r="H35" s="2439"/>
      <c r="I35" s="2439"/>
      <c r="J35" s="2439"/>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38" t="s">
        <v>2022</v>
      </c>
      <c r="D37" s="2439"/>
      <c r="E37" s="2439"/>
      <c r="F37" s="2439"/>
      <c r="G37" s="2439"/>
      <c r="H37" s="2439"/>
      <c r="I37" s="2439"/>
      <c r="J37" s="2439"/>
      <c r="K37" s="2018"/>
      <c r="L37" s="2020"/>
      <c r="M37" s="838"/>
      <c r="N37" s="2000"/>
    </row>
    <row r="38" spans="1:14" x14ac:dyDescent="0.2">
      <c r="A38" s="1999"/>
      <c r="B38" s="838"/>
      <c r="C38" s="2439"/>
      <c r="D38" s="2439"/>
      <c r="E38" s="2439"/>
      <c r="F38" s="2439"/>
      <c r="G38" s="2439"/>
      <c r="H38" s="2439"/>
      <c r="I38" s="2439"/>
      <c r="J38" s="2439"/>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40" t="s">
        <v>2023</v>
      </c>
      <c r="D40" s="2441"/>
      <c r="E40" s="2441"/>
      <c r="F40" s="2441"/>
      <c r="G40" s="2441"/>
      <c r="H40" s="2441"/>
      <c r="I40" s="2441"/>
      <c r="J40" s="2441"/>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42" t="s">
        <v>2024</v>
      </c>
      <c r="B43" s="2443"/>
      <c r="C43" s="2443"/>
      <c r="D43" s="2443"/>
      <c r="E43" s="2443"/>
      <c r="F43" s="2443"/>
      <c r="G43" s="2443"/>
      <c r="H43" s="2443"/>
      <c r="I43" s="2443"/>
      <c r="J43" s="2443"/>
      <c r="K43" s="2443"/>
      <c r="L43" s="2443"/>
      <c r="M43" s="2443"/>
      <c r="N43" s="2444"/>
    </row>
    <row r="44" spans="1:14" x14ac:dyDescent="0.2">
      <c r="A44" s="1984"/>
      <c r="B44" s="1985"/>
      <c r="C44" s="1985"/>
      <c r="D44" s="1985"/>
      <c r="E44" s="1985"/>
      <c r="F44" s="1985"/>
      <c r="G44" s="1985"/>
      <c r="H44" s="1985"/>
      <c r="I44" s="1985"/>
      <c r="J44" s="1985"/>
      <c r="K44" s="1985"/>
      <c r="L44" s="1985"/>
      <c r="M44" s="1985"/>
      <c r="N44" s="1986"/>
    </row>
    <row r="45" spans="1:14" x14ac:dyDescent="0.2">
      <c r="A45" s="1984" t="s">
        <v>2025</v>
      </c>
      <c r="B45" s="1985"/>
      <c r="C45" s="1985"/>
      <c r="D45" s="1985"/>
      <c r="E45" s="1985"/>
      <c r="F45" s="1985"/>
      <c r="G45" s="1985"/>
      <c r="H45" s="1985"/>
      <c r="I45" s="1985"/>
      <c r="J45" s="1985"/>
      <c r="K45" s="1985"/>
      <c r="L45" s="1985"/>
      <c r="M45" s="1985"/>
      <c r="N45" s="1986"/>
    </row>
    <row r="46" spans="1:14" x14ac:dyDescent="0.2">
      <c r="A46" s="2445" t="s">
        <v>2026</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2042</v>
      </c>
      <c r="B49" s="2026"/>
      <c r="C49" s="2026"/>
      <c r="D49" s="2027"/>
      <c r="E49" s="2027"/>
      <c r="F49" s="2027"/>
      <c r="G49" s="2027"/>
      <c r="H49" s="2027"/>
      <c r="I49" s="2027"/>
      <c r="J49" s="2027"/>
      <c r="K49" s="2027"/>
      <c r="L49" s="2027"/>
      <c r="M49" s="2027"/>
      <c r="N49" s="2028"/>
    </row>
    <row r="50" spans="1:14" ht="15" x14ac:dyDescent="0.25">
      <c r="A50" s="2030" t="s">
        <v>2041</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48" t="str">
        <f>J6</f>
        <v xml:space="preserve">  Lisle CUSD 202</v>
      </c>
      <c r="M52" s="2448"/>
      <c r="N52" s="2449"/>
    </row>
    <row r="53" spans="1:14" x14ac:dyDescent="0.2">
      <c r="A53" s="1984"/>
      <c r="B53" s="1985"/>
      <c r="C53" s="1985"/>
      <c r="D53" s="1985"/>
      <c r="E53" s="1985"/>
      <c r="F53" s="1985"/>
      <c r="G53" s="1985"/>
      <c r="H53" s="1985"/>
      <c r="I53" s="1985"/>
      <c r="J53" s="1985"/>
      <c r="K53" s="1926" t="s">
        <v>369</v>
      </c>
      <c r="L53" s="2450">
        <f>J7</f>
        <v>19022202026</v>
      </c>
      <c r="M53" s="2450"/>
      <c r="N53" s="2451"/>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52"/>
      <c r="B55" s="2453"/>
      <c r="C55" s="2453"/>
      <c r="D55" s="1972"/>
      <c r="E55" s="1972"/>
      <c r="F55" s="1972"/>
      <c r="G55" s="2454" t="s">
        <v>2027</v>
      </c>
      <c r="H55" s="2454"/>
      <c r="I55" s="2454"/>
      <c r="J55" s="2454"/>
      <c r="K55" s="2454"/>
      <c r="L55" s="2454"/>
      <c r="M55" s="2454"/>
      <c r="N55" s="2455"/>
    </row>
    <row r="56" spans="1:14" ht="63.75" x14ac:dyDescent="0.2">
      <c r="A56" s="2456" t="s">
        <v>2028</v>
      </c>
      <c r="B56" s="2457"/>
      <c r="C56" s="2458"/>
      <c r="D56" s="1966" t="s">
        <v>2029</v>
      </c>
      <c r="E56" s="1966" t="s">
        <v>2030</v>
      </c>
      <c r="F56" s="1973"/>
      <c r="G56" s="1966" t="s">
        <v>2031</v>
      </c>
      <c r="H56" s="1966" t="s">
        <v>2032</v>
      </c>
      <c r="I56" s="1966" t="s">
        <v>2033</v>
      </c>
      <c r="J56" s="1966" t="s">
        <v>2034</v>
      </c>
      <c r="K56" s="1966" t="s">
        <v>2035</v>
      </c>
      <c r="L56" s="1966" t="s">
        <v>2036</v>
      </c>
      <c r="M56" s="1966" t="s">
        <v>2037</v>
      </c>
      <c r="N56" s="1967" t="s">
        <v>2044</v>
      </c>
    </row>
    <row r="57" spans="1:14" ht="24.75" customHeight="1" x14ac:dyDescent="0.2">
      <c r="A57" s="2459" t="s">
        <v>296</v>
      </c>
      <c r="B57" s="2460"/>
      <c r="C57" s="2460"/>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36" t="s">
        <v>2038</v>
      </c>
      <c r="B58" s="2437"/>
      <c r="C58" s="2437"/>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30" t="s">
        <v>297</v>
      </c>
      <c r="B59" s="2431"/>
      <c r="C59" s="2431"/>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30" t="s">
        <v>236</v>
      </c>
      <c r="B60" s="2431"/>
      <c r="C60" s="2431"/>
      <c r="D60" s="1969">
        <v>2364</v>
      </c>
      <c r="E60" s="1979">
        <f>'Expenditures 15-22'!K322</f>
        <v>2180</v>
      </c>
      <c r="F60" s="1974"/>
      <c r="G60" s="2033"/>
      <c r="H60" s="2034"/>
      <c r="I60" s="2034"/>
      <c r="J60" s="2034"/>
      <c r="K60" s="2034"/>
      <c r="L60" s="2034"/>
      <c r="M60" s="2034">
        <v>2180</v>
      </c>
      <c r="N60" s="1977">
        <f t="shared" ref="N60:N67" si="4">IF((SUM(G60:M60))=E60,SUM(G60:M60),"Column N does not agree with Column E")</f>
        <v>2180</v>
      </c>
    </row>
    <row r="61" spans="1:14" ht="24.75" customHeight="1" x14ac:dyDescent="0.2">
      <c r="A61" s="2430" t="s">
        <v>697</v>
      </c>
      <c r="B61" s="2431"/>
      <c r="C61" s="2431"/>
      <c r="D61" s="1969">
        <v>2365</v>
      </c>
      <c r="E61" s="1979">
        <f>'Expenditures 15-22'!K323</f>
        <v>0</v>
      </c>
      <c r="F61" s="1974"/>
      <c r="G61" s="2033"/>
      <c r="H61" s="2034"/>
      <c r="I61" s="2034"/>
      <c r="J61" s="2034"/>
      <c r="K61" s="2034"/>
      <c r="L61" s="2034"/>
      <c r="M61" s="2034"/>
      <c r="N61" s="1977">
        <f t="shared" si="4"/>
        <v>0</v>
      </c>
    </row>
    <row r="62" spans="1:14" ht="24" customHeight="1" x14ac:dyDescent="0.2">
      <c r="A62" s="2430" t="s">
        <v>237</v>
      </c>
      <c r="B62" s="2431"/>
      <c r="C62" s="2431"/>
      <c r="D62" s="1969">
        <v>2366</v>
      </c>
      <c r="E62" s="1979">
        <f>'Expenditures 15-22'!K324</f>
        <v>0</v>
      </c>
      <c r="F62" s="1974"/>
      <c r="G62" s="2033"/>
      <c r="H62" s="2034"/>
      <c r="I62" s="2034"/>
      <c r="J62" s="2034"/>
      <c r="K62" s="2034"/>
      <c r="L62" s="2034"/>
      <c r="M62" s="2034"/>
      <c r="N62" s="1977">
        <f t="shared" si="4"/>
        <v>0</v>
      </c>
    </row>
    <row r="63" spans="1:14" ht="24" customHeight="1" x14ac:dyDescent="0.2">
      <c r="A63" s="2436" t="s">
        <v>1022</v>
      </c>
      <c r="B63" s="2437"/>
      <c r="C63" s="2437"/>
      <c r="D63" s="1969">
        <v>2367</v>
      </c>
      <c r="E63" s="1979">
        <f>'Expenditures 15-22'!K325</f>
        <v>0</v>
      </c>
      <c r="F63" s="1974"/>
      <c r="G63" s="2033"/>
      <c r="H63" s="2034"/>
      <c r="I63" s="2034"/>
      <c r="J63" s="2034"/>
      <c r="K63" s="2034"/>
      <c r="L63" s="2034"/>
      <c r="M63" s="2034"/>
      <c r="N63" s="1977">
        <f t="shared" si="4"/>
        <v>0</v>
      </c>
    </row>
    <row r="64" spans="1:14" ht="24" customHeight="1" x14ac:dyDescent="0.2">
      <c r="A64" s="2430" t="s">
        <v>1023</v>
      </c>
      <c r="B64" s="2431"/>
      <c r="C64" s="2431"/>
      <c r="D64" s="1969">
        <v>2368</v>
      </c>
      <c r="E64" s="1979">
        <f>'Expenditures 15-22'!K326</f>
        <v>0</v>
      </c>
      <c r="F64" s="1974"/>
      <c r="G64" s="2033"/>
      <c r="H64" s="2034"/>
      <c r="I64" s="2034"/>
      <c r="J64" s="2034"/>
      <c r="K64" s="2034"/>
      <c r="L64" s="2034"/>
      <c r="M64" s="2034"/>
      <c r="N64" s="1977">
        <f t="shared" si="4"/>
        <v>0</v>
      </c>
    </row>
    <row r="65" spans="1:14" ht="24" customHeight="1" x14ac:dyDescent="0.2">
      <c r="A65" s="2430" t="s">
        <v>965</v>
      </c>
      <c r="B65" s="2431"/>
      <c r="C65" s="2431"/>
      <c r="D65" s="1969">
        <v>2369</v>
      </c>
      <c r="E65" s="1979">
        <f>'Expenditures 15-22'!K327</f>
        <v>0</v>
      </c>
      <c r="F65" s="1974"/>
      <c r="G65" s="2033"/>
      <c r="H65" s="2034"/>
      <c r="I65" s="2034"/>
      <c r="J65" s="2034"/>
      <c r="K65" s="2034"/>
      <c r="L65" s="2034"/>
      <c r="M65" s="2034"/>
      <c r="N65" s="1977">
        <f t="shared" si="4"/>
        <v>0</v>
      </c>
    </row>
    <row r="66" spans="1:14" ht="24" customHeight="1" x14ac:dyDescent="0.2">
      <c r="A66" s="2430" t="s">
        <v>469</v>
      </c>
      <c r="B66" s="2431"/>
      <c r="C66" s="2431"/>
      <c r="D66" s="1969">
        <v>2371</v>
      </c>
      <c r="E66" s="1979">
        <f>'Expenditures 15-22'!K328</f>
        <v>0</v>
      </c>
      <c r="F66" s="1974"/>
      <c r="G66" s="2033"/>
      <c r="H66" s="2034"/>
      <c r="I66" s="2034"/>
      <c r="J66" s="2034"/>
      <c r="K66" s="2034"/>
      <c r="L66" s="2034"/>
      <c r="M66" s="2034"/>
      <c r="N66" s="1977">
        <f t="shared" si="4"/>
        <v>0</v>
      </c>
    </row>
    <row r="67" spans="1:14" ht="24.75" customHeight="1" x14ac:dyDescent="0.2">
      <c r="A67" s="2432" t="s">
        <v>2039</v>
      </c>
      <c r="B67" s="2433"/>
      <c r="C67" s="2433"/>
      <c r="D67" s="1971">
        <v>2372</v>
      </c>
      <c r="E67" s="1980">
        <f>'Expenditures 15-22'!K329</f>
        <v>0</v>
      </c>
      <c r="F67" s="1974"/>
      <c r="G67" s="2035"/>
      <c r="H67" s="2036"/>
      <c r="I67" s="2036"/>
      <c r="J67" s="2036"/>
      <c r="K67" s="2036"/>
      <c r="L67" s="2036"/>
      <c r="M67" s="2036"/>
      <c r="N67" s="1977">
        <f t="shared" si="4"/>
        <v>0</v>
      </c>
    </row>
    <row r="68" spans="1:14" x14ac:dyDescent="0.2">
      <c r="A68" s="2434" t="s">
        <v>1151</v>
      </c>
      <c r="B68" s="2435"/>
      <c r="C68" s="2435"/>
      <c r="D68" s="1972"/>
      <c r="E68" s="1976">
        <f>SUM(E57:E67)</f>
        <v>2180</v>
      </c>
      <c r="F68" s="1975"/>
      <c r="G68" s="1976">
        <f t="shared" ref="G68:N68" si="5">SUM(G57:G67)</f>
        <v>0</v>
      </c>
      <c r="H68" s="1976">
        <f t="shared" si="5"/>
        <v>0</v>
      </c>
      <c r="I68" s="1976">
        <f t="shared" si="5"/>
        <v>0</v>
      </c>
      <c r="J68" s="1976">
        <f t="shared" si="5"/>
        <v>0</v>
      </c>
      <c r="K68" s="1976">
        <f t="shared" si="5"/>
        <v>0</v>
      </c>
      <c r="L68" s="1976">
        <f t="shared" si="5"/>
        <v>0</v>
      </c>
      <c r="M68" s="1976">
        <f t="shared" si="5"/>
        <v>2180</v>
      </c>
      <c r="N68" s="1990">
        <f t="shared" si="5"/>
        <v>2180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2040</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2157</v>
      </c>
    </row>
    <row r="6" spans="1:2" x14ac:dyDescent="0.2">
      <c r="A6" s="847">
        <v>2</v>
      </c>
      <c r="B6" s="307" t="s">
        <v>2158</v>
      </c>
    </row>
    <row r="7" spans="1:2" x14ac:dyDescent="0.2">
      <c r="A7" s="847">
        <v>3</v>
      </c>
      <c r="B7" s="307" t="s">
        <v>2159</v>
      </c>
    </row>
    <row r="8" spans="1:2" x14ac:dyDescent="0.2">
      <c r="A8" s="847">
        <v>4</v>
      </c>
      <c r="B8" s="307" t="s">
        <v>2160</v>
      </c>
    </row>
    <row r="9" spans="1:2" x14ac:dyDescent="0.2">
      <c r="A9" s="847">
        <v>5</v>
      </c>
      <c r="B9" s="307" t="s">
        <v>2161</v>
      </c>
    </row>
    <row r="10" spans="1:2" x14ac:dyDescent="0.2">
      <c r="A10" s="847">
        <v>6</v>
      </c>
      <c r="B10" s="307" t="s">
        <v>2162</v>
      </c>
    </row>
    <row r="11" spans="1:2" x14ac:dyDescent="0.2">
      <c r="A11" s="847">
        <v>7</v>
      </c>
      <c r="B11" s="307" t="s">
        <v>2163</v>
      </c>
    </row>
    <row r="12" spans="1:2" x14ac:dyDescent="0.2">
      <c r="A12" s="847">
        <v>8</v>
      </c>
      <c r="B12" s="307" t="s">
        <v>2164</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Lisle CUSD 202</v>
      </c>
    </row>
    <row r="65" spans="2:2" x14ac:dyDescent="0.2">
      <c r="B65" s="849">
        <f>COVER!A13</f>
        <v>19022202026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8" t="s">
        <v>1665</v>
      </c>
      <c r="B18" s="247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0</xdr:row>
                <xdr:rowOff>95250</xdr:rowOff>
              </from>
              <to>
                <xdr:col>1</xdr:col>
                <xdr:colOff>962025</xdr:colOff>
                <xdr:row>4</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1123950</xdr:colOff>
                <xdr:row>0</xdr:row>
                <xdr:rowOff>95250</xdr:rowOff>
              </from>
              <to>
                <xdr:col>1</xdr:col>
                <xdr:colOff>2038350</xdr:colOff>
                <xdr:row>4</xdr:row>
                <xdr:rowOff>133350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4" r:id="rId8">
          <objectPr defaultSize="0" r:id="rId9">
            <anchor moveWithCells="1">
              <from>
                <xdr:col>1</xdr:col>
                <xdr:colOff>2171700</xdr:colOff>
                <xdr:row>0</xdr:row>
                <xdr:rowOff>95250</xdr:rowOff>
              </from>
              <to>
                <xdr:col>1</xdr:col>
                <xdr:colOff>3086100</xdr:colOff>
                <xdr:row>4</xdr:row>
                <xdr:rowOff>133350</xdr:rowOff>
              </to>
            </anchor>
          </objectPr>
        </oleObject>
      </mc:Choice>
      <mc:Fallback>
        <oleObject progId="Acrobat Document" dvAspect="DVASPECT_ICON" shapeId="43014" r:id="rId8"/>
      </mc:Fallback>
    </mc:AlternateContent>
    <mc:AlternateContent xmlns:mc="http://schemas.openxmlformats.org/markup-compatibility/2006">
      <mc:Choice Requires="x14">
        <oleObject progId="Acrobat Document" dvAspect="DVASPECT_ICON" shapeId="43017" r:id="rId10">
          <objectPr defaultSize="0" r:id="rId11">
            <anchor moveWithCells="1">
              <from>
                <xdr:col>1</xdr:col>
                <xdr:colOff>3190875</xdr:colOff>
                <xdr:row>0</xdr:row>
                <xdr:rowOff>95250</xdr:rowOff>
              </from>
              <to>
                <xdr:col>2</xdr:col>
                <xdr:colOff>123825</xdr:colOff>
                <xdr:row>4</xdr:row>
                <xdr:rowOff>133350</xdr:rowOff>
              </to>
            </anchor>
          </objectPr>
        </oleObject>
      </mc:Choice>
      <mc:Fallback>
        <oleObject progId="Acrobat Document" dvAspect="DVASPECT_ICON" shapeId="4301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1969</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27302952</v>
      </c>
      <c r="C8" s="1813">
        <f>'Acct Summary 7-8'!D8</f>
        <v>3312145</v>
      </c>
      <c r="D8" s="1813">
        <f>'Acct Summary 7-8'!F8</f>
        <v>2700860</v>
      </c>
      <c r="E8" s="1813">
        <f>'Acct Summary 7-8'!I8</f>
        <v>24677</v>
      </c>
      <c r="F8" s="1813">
        <f>SUM(B8:E8)</f>
        <v>33340634</v>
      </c>
    </row>
    <row r="9" spans="1:8" s="858" customFormat="1" ht="14.25" customHeight="1" thickBot="1" x14ac:dyDescent="0.25">
      <c r="A9" s="857" t="s">
        <v>1353</v>
      </c>
      <c r="B9" s="1814">
        <f>'Acct Summary 7-8'!C17</f>
        <v>25904077</v>
      </c>
      <c r="C9" s="1814">
        <f>'Acct Summary 7-8'!D17</f>
        <v>2495666</v>
      </c>
      <c r="D9" s="1814">
        <f>'Acct Summary 7-8'!F17</f>
        <v>1633540</v>
      </c>
      <c r="E9" s="1813"/>
      <c r="F9" s="1813">
        <f>SUM(B9:E9)</f>
        <v>30033283</v>
      </c>
    </row>
    <row r="10" spans="1:8" s="858" customFormat="1" ht="14.25" thickTop="1" thickBot="1" x14ac:dyDescent="0.25">
      <c r="A10" s="859" t="s">
        <v>1354</v>
      </c>
      <c r="B10" s="1815">
        <f>(B8-B9)</f>
        <v>1398875</v>
      </c>
      <c r="C10" s="1815">
        <f>(C8-C9)</f>
        <v>816479</v>
      </c>
      <c r="D10" s="1815">
        <f>(D8-D9)</f>
        <v>1067320</v>
      </c>
      <c r="E10" s="1814">
        <f>(E8-E9)</f>
        <v>24677</v>
      </c>
      <c r="F10" s="1816">
        <f>SUM(F8-F9)</f>
        <v>3307351</v>
      </c>
    </row>
    <row r="11" spans="1:8" s="858" customFormat="1" ht="14.25" thickTop="1" thickBot="1" x14ac:dyDescent="0.25">
      <c r="A11" s="860" t="s">
        <v>1900</v>
      </c>
      <c r="B11" s="1817">
        <f>'Acct Summary 7-8'!C81</f>
        <v>11120410</v>
      </c>
      <c r="C11" s="1817">
        <f>'Acct Summary 7-8'!D81</f>
        <v>520600</v>
      </c>
      <c r="D11" s="1817">
        <f>'Acct Summary 7-8'!F81</f>
        <v>2291800</v>
      </c>
      <c r="E11" s="1817">
        <f>'Acct Summary 7-8'!I81</f>
        <v>804793</v>
      </c>
      <c r="F11" s="1818">
        <f>SUM(B11:E11)</f>
        <v>14737603</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19022202026</v>
      </c>
      <c r="E2" s="1542">
        <v>2020</v>
      </c>
      <c r="F2" s="1542">
        <v>1</v>
      </c>
      <c r="G2" s="1899">
        <v>101000300</v>
      </c>
    </row>
    <row r="3" spans="1:7" ht="15" x14ac:dyDescent="0.25">
      <c r="A3" t="s">
        <v>950</v>
      </c>
      <c r="B3" s="135" t="str">
        <f>COVER!A15</f>
        <v>DuPage</v>
      </c>
      <c r="E3" s="1830" t="s">
        <v>1968</v>
      </c>
      <c r="F3" s="1830" t="s">
        <v>1967</v>
      </c>
      <c r="G3" s="1899">
        <v>101000400</v>
      </c>
    </row>
    <row r="4" spans="1:7" ht="15" x14ac:dyDescent="0.25">
      <c r="A4" t="s">
        <v>1000</v>
      </c>
      <c r="B4" s="135" t="str">
        <f>COVER!A17</f>
        <v xml:space="preserve">  Lisle CUSD 202</v>
      </c>
      <c r="E4" s="1828">
        <v>44119</v>
      </c>
      <c r="F4" s="1829">
        <v>44151</v>
      </c>
      <c r="G4" s="1899">
        <v>101000600</v>
      </c>
    </row>
    <row r="5" spans="1:7" ht="15" x14ac:dyDescent="0.25">
      <c r="A5" t="s">
        <v>699</v>
      </c>
      <c r="B5" s="135" t="str">
        <f>COVER!A38</f>
        <v>Keith Filipiak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065-037815</v>
      </c>
      <c r="G15" s="1899">
        <v>402100400</v>
      </c>
    </row>
    <row r="16" spans="1:7" ht="15" x14ac:dyDescent="0.25">
      <c r="A16" t="s">
        <v>419</v>
      </c>
      <c r="B16" s="135" t="str">
        <f>COVER!T13</f>
        <v>Lauterbach &amp; Amen, LLP</v>
      </c>
      <c r="G16" s="1899">
        <v>402100600</v>
      </c>
    </row>
    <row r="17" spans="1:7" ht="15" x14ac:dyDescent="0.25">
      <c r="A17" t="s">
        <v>878</v>
      </c>
      <c r="B17" s="135" t="str">
        <f>COVER!T15</f>
        <v>Don Shaw</v>
      </c>
      <c r="G17" s="1899">
        <v>402100800</v>
      </c>
    </row>
    <row r="18" spans="1:7" ht="15" x14ac:dyDescent="0.25">
      <c r="A18" t="s">
        <v>1140</v>
      </c>
      <c r="B18" s="135" t="str">
        <f>COVER!T17</f>
        <v>668 N. River Road</v>
      </c>
      <c r="G18" s="1899">
        <v>102200300</v>
      </c>
    </row>
    <row r="19" spans="1:7" ht="15" x14ac:dyDescent="0.25">
      <c r="A19" t="s">
        <v>880</v>
      </c>
      <c r="B19" s="135" t="str">
        <f>COVER!T25</f>
        <v>dshaw@lauterbachamen.com</v>
      </c>
      <c r="G19" s="1899">
        <v>102200400</v>
      </c>
    </row>
    <row r="20" spans="1:7" ht="15" x14ac:dyDescent="0.25">
      <c r="A20" t="s">
        <v>881</v>
      </c>
      <c r="B20" s="135" t="str">
        <f>COVER!T19</f>
        <v>Naperville</v>
      </c>
      <c r="G20" s="1899">
        <v>102200600</v>
      </c>
    </row>
    <row r="21" spans="1:7" ht="15" x14ac:dyDescent="0.25">
      <c r="A21" t="s">
        <v>476</v>
      </c>
      <c r="B21" s="135" t="str">
        <f>COVER!X19</f>
        <v>IL</v>
      </c>
      <c r="G21" s="1899">
        <v>102200800</v>
      </c>
    </row>
    <row r="22" spans="1:7" ht="15" x14ac:dyDescent="0.25">
      <c r="A22" t="s">
        <v>882</v>
      </c>
      <c r="B22" s="135">
        <f>COVER!Z19</f>
        <v>60563</v>
      </c>
      <c r="G22" s="1899">
        <v>102300300</v>
      </c>
    </row>
    <row r="23" spans="1:7" ht="15" x14ac:dyDescent="0.25">
      <c r="A23" t="s">
        <v>1142</v>
      </c>
      <c r="B23" s="135">
        <f>COVER!T21</f>
        <v>6303931483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11903891</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11840480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37630233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24335008</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26509823</v>
      </c>
      <c r="C91" s="2" t="s">
        <v>569</v>
      </c>
      <c r="D91" s="2" t="str">
        <f t="shared" si="0"/>
        <v>Error?</v>
      </c>
      <c r="G91" s="1899">
        <v>102640400</v>
      </c>
    </row>
    <row r="92" spans="1:7" ht="15" x14ac:dyDescent="0.25">
      <c r="A92" s="5">
        <v>31</v>
      </c>
      <c r="B92" s="1832">
        <f>'Assets-Liab 5-6'!C39</f>
        <v>11120410</v>
      </c>
      <c r="D92" s="2" t="str">
        <f t="shared" si="0"/>
        <v>Error?</v>
      </c>
      <c r="G92" s="1899">
        <v>102640600</v>
      </c>
    </row>
    <row r="93" spans="1:7" ht="15" x14ac:dyDescent="0.25">
      <c r="A93" s="5">
        <v>32</v>
      </c>
      <c r="B93" s="1832">
        <f>'Assets-Liab 5-6'!C41</f>
        <v>37630233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1909217</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1211436</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4509380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3955965</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3988780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4509380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592548</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372671</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1392277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1209127</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1209127</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1392277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489455</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1217971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3296626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998761</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1004826</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3296626</v>
      </c>
      <c r="C171" s="2" t="s">
        <v>569</v>
      </c>
      <c r="D171" s="2" t="str">
        <f t="shared" si="1"/>
        <v>Error?</v>
      </c>
    </row>
    <row r="172" spans="1:4" x14ac:dyDescent="0.2">
      <c r="A172" s="10">
        <v>111</v>
      </c>
      <c r="B172" s="1832"/>
      <c r="D172" s="2" t="str">
        <f t="shared" si="1"/>
        <v>OK</v>
      </c>
    </row>
    <row r="173" spans="1:4" x14ac:dyDescent="0.2">
      <c r="A173" s="5">
        <v>112</v>
      </c>
      <c r="B173" s="1832">
        <f>'Assets-Liab 5-6'!G6</f>
        <v>455401</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436020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1391073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929272</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929272</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1391073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1222285</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50677</v>
      </c>
      <c r="D202" s="2" t="str">
        <f t="shared" si="2"/>
        <v>Error?</v>
      </c>
    </row>
    <row r="203" spans="1:4" x14ac:dyDescent="0.2">
      <c r="A203" s="5">
        <v>142</v>
      </c>
      <c r="B203" s="1832">
        <f>'Assets-Liab 5-6'!H13</f>
        <v>2673622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2673622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1272506</v>
      </c>
      <c r="D273" s="2" t="str">
        <f t="shared" si="3"/>
        <v>Error?</v>
      </c>
    </row>
    <row r="274" spans="1:4" x14ac:dyDescent="0.2">
      <c r="A274" s="5">
        <v>213</v>
      </c>
      <c r="B274" s="1832">
        <f>'Assets-Liab 5-6'!M17</f>
        <v>54419661</v>
      </c>
      <c r="D274" s="2" t="str">
        <f t="shared" si="3"/>
        <v>Error?</v>
      </c>
    </row>
    <row r="275" spans="1:4" x14ac:dyDescent="0.2">
      <c r="A275" s="5">
        <v>214</v>
      </c>
      <c r="B275" s="1832">
        <f>'Assets-Liab 5-6'!M18</f>
        <v>1368586</v>
      </c>
      <c r="D275" s="2" t="str">
        <f t="shared" si="3"/>
        <v>Error?</v>
      </c>
    </row>
    <row r="276" spans="1:4" x14ac:dyDescent="0.2">
      <c r="A276" s="5">
        <v>215</v>
      </c>
      <c r="B276" s="1832">
        <f>'Assets-Liab 5-6'!M19</f>
        <v>2145903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59206656</v>
      </c>
      <c r="C279" s="2" t="s">
        <v>569</v>
      </c>
      <c r="D279" s="2" t="str">
        <f t="shared" si="3"/>
        <v>Error?</v>
      </c>
    </row>
    <row r="280" spans="1:4" x14ac:dyDescent="0.2">
      <c r="A280" s="5">
        <v>219</v>
      </c>
      <c r="B280" s="1832">
        <f>'Assets-Liab 5-6'!M40</f>
        <v>59206656</v>
      </c>
      <c r="D280" s="2" t="str">
        <f t="shared" si="3"/>
        <v>Error?</v>
      </c>
    </row>
    <row r="281" spans="1:4" x14ac:dyDescent="0.2">
      <c r="A281" s="5">
        <v>220</v>
      </c>
      <c r="B281" s="1832">
        <f>'Assets-Liab 5-6'!M41</f>
        <v>59206656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12470000</v>
      </c>
      <c r="D283" s="2" t="str">
        <f t="shared" si="3"/>
        <v>Error?</v>
      </c>
    </row>
    <row r="284" spans="1:4" x14ac:dyDescent="0.2">
      <c r="A284" s="5">
        <v>223</v>
      </c>
      <c r="B284" s="1832">
        <f>'Assets-Liab 5-6'!N23</f>
        <v>12470000</v>
      </c>
      <c r="C284" s="2" t="s">
        <v>569</v>
      </c>
      <c r="D284" s="2" t="str">
        <f t="shared" si="3"/>
        <v>Error?</v>
      </c>
    </row>
    <row r="285" spans="1:4" x14ac:dyDescent="0.2">
      <c r="A285" s="5">
        <v>224</v>
      </c>
      <c r="B285" s="1832">
        <f>'Assets-Liab 5-6'!N36</f>
        <v>12470000</v>
      </c>
      <c r="D285" s="2" t="str">
        <f t="shared" si="3"/>
        <v>Error?</v>
      </c>
    </row>
    <row r="286" spans="1:4" x14ac:dyDescent="0.2">
      <c r="A286" s="10">
        <v>225</v>
      </c>
      <c r="B286" s="1832"/>
      <c r="D286" s="2" t="str">
        <f t="shared" si="3"/>
        <v>OK</v>
      </c>
    </row>
    <row r="287" spans="1:4" x14ac:dyDescent="0.2">
      <c r="A287" s="5">
        <v>226</v>
      </c>
      <c r="B287" s="1832">
        <f>'Assets-Liab 5-6'!N37</f>
        <v>12470000</v>
      </c>
      <c r="C287" s="2" t="s">
        <v>569</v>
      </c>
      <c r="D287" s="2" t="str">
        <f t="shared" si="3"/>
        <v>Error?</v>
      </c>
    </row>
    <row r="288" spans="1:4" x14ac:dyDescent="0.2">
      <c r="A288" s="5">
        <v>227</v>
      </c>
      <c r="B288" s="1832">
        <f>'Assets-Liab 5-6'!N41</f>
        <v>12470000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20375</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8058466</v>
      </c>
      <c r="D705" s="2" t="str">
        <f t="shared" si="10"/>
        <v>Error?</v>
      </c>
    </row>
    <row r="706" spans="1:4" x14ac:dyDescent="0.2">
      <c r="A706" s="5">
        <v>645</v>
      </c>
      <c r="B706" s="1832">
        <f>'Expenditures 15-22'!C16</f>
        <v>48344</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241149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246990</v>
      </c>
      <c r="D717" s="2" t="str">
        <f t="shared" si="10"/>
        <v>Error?</v>
      </c>
    </row>
    <row r="718" spans="1:4" x14ac:dyDescent="0.2">
      <c r="A718" s="5">
        <v>657</v>
      </c>
      <c r="B718" s="1832">
        <f>'Expenditures 15-22'!C14</f>
        <v>521239</v>
      </c>
      <c r="D718" s="2" t="str">
        <f t="shared" si="10"/>
        <v>Error?</v>
      </c>
    </row>
    <row r="719" spans="1:4" x14ac:dyDescent="0.2">
      <c r="A719" s="5">
        <v>658</v>
      </c>
      <c r="B719" s="1832">
        <f>'Expenditures 15-22'!C15</f>
        <v>14940</v>
      </c>
      <c r="D719" s="2" t="str">
        <f t="shared" si="10"/>
        <v>Error?</v>
      </c>
    </row>
    <row r="720" spans="1:4" x14ac:dyDescent="0.2">
      <c r="A720" s="5">
        <v>659</v>
      </c>
      <c r="B720" s="1832">
        <f>'Expenditures 15-22'!C33</f>
        <v>11648468</v>
      </c>
      <c r="C720" s="2" t="s">
        <v>569</v>
      </c>
      <c r="D720" s="2" t="str">
        <f t="shared" si="10"/>
        <v>Error?</v>
      </c>
    </row>
    <row r="721" spans="1:4" x14ac:dyDescent="0.2">
      <c r="A721" s="5">
        <v>660</v>
      </c>
      <c r="B721" s="1832">
        <f>'Expenditures 15-22'!C36</f>
        <v>303607</v>
      </c>
      <c r="D721" s="2" t="str">
        <f t="shared" si="10"/>
        <v>Error?</v>
      </c>
    </row>
    <row r="722" spans="1:4" x14ac:dyDescent="0.2">
      <c r="A722" s="5">
        <v>661</v>
      </c>
      <c r="B722" s="1832">
        <f>'Expenditures 15-22'!C37</f>
        <v>253351</v>
      </c>
      <c r="D722" s="2" t="str">
        <f t="shared" si="10"/>
        <v>Error?</v>
      </c>
    </row>
    <row r="723" spans="1:4" x14ac:dyDescent="0.2">
      <c r="A723" s="5">
        <v>662</v>
      </c>
      <c r="B723" s="1832">
        <f>'Expenditures 15-22'!C38</f>
        <v>332592</v>
      </c>
      <c r="D723" s="2" t="str">
        <f t="shared" si="10"/>
        <v>Error?</v>
      </c>
    </row>
    <row r="724" spans="1:4" x14ac:dyDescent="0.2">
      <c r="A724" s="5">
        <v>663</v>
      </c>
      <c r="B724" s="1832">
        <f>'Expenditures 15-22'!C39</f>
        <v>258748</v>
      </c>
      <c r="D724" s="2" t="str">
        <f t="shared" si="10"/>
        <v>Error?</v>
      </c>
    </row>
    <row r="725" spans="1:4" x14ac:dyDescent="0.2">
      <c r="A725" s="5">
        <v>664</v>
      </c>
      <c r="B725" s="1832">
        <f>'Expenditures 15-22'!C40</f>
        <v>258273</v>
      </c>
      <c r="D725" s="2" t="str">
        <f t="shared" si="10"/>
        <v>Error?</v>
      </c>
    </row>
    <row r="726" spans="1:4" x14ac:dyDescent="0.2">
      <c r="A726" s="5">
        <v>665</v>
      </c>
      <c r="B726" s="1832">
        <f>'Expenditures 15-22'!C41</f>
        <v>160122</v>
      </c>
      <c r="D726" s="2" t="str">
        <f t="shared" si="10"/>
        <v>Error?</v>
      </c>
    </row>
    <row r="727" spans="1:4" x14ac:dyDescent="0.2">
      <c r="A727" s="5">
        <v>666</v>
      </c>
      <c r="B727" s="1832">
        <f>'Expenditures 15-22'!C42</f>
        <v>1566693</v>
      </c>
      <c r="C727" s="2" t="s">
        <v>569</v>
      </c>
      <c r="D727" s="2" t="str">
        <f t="shared" si="10"/>
        <v>Error?</v>
      </c>
    </row>
    <row r="728" spans="1:4" x14ac:dyDescent="0.2">
      <c r="A728" s="5">
        <v>667</v>
      </c>
      <c r="B728" s="1832">
        <f>'Expenditures 15-22'!C44</f>
        <v>267643</v>
      </c>
      <c r="D728" s="2" t="str">
        <f t="shared" si="10"/>
        <v>Error?</v>
      </c>
    </row>
    <row r="729" spans="1:4" x14ac:dyDescent="0.2">
      <c r="A729" s="5">
        <v>668</v>
      </c>
      <c r="B729" s="1832">
        <f>'Expenditures 15-22'!C45</f>
        <v>271629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539272</v>
      </c>
      <c r="C731" s="2" t="s">
        <v>569</v>
      </c>
      <c r="D731" s="2" t="str">
        <f t="shared" si="10"/>
        <v>Error?</v>
      </c>
    </row>
    <row r="732" spans="1:4" x14ac:dyDescent="0.2">
      <c r="A732" s="5">
        <v>671</v>
      </c>
      <c r="B732" s="1832">
        <f>'Expenditures 15-22'!C49</f>
        <v>33625</v>
      </c>
      <c r="D732" s="2" t="str">
        <f t="shared" si="10"/>
        <v>Error?</v>
      </c>
    </row>
    <row r="733" spans="1:4" x14ac:dyDescent="0.2">
      <c r="A733" s="5">
        <v>672</v>
      </c>
      <c r="B733" s="1832">
        <f>'Expenditures 15-22'!C50</f>
        <v>248197</v>
      </c>
      <c r="D733" s="2" t="str">
        <f t="shared" si="10"/>
        <v>Error?</v>
      </c>
    </row>
    <row r="734" spans="1:4" x14ac:dyDescent="0.2">
      <c r="A734" s="5">
        <v>673</v>
      </c>
      <c r="B734" s="1832">
        <f>'Expenditures 15-22'!C53</f>
        <v>470788</v>
      </c>
      <c r="C734" s="2" t="s">
        <v>569</v>
      </c>
      <c r="D734" s="2" t="str">
        <f t="shared" si="10"/>
        <v>Error?</v>
      </c>
    </row>
    <row r="735" spans="1:4" x14ac:dyDescent="0.2">
      <c r="A735" s="5">
        <v>674</v>
      </c>
      <c r="B735" s="1832">
        <f>'Expenditures 15-22'!C55</f>
        <v>1497245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1497245</v>
      </c>
      <c r="C737" s="2" t="s">
        <v>569</v>
      </c>
      <c r="D737" s="2" t="str">
        <f t="shared" si="10"/>
        <v>Error?</v>
      </c>
    </row>
    <row r="738" spans="1:4" x14ac:dyDescent="0.2">
      <c r="A738" s="5">
        <v>677</v>
      </c>
      <c r="B738" s="1832">
        <f>'Expenditures 15-22'!C59</f>
        <v>117349</v>
      </c>
      <c r="D738" s="2" t="str">
        <f t="shared" si="10"/>
        <v>Error?</v>
      </c>
    </row>
    <row r="739" spans="1:4" x14ac:dyDescent="0.2">
      <c r="A739" s="5">
        <v>678</v>
      </c>
      <c r="B739" s="1832">
        <f>'Expenditures 15-22'!C60</f>
        <v>176150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293499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86482</v>
      </c>
      <c r="D748" s="2" t="str">
        <f t="shared" si="10"/>
        <v>Error?</v>
      </c>
    </row>
    <row r="749" spans="1:4" x14ac:dyDescent="0.2">
      <c r="A749" s="5">
        <v>688</v>
      </c>
      <c r="B749" s="1832">
        <f>'Expenditures 15-22'!C70</f>
        <v>136159</v>
      </c>
      <c r="D749" s="2" t="str">
        <f t="shared" si="10"/>
        <v>Error?</v>
      </c>
    </row>
    <row r="750" spans="1:4" x14ac:dyDescent="0.2">
      <c r="A750" s="10">
        <v>689</v>
      </c>
      <c r="B750" s="1832"/>
      <c r="D750" s="2" t="str">
        <f t="shared" si="10"/>
        <v>OK</v>
      </c>
    </row>
    <row r="751" spans="1:4" x14ac:dyDescent="0.2">
      <c r="A751" s="5">
        <v>690</v>
      </c>
      <c r="B751" s="1832">
        <f>'Expenditures 15-22'!C71</f>
        <v>254129</v>
      </c>
      <c r="D751" s="2" t="str">
        <f t="shared" si="10"/>
        <v>Error?</v>
      </c>
    </row>
    <row r="752" spans="1:4" x14ac:dyDescent="0.2">
      <c r="A752" s="10">
        <v>691</v>
      </c>
      <c r="B752" s="1832"/>
      <c r="D752" s="2" t="str">
        <f t="shared" si="10"/>
        <v>OK</v>
      </c>
    </row>
    <row r="753" spans="1:4" x14ac:dyDescent="0.2">
      <c r="A753" s="5">
        <v>692</v>
      </c>
      <c r="B753" s="1832">
        <f>'Expenditures 15-22'!C72</f>
        <v>476770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4844267</v>
      </c>
      <c r="C755" s="2" t="s">
        <v>569</v>
      </c>
      <c r="D755" s="2" t="str">
        <f t="shared" si="10"/>
        <v>Error?</v>
      </c>
    </row>
    <row r="756" spans="1:4" x14ac:dyDescent="0.2">
      <c r="A756" s="5">
        <v>695</v>
      </c>
      <c r="B756" s="1832">
        <f>'Expenditures 15-22'!C75</f>
        <v>38269</v>
      </c>
      <c r="D756" s="2" t="str">
        <f t="shared" si="10"/>
        <v>Error?</v>
      </c>
    </row>
    <row r="757" spans="1:4" x14ac:dyDescent="0.2">
      <c r="A757" s="5">
        <v>696</v>
      </c>
      <c r="B757" s="1832">
        <f>'Expenditures 15-22'!C114</f>
        <v>16531004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2343453</v>
      </c>
      <c r="D763" s="2" t="str">
        <f t="shared" si="10"/>
        <v>Error?</v>
      </c>
    </row>
    <row r="764" spans="1:4" x14ac:dyDescent="0.2">
      <c r="A764" s="5">
        <v>703</v>
      </c>
      <c r="B764" s="1832">
        <f>'Expenditures 15-22'!D16</f>
        <v>5799</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78240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72804</v>
      </c>
      <c r="D775" s="2" t="str">
        <f t="shared" si="11"/>
        <v>Error?</v>
      </c>
    </row>
    <row r="776" spans="1:4" x14ac:dyDescent="0.2">
      <c r="A776" s="5">
        <v>715</v>
      </c>
      <c r="B776" s="1832">
        <f>'Expenditures 15-22'!D14</f>
        <v>54580</v>
      </c>
      <c r="D776" s="2" t="str">
        <f t="shared" si="11"/>
        <v>Error?</v>
      </c>
    </row>
    <row r="777" spans="1:4" x14ac:dyDescent="0.2">
      <c r="A777" s="5">
        <v>716</v>
      </c>
      <c r="B777" s="1832">
        <f>'Expenditures 15-22'!D15</f>
        <v>2633</v>
      </c>
      <c r="D777" s="2" t="str">
        <f t="shared" si="11"/>
        <v>Error?</v>
      </c>
    </row>
    <row r="778" spans="1:4" x14ac:dyDescent="0.2">
      <c r="A778" s="5">
        <v>717</v>
      </c>
      <c r="B778" s="1832">
        <f>'Expenditures 15-22'!D33</f>
        <v>3495004</v>
      </c>
      <c r="C778" s="2" t="s">
        <v>569</v>
      </c>
      <c r="D778" s="2" t="str">
        <f t="shared" si="11"/>
        <v>Error?</v>
      </c>
    </row>
    <row r="779" spans="1:4" x14ac:dyDescent="0.2">
      <c r="A779" s="5">
        <v>718</v>
      </c>
      <c r="B779" s="1832">
        <f>'Expenditures 15-22'!D36</f>
        <v>104323</v>
      </c>
      <c r="D779" s="2" t="str">
        <f t="shared" si="11"/>
        <v>Error?</v>
      </c>
    </row>
    <row r="780" spans="1:4" x14ac:dyDescent="0.2">
      <c r="A780" s="5">
        <v>719</v>
      </c>
      <c r="B780" s="1832">
        <f>'Expenditures 15-22'!D37</f>
        <v>53373</v>
      </c>
      <c r="D780" s="2" t="str">
        <f t="shared" si="11"/>
        <v>Error?</v>
      </c>
    </row>
    <row r="781" spans="1:4" x14ac:dyDescent="0.2">
      <c r="A781" s="5">
        <v>720</v>
      </c>
      <c r="B781" s="1832">
        <f>'Expenditures 15-22'!D38</f>
        <v>72688</v>
      </c>
      <c r="D781" s="2" t="str">
        <f t="shared" si="11"/>
        <v>Error?</v>
      </c>
    </row>
    <row r="782" spans="1:4" x14ac:dyDescent="0.2">
      <c r="A782" s="5">
        <v>721</v>
      </c>
      <c r="B782" s="1832">
        <f>'Expenditures 15-22'!D39</f>
        <v>74729</v>
      </c>
      <c r="D782" s="2" t="str">
        <f t="shared" si="11"/>
        <v>Error?</v>
      </c>
    </row>
    <row r="783" spans="1:4" x14ac:dyDescent="0.2">
      <c r="A783" s="5">
        <v>722</v>
      </c>
      <c r="B783" s="1832">
        <f>'Expenditures 15-22'!D40</f>
        <v>80155</v>
      </c>
      <c r="D783" s="2" t="str">
        <f t="shared" si="11"/>
        <v>Error?</v>
      </c>
    </row>
    <row r="784" spans="1:4" x14ac:dyDescent="0.2">
      <c r="A784" s="5">
        <v>723</v>
      </c>
      <c r="B784" s="1832">
        <f>'Expenditures 15-22'!D41</f>
        <v>27150</v>
      </c>
      <c r="D784" s="2" t="str">
        <f t="shared" si="11"/>
        <v>Error?</v>
      </c>
    </row>
    <row r="785" spans="1:4" x14ac:dyDescent="0.2">
      <c r="A785" s="5">
        <v>724</v>
      </c>
      <c r="B785" s="1832">
        <f>'Expenditures 15-22'!D42</f>
        <v>412418</v>
      </c>
      <c r="C785" s="2" t="s">
        <v>569</v>
      </c>
      <c r="D785" s="2" t="str">
        <f t="shared" si="11"/>
        <v>Error?</v>
      </c>
    </row>
    <row r="786" spans="1:4" x14ac:dyDescent="0.2">
      <c r="A786" s="5">
        <v>725</v>
      </c>
      <c r="B786" s="1832">
        <f>'Expenditures 15-22'!D44</f>
        <v>82124</v>
      </c>
      <c r="D786" s="2" t="str">
        <f t="shared" si="11"/>
        <v>Error?</v>
      </c>
    </row>
    <row r="787" spans="1:4" x14ac:dyDescent="0.2">
      <c r="A787" s="5">
        <v>726</v>
      </c>
      <c r="B787" s="1832">
        <f>'Expenditures 15-22'!D45</f>
        <v>88992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171116</v>
      </c>
      <c r="C789" s="2" t="s">
        <v>569</v>
      </c>
      <c r="D789" s="2" t="str">
        <f t="shared" si="11"/>
        <v>Error?</v>
      </c>
    </row>
    <row r="790" spans="1:4" x14ac:dyDescent="0.2">
      <c r="A790" s="5">
        <v>729</v>
      </c>
      <c r="B790" s="1832">
        <f>'Expenditures 15-22'!D49</f>
        <v>8028</v>
      </c>
      <c r="D790" s="2" t="str">
        <f t="shared" si="11"/>
        <v>Error?</v>
      </c>
    </row>
    <row r="791" spans="1:4" x14ac:dyDescent="0.2">
      <c r="A791" s="5">
        <v>730</v>
      </c>
      <c r="B791" s="1832">
        <f>'Expenditures 15-22'!D50</f>
        <v>72533</v>
      </c>
      <c r="D791" s="2" t="str">
        <f t="shared" si="11"/>
        <v>Error?</v>
      </c>
    </row>
    <row r="792" spans="1:4" x14ac:dyDescent="0.2">
      <c r="A792" s="5">
        <v>731</v>
      </c>
      <c r="B792" s="1832">
        <f>'Expenditures 15-22'!D53</f>
        <v>149657</v>
      </c>
      <c r="C792" s="2" t="s">
        <v>569</v>
      </c>
      <c r="D792" s="2" t="str">
        <f t="shared" si="11"/>
        <v>Error?</v>
      </c>
    </row>
    <row r="793" spans="1:4" x14ac:dyDescent="0.2">
      <c r="A793" s="5">
        <v>732</v>
      </c>
      <c r="B793" s="1832">
        <f>'Expenditures 15-22'!D55</f>
        <v>587672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587672</v>
      </c>
      <c r="C795" s="2" t="s">
        <v>569</v>
      </c>
      <c r="D795" s="2" t="str">
        <f t="shared" si="11"/>
        <v>Error?</v>
      </c>
    </row>
    <row r="796" spans="1:4" x14ac:dyDescent="0.2">
      <c r="A796" s="5">
        <v>735</v>
      </c>
      <c r="B796" s="1832">
        <f>'Expenditures 15-22'!D59</f>
        <v>20857</v>
      </c>
      <c r="D796" s="2" t="str">
        <f t="shared" si="11"/>
        <v>Error?</v>
      </c>
    </row>
    <row r="797" spans="1:4" x14ac:dyDescent="0.2">
      <c r="A797" s="5">
        <v>736</v>
      </c>
      <c r="B797" s="1832">
        <f>'Expenditures 15-22'!D60</f>
        <v>52178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73035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830</v>
      </c>
      <c r="D806" s="2" t="str">
        <f t="shared" si="11"/>
        <v>Error?</v>
      </c>
    </row>
    <row r="807" spans="1:4" x14ac:dyDescent="0.2">
      <c r="A807" s="5">
        <v>746</v>
      </c>
      <c r="B807" s="1832">
        <f>'Expenditures 15-22'!D70</f>
        <v>44355</v>
      </c>
      <c r="D807" s="2" t="str">
        <f t="shared" si="11"/>
        <v>Error?</v>
      </c>
    </row>
    <row r="808" spans="1:4" x14ac:dyDescent="0.2">
      <c r="A808" s="10">
        <v>747</v>
      </c>
      <c r="B808" s="1832"/>
      <c r="D808" s="2" t="str">
        <f t="shared" si="11"/>
        <v>OK</v>
      </c>
    </row>
    <row r="809" spans="1:4" x14ac:dyDescent="0.2">
      <c r="A809" s="5">
        <v>748</v>
      </c>
      <c r="B809" s="1832">
        <f>'Expenditures 15-22'!D71</f>
        <v>82519</v>
      </c>
      <c r="D809" s="2" t="str">
        <f t="shared" si="11"/>
        <v>Error?</v>
      </c>
    </row>
    <row r="810" spans="1:4" x14ac:dyDescent="0.2">
      <c r="A810" s="10">
        <v>749</v>
      </c>
      <c r="B810" s="1832"/>
      <c r="D810" s="2" t="str">
        <f t="shared" si="11"/>
        <v>OK</v>
      </c>
    </row>
    <row r="811" spans="1:4" x14ac:dyDescent="0.2">
      <c r="A811" s="5">
        <v>750</v>
      </c>
      <c r="B811" s="1832">
        <f>'Expenditures 15-22'!D72</f>
        <v>127704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1521602</v>
      </c>
      <c r="C813" s="2" t="s">
        <v>569</v>
      </c>
      <c r="D813" s="2" t="str">
        <f t="shared" si="11"/>
        <v>Error?</v>
      </c>
    </row>
    <row r="814" spans="1:4" x14ac:dyDescent="0.2">
      <c r="A814" s="5">
        <v>753</v>
      </c>
      <c r="B814" s="1832">
        <f>'Expenditures 15-22'!D75</f>
        <v>9219</v>
      </c>
      <c r="D814" s="2" t="str">
        <f t="shared" si="11"/>
        <v>Error?</v>
      </c>
    </row>
    <row r="815" spans="1:4" x14ac:dyDescent="0.2">
      <c r="A815" s="5">
        <v>754</v>
      </c>
      <c r="B815" s="1832">
        <f>'Expenditures 15-22'!D114</f>
        <v>5025825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134050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5157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12030</v>
      </c>
      <c r="D833" s="2" t="str">
        <f t="shared" si="12"/>
        <v>Error?</v>
      </c>
    </row>
    <row r="834" spans="1:4" x14ac:dyDescent="0.2">
      <c r="A834" s="5">
        <v>773</v>
      </c>
      <c r="B834" s="1832">
        <f>'Expenditures 15-22'!E14</f>
        <v>100574</v>
      </c>
      <c r="D834" s="2" t="str">
        <f t="shared" si="12"/>
        <v>Error?</v>
      </c>
    </row>
    <row r="835" spans="1:4" x14ac:dyDescent="0.2">
      <c r="A835" s="5">
        <v>774</v>
      </c>
      <c r="B835" s="1832">
        <f>'Expenditures 15-22'!E15</f>
        <v>2289</v>
      </c>
      <c r="D835" s="2" t="str">
        <f t="shared" si="12"/>
        <v>Error?</v>
      </c>
    </row>
    <row r="836" spans="1:4" x14ac:dyDescent="0.2">
      <c r="A836" s="5">
        <v>775</v>
      </c>
      <c r="B836" s="1832">
        <f>'Expenditures 15-22'!E33</f>
        <v>289649</v>
      </c>
      <c r="C836" s="2" t="s">
        <v>569</v>
      </c>
      <c r="D836" s="2" t="str">
        <f t="shared" si="12"/>
        <v>Error?</v>
      </c>
    </row>
    <row r="837" spans="1:4" x14ac:dyDescent="0.2">
      <c r="A837" s="5">
        <v>776</v>
      </c>
      <c r="B837" s="1832">
        <f>'Expenditures 15-22'!E36</f>
        <v>10148</v>
      </c>
      <c r="D837" s="2" t="str">
        <f t="shared" si="12"/>
        <v>Error?</v>
      </c>
    </row>
    <row r="838" spans="1:4" x14ac:dyDescent="0.2">
      <c r="A838" s="5">
        <v>777</v>
      </c>
      <c r="B838" s="1832">
        <f>'Expenditures 15-22'!E37</f>
        <v>3930</v>
      </c>
      <c r="D838" s="2" t="str">
        <f t="shared" si="12"/>
        <v>Error?</v>
      </c>
    </row>
    <row r="839" spans="1:4" x14ac:dyDescent="0.2">
      <c r="A839" s="5">
        <v>778</v>
      </c>
      <c r="B839" s="1832">
        <f>'Expenditures 15-22'!E38</f>
        <v>1207</v>
      </c>
      <c r="D839" s="2" t="str">
        <f t="shared" si="12"/>
        <v>Error?</v>
      </c>
    </row>
    <row r="840" spans="1:4" x14ac:dyDescent="0.2">
      <c r="A840" s="5">
        <v>779</v>
      </c>
      <c r="B840" s="1832">
        <f>'Expenditures 15-22'!E39</f>
        <v>3115</v>
      </c>
      <c r="D840" s="2" t="str">
        <f t="shared" si="12"/>
        <v>Error?</v>
      </c>
    </row>
    <row r="841" spans="1:4" x14ac:dyDescent="0.2">
      <c r="A841" s="5">
        <v>780</v>
      </c>
      <c r="B841" s="1832">
        <f>'Expenditures 15-22'!E40</f>
        <v>58815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77215</v>
      </c>
      <c r="C843" s="2" t="s">
        <v>569</v>
      </c>
      <c r="D843" s="2" t="str">
        <f t="shared" si="12"/>
        <v>Error?</v>
      </c>
    </row>
    <row r="844" spans="1:4" x14ac:dyDescent="0.2">
      <c r="A844" s="5">
        <v>783</v>
      </c>
      <c r="B844" s="1832">
        <f>'Expenditures 15-22'!E44</f>
        <v>32134</v>
      </c>
      <c r="D844" s="2" t="str">
        <f t="shared" si="12"/>
        <v>Error?</v>
      </c>
    </row>
    <row r="845" spans="1:4" x14ac:dyDescent="0.2">
      <c r="A845" s="5">
        <v>784</v>
      </c>
      <c r="B845" s="1832">
        <f>'Expenditures 15-22'!E45</f>
        <v>38041</v>
      </c>
      <c r="D845" s="2" t="str">
        <f t="shared" si="12"/>
        <v>Error?</v>
      </c>
    </row>
    <row r="846" spans="1:4" x14ac:dyDescent="0.2">
      <c r="A846" s="5">
        <v>785</v>
      </c>
      <c r="B846" s="1832">
        <f>'Expenditures 15-22'!E46</f>
        <v>18455</v>
      </c>
      <c r="D846" s="2" t="str">
        <f t="shared" si="12"/>
        <v>Error?</v>
      </c>
    </row>
    <row r="847" spans="1:4" x14ac:dyDescent="0.2">
      <c r="A847" s="5">
        <v>786</v>
      </c>
      <c r="B847" s="1832">
        <f>'Expenditures 15-22'!E47</f>
        <v>88630</v>
      </c>
      <c r="C847" s="2" t="s">
        <v>569</v>
      </c>
      <c r="D847" s="2" t="str">
        <f t="shared" si="12"/>
        <v>Error?</v>
      </c>
    </row>
    <row r="848" spans="1:4" x14ac:dyDescent="0.2">
      <c r="A848" s="5">
        <v>787</v>
      </c>
      <c r="B848" s="1832">
        <f>'Expenditures 15-22'!E49</f>
        <v>42530</v>
      </c>
      <c r="D848" s="2" t="str">
        <f t="shared" si="12"/>
        <v>Error?</v>
      </c>
    </row>
    <row r="849" spans="1:4" x14ac:dyDescent="0.2">
      <c r="A849" s="5">
        <v>788</v>
      </c>
      <c r="B849" s="1832">
        <f>'Expenditures 15-22'!E50</f>
        <v>2311</v>
      </c>
      <c r="D849" s="2" t="str">
        <f t="shared" si="12"/>
        <v>Error?</v>
      </c>
    </row>
    <row r="850" spans="1:4" x14ac:dyDescent="0.2">
      <c r="A850" s="5">
        <v>789</v>
      </c>
      <c r="B850" s="1832">
        <f>'Expenditures 15-22'!E53</f>
        <v>284538</v>
      </c>
      <c r="C850" s="2" t="s">
        <v>569</v>
      </c>
      <c r="D850" s="2" t="str">
        <f t="shared" si="12"/>
        <v>Error?</v>
      </c>
    </row>
    <row r="851" spans="1:4" x14ac:dyDescent="0.2">
      <c r="A851" s="5">
        <v>790</v>
      </c>
      <c r="B851" s="1832">
        <f>'Expenditures 15-22'!E55</f>
        <v>26340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26340</v>
      </c>
      <c r="C853" s="2" t="s">
        <v>569</v>
      </c>
      <c r="D853" s="2" t="str">
        <f t="shared" si="12"/>
        <v>Error?</v>
      </c>
    </row>
    <row r="854" spans="1:4" x14ac:dyDescent="0.2">
      <c r="A854" s="5">
        <v>793</v>
      </c>
      <c r="B854" s="1832">
        <f>'Expenditures 15-22'!E59</f>
        <v>1498</v>
      </c>
      <c r="D854" s="2" t="str">
        <f t="shared" si="12"/>
        <v>Error?</v>
      </c>
    </row>
    <row r="855" spans="1:4" x14ac:dyDescent="0.2">
      <c r="A855" s="5">
        <v>794</v>
      </c>
      <c r="B855" s="1832">
        <f>'Expenditures 15-22'!E60</f>
        <v>28831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286459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316788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32288</v>
      </c>
      <c r="D864" s="2" t="str">
        <f t="shared" si="12"/>
        <v>Error?</v>
      </c>
    </row>
    <row r="865" spans="1:4" x14ac:dyDescent="0.2">
      <c r="A865" s="5">
        <v>804</v>
      </c>
      <c r="B865" s="1832">
        <f>'Expenditures 15-22'!E70</f>
        <v>21830</v>
      </c>
      <c r="D865" s="2" t="str">
        <f t="shared" si="12"/>
        <v>Error?</v>
      </c>
    </row>
    <row r="866" spans="1:4" x14ac:dyDescent="0.2">
      <c r="A866" s="10">
        <v>805</v>
      </c>
      <c r="B866" s="1832"/>
      <c r="D866" s="2" t="str">
        <f t="shared" si="12"/>
        <v>OK</v>
      </c>
    </row>
    <row r="867" spans="1:4" x14ac:dyDescent="0.2">
      <c r="A867" s="5">
        <v>806</v>
      </c>
      <c r="B867" s="1832">
        <f>'Expenditures 15-22'!E71</f>
        <v>301038</v>
      </c>
      <c r="D867" s="2" t="str">
        <f t="shared" si="12"/>
        <v>Error?</v>
      </c>
    </row>
    <row r="868" spans="1:4" x14ac:dyDescent="0.2">
      <c r="A868" s="10">
        <v>807</v>
      </c>
      <c r="B868" s="1832"/>
      <c r="D868" s="2" t="str">
        <f t="shared" si="12"/>
        <v>OK</v>
      </c>
    </row>
    <row r="869" spans="1:4" x14ac:dyDescent="0.2">
      <c r="A869" s="5">
        <v>808</v>
      </c>
      <c r="B869" s="1832">
        <f>'Expenditures 15-22'!E72</f>
        <v>355156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1148667</v>
      </c>
      <c r="C871" s="2" t="s">
        <v>569</v>
      </c>
      <c r="D871" s="2" t="str">
        <f t="shared" si="12"/>
        <v>Error?</v>
      </c>
    </row>
    <row r="872" spans="1:4" x14ac:dyDescent="0.2">
      <c r="A872" s="5">
        <v>811</v>
      </c>
      <c r="B872" s="1832">
        <f>'Expenditures 15-22'!E75</f>
        <v>30975</v>
      </c>
      <c r="D872" s="2" t="str">
        <f t="shared" si="12"/>
        <v>Error?</v>
      </c>
    </row>
    <row r="873" spans="1:4" x14ac:dyDescent="0.2">
      <c r="A873" s="5">
        <v>812</v>
      </c>
      <c r="B873" s="1832">
        <f>'Expenditures 15-22'!E114</f>
        <v>1706313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254594</v>
      </c>
      <c r="D879" s="2" t="str">
        <f t="shared" si="12"/>
        <v>Error?</v>
      </c>
    </row>
    <row r="880" spans="1:4" x14ac:dyDescent="0.2">
      <c r="A880" s="5">
        <v>819</v>
      </c>
      <c r="B880" s="1832">
        <f>'Expenditures 15-22'!F16</f>
        <v>1273</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1003</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15441</v>
      </c>
      <c r="D891" s="2" t="str">
        <f t="shared" si="12"/>
        <v>Error?</v>
      </c>
    </row>
    <row r="892" spans="1:4" x14ac:dyDescent="0.2">
      <c r="A892" s="5">
        <v>831</v>
      </c>
      <c r="B892" s="1832">
        <f>'Expenditures 15-22'!F14</f>
        <v>57628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369803</v>
      </c>
      <c r="C894" s="2" t="s">
        <v>569</v>
      </c>
      <c r="D894" s="2" t="str">
        <f t="shared" si="12"/>
        <v>Error?</v>
      </c>
    </row>
    <row r="895" spans="1:4" x14ac:dyDescent="0.2">
      <c r="A895" s="5">
        <v>834</v>
      </c>
      <c r="B895" s="1832">
        <f>'Expenditures 15-22'!F36</f>
        <v>184</v>
      </c>
      <c r="D895" s="2" t="str">
        <f t="shared" ref="D895:D958" si="13">IF(ISBLANK(B895),"OK",IF(A895-B895=0,"OK","Error?"))</f>
        <v>Error?</v>
      </c>
    </row>
    <row r="896" spans="1:4" x14ac:dyDescent="0.2">
      <c r="A896" s="5">
        <v>835</v>
      </c>
      <c r="B896" s="1832">
        <f>'Expenditures 15-22'!F37</f>
        <v>1249</v>
      </c>
      <c r="D896" s="2" t="str">
        <f t="shared" si="13"/>
        <v>Error?</v>
      </c>
    </row>
    <row r="897" spans="1:4" x14ac:dyDescent="0.2">
      <c r="A897" s="5">
        <v>836</v>
      </c>
      <c r="B897" s="1832">
        <f>'Expenditures 15-22'!F38</f>
        <v>3786</v>
      </c>
      <c r="D897" s="2" t="str">
        <f t="shared" si="13"/>
        <v>Error?</v>
      </c>
    </row>
    <row r="898" spans="1:4" x14ac:dyDescent="0.2">
      <c r="A898" s="5">
        <v>837</v>
      </c>
      <c r="B898" s="1832">
        <f>'Expenditures 15-22'!F39</f>
        <v>2564</v>
      </c>
      <c r="D898" s="2" t="str">
        <f t="shared" si="13"/>
        <v>Error?</v>
      </c>
    </row>
    <row r="899" spans="1:4" x14ac:dyDescent="0.2">
      <c r="A899" s="5">
        <v>838</v>
      </c>
      <c r="B899" s="1832">
        <f>'Expenditures 15-22'!F40</f>
        <v>1270</v>
      </c>
      <c r="D899" s="2" t="str">
        <f t="shared" si="13"/>
        <v>Error?</v>
      </c>
    </row>
    <row r="900" spans="1:4" x14ac:dyDescent="0.2">
      <c r="A900" s="5">
        <v>839</v>
      </c>
      <c r="B900" s="1832">
        <f>'Expenditures 15-22'!F41</f>
        <v>760</v>
      </c>
      <c r="D900" s="2" t="str">
        <f t="shared" si="13"/>
        <v>Error?</v>
      </c>
    </row>
    <row r="901" spans="1:4" x14ac:dyDescent="0.2">
      <c r="A901" s="5">
        <v>840</v>
      </c>
      <c r="B901" s="1832">
        <f>'Expenditures 15-22'!F42</f>
        <v>9813</v>
      </c>
      <c r="C901" s="2" t="s">
        <v>569</v>
      </c>
      <c r="D901" s="2" t="str">
        <f t="shared" si="13"/>
        <v>Error?</v>
      </c>
    </row>
    <row r="902" spans="1:4" x14ac:dyDescent="0.2">
      <c r="A902" s="5">
        <v>841</v>
      </c>
      <c r="B902" s="1832">
        <f>'Expenditures 15-22'!F44</f>
        <v>2182</v>
      </c>
      <c r="D902" s="2" t="str">
        <f t="shared" si="13"/>
        <v>Error?</v>
      </c>
    </row>
    <row r="903" spans="1:4" x14ac:dyDescent="0.2">
      <c r="A903" s="5">
        <v>842</v>
      </c>
      <c r="B903" s="1832">
        <f>'Expenditures 15-22'!F45</f>
        <v>50219</v>
      </c>
      <c r="D903" s="2" t="str">
        <f t="shared" si="13"/>
        <v>Error?</v>
      </c>
    </row>
    <row r="904" spans="1:4" x14ac:dyDescent="0.2">
      <c r="A904" s="5">
        <v>843</v>
      </c>
      <c r="B904" s="1832">
        <f>'Expenditures 15-22'!F46</f>
        <v>2559</v>
      </c>
      <c r="D904" s="2" t="str">
        <f t="shared" si="13"/>
        <v>Error?</v>
      </c>
    </row>
    <row r="905" spans="1:4" x14ac:dyDescent="0.2">
      <c r="A905" s="5">
        <v>844</v>
      </c>
      <c r="B905" s="1832">
        <f>'Expenditures 15-22'!F47</f>
        <v>54960</v>
      </c>
      <c r="C905" s="2" t="s">
        <v>569</v>
      </c>
      <c r="D905" s="2" t="str">
        <f t="shared" si="13"/>
        <v>Error?</v>
      </c>
    </row>
    <row r="906" spans="1:4" x14ac:dyDescent="0.2">
      <c r="A906" s="5">
        <v>845</v>
      </c>
      <c r="B906" s="1832">
        <f>'Expenditures 15-22'!F49</f>
        <v>1078</v>
      </c>
      <c r="D906" s="2" t="str">
        <f t="shared" si="13"/>
        <v>Error?</v>
      </c>
    </row>
    <row r="907" spans="1:4" x14ac:dyDescent="0.2">
      <c r="A907" s="5">
        <v>846</v>
      </c>
      <c r="B907" s="1832">
        <f>'Expenditures 15-22'!F50</f>
        <v>6715</v>
      </c>
      <c r="D907" s="2" t="str">
        <f t="shared" si="13"/>
        <v>Error?</v>
      </c>
    </row>
    <row r="908" spans="1:4" x14ac:dyDescent="0.2">
      <c r="A908" s="5">
        <v>847</v>
      </c>
      <c r="B908" s="1832">
        <f>'Expenditures 15-22'!F53</f>
        <v>8531</v>
      </c>
      <c r="C908" s="2" t="s">
        <v>569</v>
      </c>
      <c r="D908" s="2" t="str">
        <f t="shared" si="13"/>
        <v>Error?</v>
      </c>
    </row>
    <row r="909" spans="1:4" x14ac:dyDescent="0.2">
      <c r="A909" s="5">
        <v>848</v>
      </c>
      <c r="B909" s="1832">
        <f>'Expenditures 15-22'!F55</f>
        <v>19971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19971</v>
      </c>
      <c r="C911" s="2" t="s">
        <v>569</v>
      </c>
      <c r="D911" s="2" t="str">
        <f t="shared" si="13"/>
        <v>Error?</v>
      </c>
    </row>
    <row r="912" spans="1:4" x14ac:dyDescent="0.2">
      <c r="A912" s="5">
        <v>851</v>
      </c>
      <c r="B912" s="1832">
        <f>'Expenditures 15-22'!F59</f>
        <v>55</v>
      </c>
      <c r="D912" s="2" t="str">
        <f t="shared" si="13"/>
        <v>Error?</v>
      </c>
    </row>
    <row r="913" spans="1:4" x14ac:dyDescent="0.2">
      <c r="A913" s="5">
        <v>852</v>
      </c>
      <c r="B913" s="1832">
        <f>'Expenditures 15-22'!F60</f>
        <v>4287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3990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8332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716</v>
      </c>
      <c r="D922" s="2" t="str">
        <f t="shared" si="13"/>
        <v>Error?</v>
      </c>
    </row>
    <row r="923" spans="1:4" x14ac:dyDescent="0.2">
      <c r="A923" s="5">
        <v>862</v>
      </c>
      <c r="B923" s="1832">
        <f>'Expenditures 15-22'!F70</f>
        <v>1784</v>
      </c>
      <c r="D923" s="2" t="str">
        <f t="shared" si="13"/>
        <v>Error?</v>
      </c>
    </row>
    <row r="924" spans="1:4" x14ac:dyDescent="0.2">
      <c r="A924" s="10">
        <v>863</v>
      </c>
      <c r="B924" s="1832"/>
      <c r="D924" s="2" t="str">
        <f t="shared" si="13"/>
        <v>OK</v>
      </c>
    </row>
    <row r="925" spans="1:4" x14ac:dyDescent="0.2">
      <c r="A925" s="5">
        <v>864</v>
      </c>
      <c r="B925" s="1832">
        <f>'Expenditures 15-22'!F71</f>
        <v>22788</v>
      </c>
      <c r="D925" s="2" t="str">
        <f t="shared" si="13"/>
        <v>Error?</v>
      </c>
    </row>
    <row r="926" spans="1:4" x14ac:dyDescent="0.2">
      <c r="A926" s="10">
        <v>865</v>
      </c>
      <c r="B926" s="1832"/>
      <c r="D926" s="2" t="str">
        <f t="shared" si="13"/>
        <v>OK</v>
      </c>
    </row>
    <row r="927" spans="1:4" x14ac:dyDescent="0.2">
      <c r="A927" s="5">
        <v>866</v>
      </c>
      <c r="B927" s="1832">
        <f>'Expenditures 15-22'!F72</f>
        <v>25288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126895</v>
      </c>
      <c r="C929" s="2" t="s">
        <v>569</v>
      </c>
      <c r="D929" s="2" t="str">
        <f t="shared" si="13"/>
        <v>Error?</v>
      </c>
    </row>
    <row r="930" spans="1:4" x14ac:dyDescent="0.2">
      <c r="A930" s="5">
        <v>869</v>
      </c>
      <c r="B930" s="1832">
        <f>'Expenditures 15-22'!F75</f>
        <v>19613</v>
      </c>
      <c r="D930" s="2" t="str">
        <f t="shared" si="13"/>
        <v>Error?</v>
      </c>
    </row>
    <row r="931" spans="1:4" x14ac:dyDescent="0.2">
      <c r="A931" s="5">
        <v>870</v>
      </c>
      <c r="B931" s="1832">
        <f>'Expenditures 15-22'!F114</f>
        <v>516311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54170</v>
      </c>
      <c r="D983" s="2" t="str">
        <f t="shared" si="14"/>
        <v>Error?</v>
      </c>
    </row>
    <row r="984" spans="1:4" x14ac:dyDescent="0.2">
      <c r="A984" s="10">
        <v>923</v>
      </c>
      <c r="B984" s="1832"/>
      <c r="D984" s="2" t="str">
        <f t="shared" si="14"/>
        <v>OK</v>
      </c>
    </row>
    <row r="985" spans="1:4" x14ac:dyDescent="0.2">
      <c r="A985" s="5">
        <v>924</v>
      </c>
      <c r="B985" s="1832">
        <f>'Expenditures 15-22'!G72</f>
        <v>54170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54170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54170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12368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21718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946463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80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80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274</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274</v>
      </c>
      <c r="C1021" s="2" t="s">
        <v>569</v>
      </c>
      <c r="D1021" s="2" t="str">
        <f t="shared" si="14"/>
        <v>Error?</v>
      </c>
    </row>
    <row r="1022" spans="1:4" x14ac:dyDescent="0.2">
      <c r="A1022" s="5">
        <v>961</v>
      </c>
      <c r="B1022" s="1832">
        <f>'Expenditures 15-22'!H49</f>
        <v>12198</v>
      </c>
      <c r="D1022" s="2" t="str">
        <f t="shared" si="14"/>
        <v>Error?</v>
      </c>
    </row>
    <row r="1023" spans="1:4" x14ac:dyDescent="0.2">
      <c r="A1023" s="5">
        <v>962</v>
      </c>
      <c r="B1023" s="1832">
        <f>'Expenditures 15-22'!H50</f>
        <v>2056</v>
      </c>
      <c r="D1023" s="2" t="str">
        <f t="shared" ref="D1023:D1086" si="15">IF(ISBLANK(B1023),"OK",IF(A1023-B1023=0,"OK","Error?"))</f>
        <v>Error?</v>
      </c>
    </row>
    <row r="1024" spans="1:4" x14ac:dyDescent="0.2">
      <c r="A1024" s="5">
        <v>963</v>
      </c>
      <c r="B1024" s="1832">
        <f>'Expenditures 15-22'!H53</f>
        <v>14664</v>
      </c>
      <c r="C1024" s="2" t="s">
        <v>569</v>
      </c>
      <c r="D1024" s="2" t="str">
        <f t="shared" si="15"/>
        <v>Error?</v>
      </c>
    </row>
    <row r="1025" spans="1:4" x14ac:dyDescent="0.2">
      <c r="A1025" s="5">
        <v>964</v>
      </c>
      <c r="B1025" s="1832">
        <f>'Expenditures 15-22'!H55</f>
        <v>3067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3067</v>
      </c>
      <c r="C1027" s="2" t="s">
        <v>569</v>
      </c>
      <c r="D1027" s="2" t="str">
        <f t="shared" si="15"/>
        <v>Error?</v>
      </c>
    </row>
    <row r="1028" spans="1:4" x14ac:dyDescent="0.2">
      <c r="A1028" s="5">
        <v>967</v>
      </c>
      <c r="B1028" s="1832">
        <f>'Expenditures 15-22'!H59</f>
        <v>570</v>
      </c>
      <c r="D1028" s="2" t="str">
        <f t="shared" si="15"/>
        <v>Error?</v>
      </c>
    </row>
    <row r="1029" spans="1:4" x14ac:dyDescent="0.2">
      <c r="A1029" s="5">
        <v>968</v>
      </c>
      <c r="B1029" s="1832">
        <f>'Expenditures 15-22'!H60</f>
        <v>150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720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320</v>
      </c>
      <c r="D1038" s="2" t="str">
        <f t="shared" si="15"/>
        <v>Error?</v>
      </c>
    </row>
    <row r="1039" spans="1:4" x14ac:dyDescent="0.2">
      <c r="A1039" s="5">
        <v>978</v>
      </c>
      <c r="B1039" s="1832">
        <f>'Expenditures 15-22'!H70</f>
        <v>675</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995</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19800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1055372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2021635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10815974</v>
      </c>
      <c r="C1093" s="2" t="s">
        <v>569</v>
      </c>
      <c r="D1093" s="2" t="str">
        <f t="shared" si="16"/>
        <v>Error?</v>
      </c>
    </row>
    <row r="1094" spans="1:4" x14ac:dyDescent="0.2">
      <c r="A1094" s="5">
        <v>1033</v>
      </c>
      <c r="B1094" s="1832">
        <f>'Expenditures 15-22'!K16</f>
        <v>55416</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325549</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347833</v>
      </c>
      <c r="C1105" s="2" t="s">
        <v>569</v>
      </c>
      <c r="D1105" s="2" t="str">
        <f t="shared" si="16"/>
        <v>Error?</v>
      </c>
    </row>
    <row r="1106" spans="1:4" x14ac:dyDescent="0.2">
      <c r="A1106" s="5">
        <v>1045</v>
      </c>
      <c r="B1106" s="1832">
        <f>'Expenditures 15-22'!K14</f>
        <v>762459</v>
      </c>
      <c r="C1106" s="2" t="s">
        <v>569</v>
      </c>
      <c r="D1106" s="2" t="str">
        <f t="shared" si="16"/>
        <v>Error?</v>
      </c>
    </row>
    <row r="1107" spans="1:4" x14ac:dyDescent="0.2">
      <c r="A1107" s="5">
        <v>1046</v>
      </c>
      <c r="B1107" s="1832">
        <f>'Expenditures 15-22'!K15</f>
        <v>19862</v>
      </c>
      <c r="C1107" s="2" t="s">
        <v>569</v>
      </c>
      <c r="D1107" s="2" t="str">
        <f t="shared" si="16"/>
        <v>Error?</v>
      </c>
    </row>
    <row r="1108" spans="1:4" x14ac:dyDescent="0.2">
      <c r="A1108" s="5">
        <v>1047</v>
      </c>
      <c r="B1108" s="1832">
        <f>'Expenditures 15-22'!K33</f>
        <v>16769718</v>
      </c>
      <c r="C1108" s="2" t="s">
        <v>569</v>
      </c>
      <c r="D1108" s="2" t="str">
        <f t="shared" si="16"/>
        <v>Error?</v>
      </c>
    </row>
    <row r="1109" spans="1:4" x14ac:dyDescent="0.2">
      <c r="A1109" s="5">
        <v>1048</v>
      </c>
      <c r="B1109" s="1832">
        <f>'Expenditures 15-22'!K36</f>
        <v>418262</v>
      </c>
      <c r="C1109" s="2" t="s">
        <v>569</v>
      </c>
      <c r="D1109" s="2" t="str">
        <f t="shared" si="16"/>
        <v>Error?</v>
      </c>
    </row>
    <row r="1110" spans="1:4" x14ac:dyDescent="0.2">
      <c r="A1110" s="5">
        <v>1049</v>
      </c>
      <c r="B1110" s="1832">
        <f>'Expenditures 15-22'!K37</f>
        <v>311983</v>
      </c>
      <c r="C1110" s="2" t="s">
        <v>569</v>
      </c>
      <c r="D1110" s="2" t="str">
        <f t="shared" si="16"/>
        <v>Error?</v>
      </c>
    </row>
    <row r="1111" spans="1:4" x14ac:dyDescent="0.2">
      <c r="A1111" s="5">
        <v>1050</v>
      </c>
      <c r="B1111" s="1832">
        <f>'Expenditures 15-22'!K38</f>
        <v>410273</v>
      </c>
      <c r="C1111" s="2" t="s">
        <v>569</v>
      </c>
      <c r="D1111" s="2" t="str">
        <f t="shared" si="16"/>
        <v>Error?</v>
      </c>
    </row>
    <row r="1112" spans="1:4" x14ac:dyDescent="0.2">
      <c r="A1112" s="5">
        <v>1051</v>
      </c>
      <c r="B1112" s="1832">
        <f>'Expenditures 15-22'!K39</f>
        <v>339156</v>
      </c>
      <c r="C1112" s="2" t="s">
        <v>569</v>
      </c>
      <c r="D1112" s="2" t="str">
        <f t="shared" si="16"/>
        <v>Error?</v>
      </c>
    </row>
    <row r="1113" spans="1:4" x14ac:dyDescent="0.2">
      <c r="A1113" s="5">
        <v>1052</v>
      </c>
      <c r="B1113" s="1832">
        <f>'Expenditures 15-22'!K40</f>
        <v>398513</v>
      </c>
      <c r="C1113" s="2" t="s">
        <v>569</v>
      </c>
      <c r="D1113" s="2" t="str">
        <f t="shared" si="16"/>
        <v>Error?</v>
      </c>
    </row>
    <row r="1114" spans="1:4" x14ac:dyDescent="0.2">
      <c r="A1114" s="5">
        <v>1053</v>
      </c>
      <c r="B1114" s="1832">
        <f>'Expenditures 15-22'!K41</f>
        <v>188032</v>
      </c>
      <c r="C1114" s="2" t="s">
        <v>569</v>
      </c>
      <c r="D1114" s="2" t="str">
        <f t="shared" si="16"/>
        <v>Error?</v>
      </c>
    </row>
    <row r="1115" spans="1:4" x14ac:dyDescent="0.2">
      <c r="A1115" s="5">
        <v>1054</v>
      </c>
      <c r="B1115" s="1832">
        <f>'Expenditures 15-22'!K42</f>
        <v>2066219</v>
      </c>
      <c r="C1115" s="2" t="s">
        <v>569</v>
      </c>
      <c r="D1115" s="2" t="str">
        <f t="shared" si="16"/>
        <v>Error?</v>
      </c>
    </row>
    <row r="1116" spans="1:4" x14ac:dyDescent="0.2">
      <c r="A1116" s="5">
        <v>1055</v>
      </c>
      <c r="B1116" s="1832">
        <f>'Expenditures 15-22'!K44</f>
        <v>384083</v>
      </c>
      <c r="C1116" s="2" t="s">
        <v>569</v>
      </c>
      <c r="D1116" s="2" t="str">
        <f t="shared" si="16"/>
        <v>Error?</v>
      </c>
    </row>
    <row r="1117" spans="1:4" x14ac:dyDescent="0.2">
      <c r="A1117" s="5">
        <v>1056</v>
      </c>
      <c r="B1117" s="1832">
        <f>'Expenditures 15-22'!K45</f>
        <v>449155</v>
      </c>
      <c r="C1117" s="2" t="s">
        <v>569</v>
      </c>
      <c r="D1117" s="2" t="str">
        <f t="shared" si="16"/>
        <v>Error?</v>
      </c>
    </row>
    <row r="1118" spans="1:4" x14ac:dyDescent="0.2">
      <c r="A1118" s="5">
        <v>1057</v>
      </c>
      <c r="B1118" s="1832">
        <f>'Expenditures 15-22'!K46</f>
        <v>21014</v>
      </c>
      <c r="C1118" s="2" t="s">
        <v>569</v>
      </c>
      <c r="D1118" s="2" t="str">
        <f t="shared" si="16"/>
        <v>Error?</v>
      </c>
    </row>
    <row r="1119" spans="1:4" x14ac:dyDescent="0.2">
      <c r="A1119" s="5">
        <v>1058</v>
      </c>
      <c r="B1119" s="1832">
        <f>'Expenditures 15-22'!K47</f>
        <v>854252</v>
      </c>
      <c r="C1119" s="2" t="s">
        <v>569</v>
      </c>
      <c r="D1119" s="2" t="str">
        <f t="shared" si="16"/>
        <v>Error?</v>
      </c>
    </row>
    <row r="1120" spans="1:4" x14ac:dyDescent="0.2">
      <c r="A1120" s="5">
        <v>1059</v>
      </c>
      <c r="B1120" s="1832">
        <f>'Expenditures 15-22'!K49</f>
        <v>97459</v>
      </c>
      <c r="C1120" s="2" t="s">
        <v>569</v>
      </c>
      <c r="D1120" s="2" t="str">
        <f t="shared" si="16"/>
        <v>Error?</v>
      </c>
    </row>
    <row r="1121" spans="1:4" x14ac:dyDescent="0.2">
      <c r="A1121" s="5">
        <v>1060</v>
      </c>
      <c r="B1121" s="1832">
        <f>'Expenditures 15-22'!K50</f>
        <v>331812</v>
      </c>
      <c r="C1121" s="2" t="s">
        <v>569</v>
      </c>
      <c r="D1121" s="2" t="str">
        <f t="shared" si="16"/>
        <v>Error?</v>
      </c>
    </row>
    <row r="1122" spans="1:4" x14ac:dyDescent="0.2">
      <c r="A1122" s="5">
        <v>1061</v>
      </c>
      <c r="B1122" s="1832">
        <f>'Expenditures 15-22'!K53</f>
        <v>930709</v>
      </c>
      <c r="C1122" s="2" t="s">
        <v>569</v>
      </c>
      <c r="D1122" s="2" t="str">
        <f t="shared" si="16"/>
        <v>Error?</v>
      </c>
    </row>
    <row r="1123" spans="1:4" x14ac:dyDescent="0.2">
      <c r="A1123" s="5">
        <v>1062</v>
      </c>
      <c r="B1123" s="1832">
        <f>'Expenditures 15-22'!K55</f>
        <v>2150459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2150459</v>
      </c>
      <c r="C1125" s="2" t="s">
        <v>569</v>
      </c>
      <c r="D1125" s="2" t="str">
        <f t="shared" si="16"/>
        <v>Error?</v>
      </c>
    </row>
    <row r="1126" spans="1:4" x14ac:dyDescent="0.2">
      <c r="A1126" s="5">
        <v>1065</v>
      </c>
      <c r="B1126" s="1832">
        <f>'Expenditures 15-22'!K59</f>
        <v>140329</v>
      </c>
      <c r="C1126" s="2" t="s">
        <v>569</v>
      </c>
      <c r="D1126" s="2" t="str">
        <f t="shared" si="16"/>
        <v>Error?</v>
      </c>
    </row>
    <row r="1127" spans="1:4" x14ac:dyDescent="0.2">
      <c r="A1127" s="5">
        <v>1066</v>
      </c>
      <c r="B1127" s="1832">
        <f>'Expenditures 15-22'!K60</f>
        <v>264735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297103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702167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120636</v>
      </c>
      <c r="C1136" s="2" t="s">
        <v>569</v>
      </c>
      <c r="D1136" s="2" t="str">
        <f t="shared" si="16"/>
        <v>Error?</v>
      </c>
    </row>
    <row r="1137" spans="1:4" x14ac:dyDescent="0.2">
      <c r="A1137" s="5">
        <v>1076</v>
      </c>
      <c r="B1137" s="1832">
        <f>'Expenditures 15-22'!K70</f>
        <v>204803</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714644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1040083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7743889</v>
      </c>
      <c r="C1143" s="2" t="s">
        <v>569</v>
      </c>
      <c r="D1143" s="2" t="str">
        <f t="shared" si="16"/>
        <v>Error?</v>
      </c>
    </row>
    <row r="1144" spans="1:4" x14ac:dyDescent="0.2">
      <c r="A1144" s="5">
        <v>1083</v>
      </c>
      <c r="B1144" s="1832">
        <f>'Expenditures 15-22'!K75</f>
        <v>98076</v>
      </c>
      <c r="C1144" s="2" t="s">
        <v>569</v>
      </c>
      <c r="D1144" s="2" t="str">
        <f t="shared" si="16"/>
        <v>Error?</v>
      </c>
    </row>
    <row r="1145" spans="1:4" x14ac:dyDescent="0.2">
      <c r="A1145" s="5">
        <v>1084</v>
      </c>
      <c r="B1145" s="1832">
        <f>'Expenditures 15-22'!K102</f>
        <v>1292394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25904077</v>
      </c>
      <c r="C1152" s="2" t="s">
        <v>569</v>
      </c>
      <c r="D1152" s="2" t="str">
        <f t="shared" si="17"/>
        <v>Error?</v>
      </c>
    </row>
    <row r="1153" spans="1:4" x14ac:dyDescent="0.2">
      <c r="A1153" s="5">
        <v>1092</v>
      </c>
      <c r="B1153" s="1832">
        <f>'Expenditures 15-22'!K115</f>
        <v>1398875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1021745</v>
      </c>
      <c r="D1221" s="2" t="str">
        <f t="shared" si="18"/>
        <v>Error?</v>
      </c>
    </row>
    <row r="1222" spans="1:4" x14ac:dyDescent="0.2">
      <c r="A1222" s="10">
        <v>1161</v>
      </c>
      <c r="B1222" s="1832"/>
      <c r="D1222" s="2" t="str">
        <f t="shared" si="18"/>
        <v>OK</v>
      </c>
    </row>
    <row r="1223" spans="1:4" x14ac:dyDescent="0.2">
      <c r="A1223" s="5">
        <v>1162</v>
      </c>
      <c r="B1223" s="1832">
        <f>'Expenditures 15-22'!C127</f>
        <v>1021745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1021745</v>
      </c>
      <c r="C1225" s="2" t="s">
        <v>569</v>
      </c>
      <c r="D1225" s="2" t="str">
        <f t="shared" si="18"/>
        <v>Error?</v>
      </c>
    </row>
    <row r="1226" spans="1:4" x14ac:dyDescent="0.2">
      <c r="A1226" s="5">
        <v>1165</v>
      </c>
      <c r="B1226" s="1832">
        <f>'Expenditures 15-22'!C151</f>
        <v>1021745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204636</v>
      </c>
      <c r="D1229" s="2" t="str">
        <f t="shared" si="18"/>
        <v>Error?</v>
      </c>
    </row>
    <row r="1230" spans="1:4" x14ac:dyDescent="0.2">
      <c r="A1230" s="10">
        <v>1169</v>
      </c>
      <c r="B1230" s="1832"/>
      <c r="D1230" s="2" t="str">
        <f t="shared" si="18"/>
        <v>OK</v>
      </c>
    </row>
    <row r="1231" spans="1:4" x14ac:dyDescent="0.2">
      <c r="A1231" s="5">
        <v>1170</v>
      </c>
      <c r="B1231" s="1832">
        <f>'Expenditures 15-22'!D127</f>
        <v>204636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204636</v>
      </c>
      <c r="C1233" s="2" t="s">
        <v>569</v>
      </c>
      <c r="D1233" s="2" t="str">
        <f t="shared" si="18"/>
        <v>Error?</v>
      </c>
    </row>
    <row r="1234" spans="1:4" x14ac:dyDescent="0.2">
      <c r="A1234" s="5">
        <v>1173</v>
      </c>
      <c r="B1234" s="1832">
        <f>'Expenditures 15-22'!D151</f>
        <v>204636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420455</v>
      </c>
      <c r="D1237" s="2" t="str">
        <f t="shared" si="18"/>
        <v>Error?</v>
      </c>
    </row>
    <row r="1238" spans="1:4" x14ac:dyDescent="0.2">
      <c r="A1238" s="10">
        <v>1177</v>
      </c>
      <c r="B1238" s="1832"/>
      <c r="D1238" s="2" t="str">
        <f t="shared" si="18"/>
        <v>OK</v>
      </c>
    </row>
    <row r="1239" spans="1:4" x14ac:dyDescent="0.2">
      <c r="A1239" s="5">
        <v>1178</v>
      </c>
      <c r="B1239" s="1832">
        <f>'Expenditures 15-22'!E127</f>
        <v>420455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420455</v>
      </c>
      <c r="C1241" s="2" t="s">
        <v>569</v>
      </c>
      <c r="D1241" s="2" t="str">
        <f t="shared" si="18"/>
        <v>Error?</v>
      </c>
    </row>
    <row r="1242" spans="1:4" x14ac:dyDescent="0.2">
      <c r="A1242" s="5">
        <v>1181</v>
      </c>
      <c r="B1242" s="1832">
        <f>'Expenditures 15-22'!E151</f>
        <v>420455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625684</v>
      </c>
      <c r="D1245" s="2" t="str">
        <f t="shared" si="18"/>
        <v>Error?</v>
      </c>
    </row>
    <row r="1246" spans="1:4" x14ac:dyDescent="0.2">
      <c r="A1246" s="10">
        <v>1185</v>
      </c>
      <c r="B1246" s="1832"/>
      <c r="D1246" s="2" t="str">
        <f t="shared" si="18"/>
        <v>OK</v>
      </c>
    </row>
    <row r="1247" spans="1:4" x14ac:dyDescent="0.2">
      <c r="A1247" s="5">
        <v>1186</v>
      </c>
      <c r="B1247" s="1832">
        <f>'Expenditures 15-22'!F127</f>
        <v>625684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625684</v>
      </c>
      <c r="C1249" s="2" t="s">
        <v>569</v>
      </c>
      <c r="D1249" s="2" t="str">
        <f t="shared" si="18"/>
        <v>Error?</v>
      </c>
    </row>
    <row r="1250" spans="1:4" x14ac:dyDescent="0.2">
      <c r="A1250" s="5">
        <v>1189</v>
      </c>
      <c r="B1250" s="1832">
        <f>'Expenditures 15-22'!F151</f>
        <v>625684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95593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95593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95593</v>
      </c>
      <c r="C1258" s="2" t="s">
        <v>569</v>
      </c>
      <c r="D1258" s="2" t="str">
        <f t="shared" si="18"/>
        <v>Error?</v>
      </c>
    </row>
    <row r="1259" spans="1:4" x14ac:dyDescent="0.2">
      <c r="A1259" s="5">
        <v>1198</v>
      </c>
      <c r="B1259" s="1832">
        <f>'Expenditures 15-22'!G151</f>
        <v>95593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2495666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2495666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2495666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2495666</v>
      </c>
      <c r="C1288" s="2" t="s">
        <v>569</v>
      </c>
      <c r="D1288" s="2" t="str">
        <f t="shared" si="19"/>
        <v>Error?</v>
      </c>
    </row>
    <row r="1289" spans="1:4" x14ac:dyDescent="0.2">
      <c r="A1289" s="5">
        <v>1228</v>
      </c>
      <c r="B1289" s="1832">
        <f>'Expenditures 15-22'!K152</f>
        <v>816479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585394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1472958</v>
      </c>
      <c r="D1315" s="2" t="str">
        <f t="shared" si="19"/>
        <v>Error?</v>
      </c>
    </row>
    <row r="1316" spans="1:4" x14ac:dyDescent="0.2">
      <c r="A1316" s="5">
        <v>1255</v>
      </c>
      <c r="B1316" s="1832">
        <f>'Expenditures 15-22'!H171</f>
        <v>1250</v>
      </c>
      <c r="D1316" s="2" t="str">
        <f t="shared" si="19"/>
        <v>Error?</v>
      </c>
    </row>
    <row r="1317" spans="1:4" x14ac:dyDescent="0.2">
      <c r="A1317" s="5">
        <v>1256</v>
      </c>
      <c r="B1317" s="1832">
        <f>'Expenditures 15-22'!H172</f>
        <v>2059602</v>
      </c>
      <c r="C1317" s="2" t="s">
        <v>569</v>
      </c>
      <c r="D1317" s="2" t="str">
        <f t="shared" si="19"/>
        <v>Error?</v>
      </c>
    </row>
    <row r="1318" spans="1:4" x14ac:dyDescent="0.2">
      <c r="A1318" s="5">
        <v>1257</v>
      </c>
      <c r="B1318" s="1832">
        <f>'Expenditures 15-22'!H174</f>
        <v>2059602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585394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1472958</v>
      </c>
      <c r="C1329" s="2" t="s">
        <v>569</v>
      </c>
      <c r="D1329" s="2" t="str">
        <f t="shared" si="19"/>
        <v>Error?</v>
      </c>
    </row>
    <row r="1330" spans="1:4" x14ac:dyDescent="0.2">
      <c r="A1330" s="5">
        <v>1269</v>
      </c>
      <c r="B1330" s="1832">
        <f>'Expenditures 15-22'!K171</f>
        <v>1250</v>
      </c>
      <c r="C1330" s="2" t="s">
        <v>569</v>
      </c>
      <c r="D1330" s="2" t="str">
        <f t="shared" si="19"/>
        <v>Error?</v>
      </c>
    </row>
    <row r="1331" spans="1:4" x14ac:dyDescent="0.2">
      <c r="A1331" s="5">
        <v>1270</v>
      </c>
      <c r="B1331" s="1832">
        <f>'Expenditures 15-22'!K172</f>
        <v>2059602</v>
      </c>
      <c r="C1331" s="2" t="s">
        <v>569</v>
      </c>
      <c r="D1331" s="2" t="str">
        <f t="shared" si="19"/>
        <v>Error?</v>
      </c>
    </row>
    <row r="1332" spans="1:4" x14ac:dyDescent="0.2">
      <c r="A1332" s="5">
        <v>1271</v>
      </c>
      <c r="B1332" s="1832">
        <f>'Expenditures 15-22'!K174</f>
        <v>2059602</v>
      </c>
      <c r="C1332" s="2" t="s">
        <v>569</v>
      </c>
      <c r="D1332" s="2" t="str">
        <f t="shared" si="19"/>
        <v>Error?</v>
      </c>
    </row>
    <row r="1333" spans="1:4" x14ac:dyDescent="0.2">
      <c r="A1333" s="5">
        <v>1272</v>
      </c>
      <c r="B1333" s="1832">
        <f>'Expenditures 15-22'!K175</f>
        <v>-1291638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45584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45584</v>
      </c>
      <c r="C1339" s="2" t="s">
        <v>569</v>
      </c>
      <c r="D1339" s="2" t="str">
        <f t="shared" si="19"/>
        <v>Error?</v>
      </c>
    </row>
    <row r="1340" spans="1:4" x14ac:dyDescent="0.2">
      <c r="A1340" s="5">
        <v>1279</v>
      </c>
      <c r="B1340" s="1832">
        <f>'Expenditures 15-22'!C210</f>
        <v>45584</v>
      </c>
      <c r="C1340" s="2" t="s">
        <v>569</v>
      </c>
      <c r="D1340" s="2" t="str">
        <f t="shared" si="19"/>
        <v>Error?</v>
      </c>
    </row>
    <row r="1341" spans="1:4" x14ac:dyDescent="0.2">
      <c r="A1341" s="5">
        <v>1280</v>
      </c>
      <c r="B1341" s="1832">
        <f>'Expenditures 15-22'!D182</f>
        <v>956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956</v>
      </c>
      <c r="C1345" s="2" t="s">
        <v>569</v>
      </c>
      <c r="D1345" s="2" t="str">
        <f t="shared" si="20"/>
        <v>Error?</v>
      </c>
    </row>
    <row r="1346" spans="1:4" x14ac:dyDescent="0.2">
      <c r="A1346" s="5">
        <v>1285</v>
      </c>
      <c r="B1346" s="1832">
        <f>'Expenditures 15-22'!D210</f>
        <v>956</v>
      </c>
      <c r="C1346" s="2" t="s">
        <v>569</v>
      </c>
      <c r="D1346" s="2" t="str">
        <f t="shared" si="20"/>
        <v>Error?</v>
      </c>
    </row>
    <row r="1347" spans="1:4" x14ac:dyDescent="0.2">
      <c r="A1347" s="5">
        <v>1286</v>
      </c>
      <c r="B1347" s="1832">
        <f>'Expenditures 15-22'!E182</f>
        <v>1454654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1454654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1584309</v>
      </c>
      <c r="C1353" s="2" t="s">
        <v>569</v>
      </c>
      <c r="D1353" s="2" t="str">
        <f t="shared" si="20"/>
        <v>Error?</v>
      </c>
    </row>
    <row r="1354" spans="1:4" x14ac:dyDescent="0.2">
      <c r="A1354" s="5">
        <v>1293</v>
      </c>
      <c r="B1354" s="1832">
        <f>'Expenditures 15-22'!F182</f>
        <v>2691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2691</v>
      </c>
      <c r="C1358" s="2" t="s">
        <v>569</v>
      </c>
      <c r="D1358" s="2" t="str">
        <f t="shared" si="20"/>
        <v>Error?</v>
      </c>
    </row>
    <row r="1359" spans="1:4" x14ac:dyDescent="0.2">
      <c r="A1359" s="5">
        <v>1298</v>
      </c>
      <c r="B1359" s="1832">
        <f>'Expenditures 15-22'!F210</f>
        <v>2691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1503885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1503885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1633540</v>
      </c>
      <c r="C1388" s="2" t="s">
        <v>569</v>
      </c>
      <c r="D1388" s="2" t="str">
        <f t="shared" si="20"/>
        <v>Error?</v>
      </c>
    </row>
    <row r="1389" spans="1:4" x14ac:dyDescent="0.2">
      <c r="A1389" s="5">
        <v>1328</v>
      </c>
      <c r="B1389" s="1832">
        <f>'Expenditures 15-22'!K211</f>
        <v>1067320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808</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3540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3410</v>
      </c>
      <c r="D1407" s="2" t="str">
        <f t="shared" ref="D1407:D1470" si="21">IF(ISBLANK(B1407),"OK",IF(A1407-B1407=0,"OK","Error?"))</f>
        <v>Error?</v>
      </c>
    </row>
    <row r="1408" spans="1:4" x14ac:dyDescent="0.2">
      <c r="A1408" s="5">
        <v>1347</v>
      </c>
      <c r="B1408" s="1832">
        <f>'Expenditures 15-22'!D223</f>
        <v>35304</v>
      </c>
      <c r="D1408" s="2" t="str">
        <f t="shared" si="21"/>
        <v>Error?</v>
      </c>
    </row>
    <row r="1409" spans="1:4" x14ac:dyDescent="0.2">
      <c r="A1409" s="5">
        <v>1348</v>
      </c>
      <c r="B1409" s="1832">
        <f>'Expenditures 15-22'!D224</f>
        <v>168</v>
      </c>
      <c r="D1409" s="2" t="str">
        <f t="shared" si="21"/>
        <v>Error?</v>
      </c>
    </row>
    <row r="1410" spans="1:4" x14ac:dyDescent="0.2">
      <c r="A1410" s="5">
        <v>1349</v>
      </c>
      <c r="B1410" s="1832">
        <f>'Expenditures 15-22'!D229</f>
        <v>348205</v>
      </c>
      <c r="C1410" s="2" t="s">
        <v>569</v>
      </c>
      <c r="D1410" s="2" t="str">
        <f t="shared" si="21"/>
        <v>Error?</v>
      </c>
    </row>
    <row r="1411" spans="1:4" x14ac:dyDescent="0.2">
      <c r="A1411" s="5">
        <v>1350</v>
      </c>
      <c r="B1411" s="1832">
        <f>'Expenditures 15-22'!D232</f>
        <v>4628</v>
      </c>
      <c r="D1411" s="2" t="str">
        <f t="shared" si="21"/>
        <v>Error?</v>
      </c>
    </row>
    <row r="1412" spans="1:4" x14ac:dyDescent="0.2">
      <c r="A1412" s="5">
        <v>1351</v>
      </c>
      <c r="B1412" s="1832">
        <f>'Expenditures 15-22'!D233</f>
        <v>14478</v>
      </c>
      <c r="D1412" s="2" t="str">
        <f t="shared" si="21"/>
        <v>Error?</v>
      </c>
    </row>
    <row r="1413" spans="1:4" x14ac:dyDescent="0.2">
      <c r="A1413" s="5">
        <v>1352</v>
      </c>
      <c r="B1413" s="1832">
        <f>'Expenditures 15-22'!D234</f>
        <v>8156</v>
      </c>
      <c r="D1413" s="2" t="str">
        <f t="shared" si="21"/>
        <v>Error?</v>
      </c>
    </row>
    <row r="1414" spans="1:4" x14ac:dyDescent="0.2">
      <c r="A1414" s="5">
        <v>1353</v>
      </c>
      <c r="B1414" s="1832">
        <f>'Expenditures 15-22'!D235</f>
        <v>3607</v>
      </c>
      <c r="D1414" s="2" t="str">
        <f t="shared" si="21"/>
        <v>Error?</v>
      </c>
    </row>
    <row r="1415" spans="1:4" x14ac:dyDescent="0.2">
      <c r="A1415" s="5">
        <v>1354</v>
      </c>
      <c r="B1415" s="1832">
        <f>'Expenditures 15-22'!D236</f>
        <v>4114</v>
      </c>
      <c r="D1415" s="2" t="str">
        <f t="shared" si="21"/>
        <v>Error?</v>
      </c>
    </row>
    <row r="1416" spans="1:4" x14ac:dyDescent="0.2">
      <c r="A1416" s="5">
        <v>1355</v>
      </c>
      <c r="B1416" s="1832">
        <f>'Expenditures 15-22'!D237</f>
        <v>7264</v>
      </c>
      <c r="D1416" s="2" t="str">
        <f t="shared" si="21"/>
        <v>Error?</v>
      </c>
    </row>
    <row r="1417" spans="1:4" x14ac:dyDescent="0.2">
      <c r="A1417" s="5">
        <v>1356</v>
      </c>
      <c r="B1417" s="1832">
        <f>'Expenditures 15-22'!D238</f>
        <v>42247</v>
      </c>
      <c r="C1417" s="2" t="s">
        <v>569</v>
      </c>
      <c r="D1417" s="2" t="str">
        <f t="shared" si="21"/>
        <v>Error?</v>
      </c>
    </row>
    <row r="1418" spans="1:4" x14ac:dyDescent="0.2">
      <c r="A1418" s="5">
        <v>1357</v>
      </c>
      <c r="B1418" s="1832">
        <f>'Expenditures 15-22'!D240</f>
        <v>3794</v>
      </c>
      <c r="D1418" s="2" t="str">
        <f t="shared" si="21"/>
        <v>Error?</v>
      </c>
    </row>
    <row r="1419" spans="1:4" x14ac:dyDescent="0.2">
      <c r="A1419" s="5">
        <v>1358</v>
      </c>
      <c r="B1419" s="1832">
        <f>'Expenditures 15-22'!D241</f>
        <v>14140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17934</v>
      </c>
      <c r="C1421" s="2" t="s">
        <v>569</v>
      </c>
      <c r="D1421" s="2" t="str">
        <f t="shared" si="21"/>
        <v>Error?</v>
      </c>
    </row>
    <row r="1422" spans="1:4" x14ac:dyDescent="0.2">
      <c r="A1422" s="5">
        <v>1361</v>
      </c>
      <c r="B1422" s="1832">
        <f>'Expenditures 15-22'!D245</f>
        <v>6541</v>
      </c>
      <c r="D1422" s="2" t="str">
        <f t="shared" si="21"/>
        <v>Error?</v>
      </c>
    </row>
    <row r="1423" spans="1:4" x14ac:dyDescent="0.2">
      <c r="A1423" s="5">
        <v>1362</v>
      </c>
      <c r="B1423" s="1832">
        <f>'Expenditures 15-22'!D246</f>
        <v>10526</v>
      </c>
      <c r="D1423" s="2" t="str">
        <f t="shared" si="21"/>
        <v>Error?</v>
      </c>
    </row>
    <row r="1424" spans="1:4" x14ac:dyDescent="0.2">
      <c r="A1424" s="5">
        <v>1363</v>
      </c>
      <c r="B1424" s="1832">
        <f>'Expenditures 15-22'!D257</f>
        <v>27016</v>
      </c>
      <c r="C1424" s="2" t="s">
        <v>569</v>
      </c>
      <c r="D1424" s="2" t="str">
        <f t="shared" si="21"/>
        <v>Error?</v>
      </c>
    </row>
    <row r="1425" spans="1:4" x14ac:dyDescent="0.2">
      <c r="A1425" s="5">
        <v>1364</v>
      </c>
      <c r="B1425" s="1832">
        <f>'Expenditures 15-22'!D259</f>
        <v>73325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73325</v>
      </c>
      <c r="C1427" s="2" t="s">
        <v>569</v>
      </c>
      <c r="D1427" s="2" t="str">
        <f t="shared" si="21"/>
        <v>Error?</v>
      </c>
    </row>
    <row r="1428" spans="1:4" x14ac:dyDescent="0.2">
      <c r="A1428" s="5">
        <v>1367</v>
      </c>
      <c r="B1428" s="1832">
        <f>'Expenditures 15-22'!D263</f>
        <v>23085</v>
      </c>
      <c r="D1428" s="2" t="str">
        <f t="shared" si="21"/>
        <v>Error?</v>
      </c>
    </row>
    <row r="1429" spans="1:4" x14ac:dyDescent="0.2">
      <c r="A1429" s="5">
        <v>1368</v>
      </c>
      <c r="B1429" s="1832">
        <f>'Expenditures 15-22'!D264</f>
        <v>36757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208481</v>
      </c>
      <c r="D1431" s="2" t="str">
        <f t="shared" si="21"/>
        <v>Error?</v>
      </c>
    </row>
    <row r="1432" spans="1:4" x14ac:dyDescent="0.2">
      <c r="A1432" s="5">
        <v>1371</v>
      </c>
      <c r="B1432" s="1832">
        <f>'Expenditures 15-22'!D267</f>
        <v>7789</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276112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16625</v>
      </c>
      <c r="D1439" s="2" t="str">
        <f t="shared" si="21"/>
        <v>Error?</v>
      </c>
    </row>
    <row r="1440" spans="1:4" x14ac:dyDescent="0.2">
      <c r="A1440" s="5">
        <v>1379</v>
      </c>
      <c r="B1440" s="1832">
        <f>'Expenditures 15-22'!D275</f>
        <v>15329</v>
      </c>
      <c r="D1440" s="2" t="str">
        <f t="shared" si="21"/>
        <v>Error?</v>
      </c>
    </row>
    <row r="1441" spans="1:4" x14ac:dyDescent="0.2">
      <c r="A1441" s="10">
        <v>1380</v>
      </c>
      <c r="B1441" s="1832"/>
      <c r="D1441" s="2" t="str">
        <f t="shared" si="21"/>
        <v>OK</v>
      </c>
    </row>
    <row r="1442" spans="1:4" x14ac:dyDescent="0.2">
      <c r="A1442" s="5">
        <v>1381</v>
      </c>
      <c r="B1442" s="1832">
        <f>'Expenditures 15-22'!D276</f>
        <v>44254</v>
      </c>
      <c r="D1442" s="2" t="str">
        <f t="shared" si="21"/>
        <v>Error?</v>
      </c>
    </row>
    <row r="1443" spans="1:4" x14ac:dyDescent="0.2">
      <c r="A1443" s="10">
        <v>1382</v>
      </c>
      <c r="B1443" s="1832"/>
      <c r="D1443" s="2" t="str">
        <f t="shared" si="21"/>
        <v>OK</v>
      </c>
    </row>
    <row r="1444" spans="1:4" x14ac:dyDescent="0.2">
      <c r="A1444" s="5">
        <v>1383</v>
      </c>
      <c r="B1444" s="1832">
        <f>'Expenditures 15-22'!D277</f>
        <v>76208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512842</v>
      </c>
      <c r="C1446" s="2" t="s">
        <v>569</v>
      </c>
      <c r="D1446" s="2" t="str">
        <f t="shared" si="21"/>
        <v>Error?</v>
      </c>
    </row>
    <row r="1447" spans="1:4" x14ac:dyDescent="0.2">
      <c r="A1447" s="5">
        <v>1386</v>
      </c>
      <c r="B1447" s="1832">
        <f>'Expenditures 15-22'!D280</f>
        <v>5</v>
      </c>
      <c r="D1447" s="2" t="str">
        <f t="shared" si="21"/>
        <v>Error?</v>
      </c>
    </row>
    <row r="1448" spans="1:4" x14ac:dyDescent="0.2">
      <c r="A1448" s="5">
        <v>1387</v>
      </c>
      <c r="B1448" s="1832">
        <f>'Expenditures 15-22'!D295</f>
        <v>861052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808</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3540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3410</v>
      </c>
      <c r="C1471" s="2" t="s">
        <v>569</v>
      </c>
      <c r="D1471" s="2" t="str">
        <f t="shared" ref="D1471:D1534" si="22">IF(ISBLANK(B1471),"OK",IF(A1471-B1471=0,"OK","Error?"))</f>
        <v>Error?</v>
      </c>
    </row>
    <row r="1472" spans="1:4" x14ac:dyDescent="0.2">
      <c r="A1472" s="5">
        <v>1411</v>
      </c>
      <c r="B1472" s="1832">
        <f>'Expenditures 15-22'!K223</f>
        <v>35304</v>
      </c>
      <c r="C1472" s="2" t="s">
        <v>569</v>
      </c>
      <c r="D1472" s="2" t="str">
        <f t="shared" si="22"/>
        <v>Error?</v>
      </c>
    </row>
    <row r="1473" spans="1:4" x14ac:dyDescent="0.2">
      <c r="A1473" s="5">
        <v>1412</v>
      </c>
      <c r="B1473" s="1832">
        <f>'Expenditures 15-22'!K224</f>
        <v>168</v>
      </c>
      <c r="C1473" s="2" t="s">
        <v>569</v>
      </c>
      <c r="D1473" s="2" t="str">
        <f t="shared" si="22"/>
        <v>Error?</v>
      </c>
    </row>
    <row r="1474" spans="1:4" x14ac:dyDescent="0.2">
      <c r="A1474" s="5">
        <v>1413</v>
      </c>
      <c r="B1474" s="1832">
        <f>'Expenditures 15-22'!K229</f>
        <v>348205</v>
      </c>
      <c r="C1474" s="2" t="s">
        <v>569</v>
      </c>
      <c r="D1474" s="2" t="str">
        <f t="shared" si="22"/>
        <v>Error?</v>
      </c>
    </row>
    <row r="1475" spans="1:4" x14ac:dyDescent="0.2">
      <c r="A1475" s="5">
        <v>1414</v>
      </c>
      <c r="B1475" s="1832">
        <f>'Expenditures 15-22'!K232</f>
        <v>4628</v>
      </c>
      <c r="C1475" s="2" t="s">
        <v>569</v>
      </c>
      <c r="D1475" s="2" t="str">
        <f t="shared" si="22"/>
        <v>Error?</v>
      </c>
    </row>
    <row r="1476" spans="1:4" x14ac:dyDescent="0.2">
      <c r="A1476" s="5">
        <v>1415</v>
      </c>
      <c r="B1476" s="1832">
        <f>'Expenditures 15-22'!K233</f>
        <v>14478</v>
      </c>
      <c r="C1476" s="2" t="s">
        <v>569</v>
      </c>
      <c r="D1476" s="2" t="str">
        <f t="shared" si="22"/>
        <v>Error?</v>
      </c>
    </row>
    <row r="1477" spans="1:4" x14ac:dyDescent="0.2">
      <c r="A1477" s="5">
        <v>1416</v>
      </c>
      <c r="B1477" s="1832">
        <f>'Expenditures 15-22'!K234</f>
        <v>8156</v>
      </c>
      <c r="C1477" s="2" t="s">
        <v>569</v>
      </c>
      <c r="D1477" s="2" t="str">
        <f t="shared" si="22"/>
        <v>Error?</v>
      </c>
    </row>
    <row r="1478" spans="1:4" x14ac:dyDescent="0.2">
      <c r="A1478" s="5">
        <v>1417</v>
      </c>
      <c r="B1478" s="1832">
        <f>'Expenditures 15-22'!K235</f>
        <v>3607</v>
      </c>
      <c r="C1478" s="2" t="s">
        <v>569</v>
      </c>
      <c r="D1478" s="2" t="str">
        <f t="shared" si="22"/>
        <v>Error?</v>
      </c>
    </row>
    <row r="1479" spans="1:4" x14ac:dyDescent="0.2">
      <c r="A1479" s="5">
        <v>1418</v>
      </c>
      <c r="B1479" s="1832">
        <f>'Expenditures 15-22'!K236</f>
        <v>4114</v>
      </c>
      <c r="C1479" s="2" t="s">
        <v>569</v>
      </c>
      <c r="D1479" s="2" t="str">
        <f t="shared" si="22"/>
        <v>Error?</v>
      </c>
    </row>
    <row r="1480" spans="1:4" x14ac:dyDescent="0.2">
      <c r="A1480" s="5">
        <v>1419</v>
      </c>
      <c r="B1480" s="1832">
        <f>'Expenditures 15-22'!K237</f>
        <v>7264</v>
      </c>
      <c r="C1480" s="2" t="s">
        <v>569</v>
      </c>
      <c r="D1480" s="2" t="str">
        <f t="shared" si="22"/>
        <v>Error?</v>
      </c>
    </row>
    <row r="1481" spans="1:4" x14ac:dyDescent="0.2">
      <c r="A1481" s="5">
        <v>1420</v>
      </c>
      <c r="B1481" s="1832">
        <f>'Expenditures 15-22'!K238</f>
        <v>42247</v>
      </c>
      <c r="C1481" s="2" t="s">
        <v>569</v>
      </c>
      <c r="D1481" s="2" t="str">
        <f t="shared" si="22"/>
        <v>Error?</v>
      </c>
    </row>
    <row r="1482" spans="1:4" x14ac:dyDescent="0.2">
      <c r="A1482" s="5">
        <v>1421</v>
      </c>
      <c r="B1482" s="1832">
        <f>'Expenditures 15-22'!K240</f>
        <v>3794</v>
      </c>
      <c r="C1482" s="2" t="s">
        <v>569</v>
      </c>
      <c r="D1482" s="2" t="str">
        <f t="shared" si="22"/>
        <v>Error?</v>
      </c>
    </row>
    <row r="1483" spans="1:4" x14ac:dyDescent="0.2">
      <c r="A1483" s="5">
        <v>1422</v>
      </c>
      <c r="B1483" s="1832">
        <f>'Expenditures 15-22'!K241</f>
        <v>14140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17934</v>
      </c>
      <c r="C1485" s="2" t="s">
        <v>569</v>
      </c>
      <c r="D1485" s="2" t="str">
        <f t="shared" si="22"/>
        <v>Error?</v>
      </c>
    </row>
    <row r="1486" spans="1:4" x14ac:dyDescent="0.2">
      <c r="A1486" s="5">
        <v>1425</v>
      </c>
      <c r="B1486" s="1832">
        <f>'Expenditures 15-22'!K245</f>
        <v>6541</v>
      </c>
      <c r="C1486" s="2" t="s">
        <v>569</v>
      </c>
      <c r="D1486" s="2" t="str">
        <f t="shared" si="22"/>
        <v>Error?</v>
      </c>
    </row>
    <row r="1487" spans="1:4" x14ac:dyDescent="0.2">
      <c r="A1487" s="5">
        <v>1426</v>
      </c>
      <c r="B1487" s="1832">
        <f>'Expenditures 15-22'!K246</f>
        <v>10526</v>
      </c>
      <c r="C1487" s="2" t="s">
        <v>569</v>
      </c>
      <c r="D1487" s="2" t="str">
        <f t="shared" si="22"/>
        <v>Error?</v>
      </c>
    </row>
    <row r="1488" spans="1:4" x14ac:dyDescent="0.2">
      <c r="A1488" s="5">
        <v>1427</v>
      </c>
      <c r="B1488" s="1832">
        <f>'Expenditures 15-22'!K257</f>
        <v>27016</v>
      </c>
      <c r="C1488" s="2" t="s">
        <v>569</v>
      </c>
      <c r="D1488" s="2" t="str">
        <f t="shared" si="22"/>
        <v>Error?</v>
      </c>
    </row>
    <row r="1489" spans="1:4" x14ac:dyDescent="0.2">
      <c r="A1489" s="5">
        <v>1428</v>
      </c>
      <c r="B1489" s="1832">
        <f>'Expenditures 15-22'!K259</f>
        <v>73325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73325</v>
      </c>
      <c r="C1491" s="2" t="s">
        <v>569</v>
      </c>
      <c r="D1491" s="2" t="str">
        <f t="shared" si="22"/>
        <v>Error?</v>
      </c>
    </row>
    <row r="1492" spans="1:4" x14ac:dyDescent="0.2">
      <c r="A1492" s="5">
        <v>1431</v>
      </c>
      <c r="B1492" s="1832">
        <f>'Expenditures 15-22'!K263</f>
        <v>23085</v>
      </c>
      <c r="C1492" s="2" t="s">
        <v>569</v>
      </c>
      <c r="D1492" s="2" t="str">
        <f t="shared" si="22"/>
        <v>Error?</v>
      </c>
    </row>
    <row r="1493" spans="1:4" x14ac:dyDescent="0.2">
      <c r="A1493" s="5">
        <v>1432</v>
      </c>
      <c r="B1493" s="1832">
        <f>'Expenditures 15-22'!K264</f>
        <v>36757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208481</v>
      </c>
      <c r="C1495" s="2" t="s">
        <v>569</v>
      </c>
      <c r="D1495" s="2" t="str">
        <f t="shared" si="22"/>
        <v>Error?</v>
      </c>
    </row>
    <row r="1496" spans="1:4" x14ac:dyDescent="0.2">
      <c r="A1496" s="5">
        <v>1435</v>
      </c>
      <c r="B1496" s="1832">
        <f>'Expenditures 15-22'!K267</f>
        <v>7789</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276112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16625</v>
      </c>
      <c r="C1503" s="2" t="s">
        <v>569</v>
      </c>
      <c r="D1503" s="2" t="str">
        <f t="shared" si="22"/>
        <v>Error?</v>
      </c>
    </row>
    <row r="1504" spans="1:4" x14ac:dyDescent="0.2">
      <c r="A1504" s="5">
        <v>1443</v>
      </c>
      <c r="B1504" s="1832">
        <f>'Expenditures 15-22'!K275</f>
        <v>15329</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44254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76208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512842</v>
      </c>
      <c r="C1510" s="2" t="s">
        <v>569</v>
      </c>
      <c r="D1510" s="2" t="str">
        <f t="shared" si="22"/>
        <v>Error?</v>
      </c>
    </row>
    <row r="1511" spans="1:4" x14ac:dyDescent="0.2">
      <c r="A1511" s="5">
        <v>1450</v>
      </c>
      <c r="B1511" s="1832">
        <f>'Expenditures 15-22'!K280</f>
        <v>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861052</v>
      </c>
      <c r="C1517" s="2" t="s">
        <v>569</v>
      </c>
      <c r="D1517" s="2" t="str">
        <f t="shared" si="22"/>
        <v>Error?</v>
      </c>
    </row>
    <row r="1518" spans="1:4" x14ac:dyDescent="0.2">
      <c r="A1518" s="5">
        <v>1457</v>
      </c>
      <c r="B1518" s="1832">
        <f>'Expenditures 15-22'!K296</f>
        <v>342404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70320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70320</v>
      </c>
      <c r="C1535" s="2" t="s">
        <v>569</v>
      </c>
      <c r="D1535" s="2" t="str">
        <f t="shared" ref="D1535:D1598" si="23">IF(ISBLANK(B1535),"OK",IF(A1535-B1535=0,"OK","Error?"))</f>
        <v>Error?</v>
      </c>
    </row>
    <row r="1536" spans="1:4" x14ac:dyDescent="0.2">
      <c r="A1536" s="5">
        <v>1475</v>
      </c>
      <c r="B1536" s="1832">
        <f>'Expenditures 15-22'!E312</f>
        <v>70320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6007711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6007711</v>
      </c>
      <c r="C1547" s="2" t="s">
        <v>569</v>
      </c>
      <c r="D1547" s="2" t="str">
        <f t="shared" si="23"/>
        <v>Error?</v>
      </c>
    </row>
    <row r="1548" spans="1:4" x14ac:dyDescent="0.2">
      <c r="A1548" s="5">
        <v>1487</v>
      </c>
      <c r="B1548" s="1832">
        <f>'Expenditures 15-22'!G312</f>
        <v>6007711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6078031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6078031</v>
      </c>
      <c r="C1559" s="2" t="s">
        <v>569</v>
      </c>
      <c r="D1559" s="2" t="str">
        <f t="shared" si="23"/>
        <v>Error?</v>
      </c>
    </row>
    <row r="1560" spans="1:4" x14ac:dyDescent="0.2">
      <c r="A1560" s="5">
        <v>1499</v>
      </c>
      <c r="B1560" s="1832">
        <f>'Expenditures 15-22'!K312</f>
        <v>6078031</v>
      </c>
      <c r="C1560" s="2" t="s">
        <v>569</v>
      </c>
      <c r="D1560" s="2" t="str">
        <f t="shared" si="23"/>
        <v>Error?</v>
      </c>
    </row>
    <row r="1561" spans="1:4" x14ac:dyDescent="0.2">
      <c r="A1561" s="5">
        <v>1500</v>
      </c>
      <c r="B1561" s="1832">
        <f>'Expenditures 15-22'!K313</f>
        <v>-6006623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11519748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11120410</v>
      </c>
      <c r="C1630" s="2" t="s">
        <v>569</v>
      </c>
      <c r="D1630" s="2" t="str">
        <f t="shared" si="24"/>
        <v>Error?</v>
      </c>
    </row>
    <row r="1631" spans="1:4" x14ac:dyDescent="0.2">
      <c r="A1631" s="5">
        <v>1570</v>
      </c>
      <c r="B1631" s="1832">
        <f>'Acct Summary 7-8'!D79</f>
        <v>704121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520600</v>
      </c>
      <c r="C1644" s="2" t="s">
        <v>569</v>
      </c>
      <c r="D1644" s="2" t="str">
        <f t="shared" si="24"/>
        <v>Error?</v>
      </c>
    </row>
    <row r="1645" spans="1:4" x14ac:dyDescent="0.2">
      <c r="A1645" s="5">
        <v>1584</v>
      </c>
      <c r="B1645" s="1832">
        <f>'Acct Summary 7-8'!E79</f>
        <v>1156200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183150</v>
      </c>
      <c r="C1658" s="2" t="s">
        <v>569</v>
      </c>
      <c r="D1658" s="2" t="str">
        <f t="shared" si="24"/>
        <v>Error?</v>
      </c>
    </row>
    <row r="1659" spans="1:4" x14ac:dyDescent="0.2">
      <c r="A1659" s="5">
        <v>1598</v>
      </c>
      <c r="B1659" s="1832">
        <f>'Acct Summary 7-8'!F79</f>
        <v>1224480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2291800</v>
      </c>
      <c r="C1672" s="2" t="s">
        <v>569</v>
      </c>
      <c r="D1672" s="2" t="str">
        <f t="shared" si="25"/>
        <v>Error?</v>
      </c>
    </row>
    <row r="1673" spans="1:4" x14ac:dyDescent="0.2">
      <c r="A1673" s="5">
        <v>1612</v>
      </c>
      <c r="B1673" s="1832">
        <f>'Acct Summary 7-8'!G79</f>
        <v>119397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461801</v>
      </c>
      <c r="C1686" s="2" t="s">
        <v>569</v>
      </c>
      <c r="D1686" s="2" t="str">
        <f t="shared" si="25"/>
        <v>Error?</v>
      </c>
    </row>
    <row r="1687" spans="1:4" x14ac:dyDescent="0.2">
      <c r="A1687" s="5">
        <v>1626</v>
      </c>
      <c r="B1687" s="1832">
        <f>'Acct Summary 7-8'!H79</f>
        <v>6180245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2673622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18274083</v>
      </c>
      <c r="C1744" s="2" t="s">
        <v>569</v>
      </c>
      <c r="D1744" s="2" t="str">
        <f t="shared" si="26"/>
        <v>Error?</v>
      </c>
    </row>
    <row r="1745" spans="1:5" x14ac:dyDescent="0.2">
      <c r="A1745" s="5">
        <v>1684</v>
      </c>
      <c r="B1745" s="1832">
        <f>'Tax Sched 23'!B5</f>
        <v>3094542</v>
      </c>
      <c r="C1745" s="2" t="s">
        <v>569</v>
      </c>
      <c r="D1745" s="2" t="str">
        <f t="shared" si="26"/>
        <v>Error?</v>
      </c>
    </row>
    <row r="1746" spans="1:5" x14ac:dyDescent="0.2">
      <c r="A1746" s="5">
        <v>1685</v>
      </c>
      <c r="B1746" s="1832">
        <f>'Tax Sched 23'!B6</f>
        <v>738757</v>
      </c>
      <c r="C1746" s="2" t="s">
        <v>569</v>
      </c>
      <c r="D1746" s="2" t="str">
        <f t="shared" si="26"/>
        <v>Error?</v>
      </c>
    </row>
    <row r="1747" spans="1:5" x14ac:dyDescent="0.2">
      <c r="A1747" s="5">
        <v>1686</v>
      </c>
      <c r="B1747" s="1832">
        <f>'Tax Sched 23'!B7</f>
        <v>1796494</v>
      </c>
      <c r="C1747" s="2" t="s">
        <v>569</v>
      </c>
      <c r="D1747" s="2" t="str">
        <f t="shared" si="26"/>
        <v>Error?</v>
      </c>
    </row>
    <row r="1748" spans="1:5" x14ac:dyDescent="0.2">
      <c r="A1748" s="5">
        <v>1687</v>
      </c>
      <c r="B1748" s="1832">
        <f>'Tax Sched 23'!B8</f>
        <v>359545</v>
      </c>
      <c r="C1748" s="2" t="s">
        <v>569</v>
      </c>
      <c r="D1748" s="2" t="str">
        <f t="shared" si="26"/>
        <v>Error?</v>
      </c>
    </row>
    <row r="1749" spans="1:5" x14ac:dyDescent="0.2">
      <c r="A1749" s="5">
        <v>1688</v>
      </c>
      <c r="B1749" s="1832">
        <f>'Tax Sched 23'!B10</f>
        <v>4302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4302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4867680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29938693</v>
      </c>
      <c r="C1759" s="2" t="s">
        <v>569</v>
      </c>
      <c r="D1759" s="2" t="str">
        <f t="shared" si="26"/>
        <v>Error?</v>
      </c>
    </row>
    <row r="1760" spans="1:5" x14ac:dyDescent="0.2">
      <c r="A1760" s="5">
        <v>1699</v>
      </c>
      <c r="B1760" s="1832">
        <f>'Tax Sched 23'!D4</f>
        <v>8433940</v>
      </c>
      <c r="C1760" s="2" t="s">
        <v>569</v>
      </c>
      <c r="D1760" s="2" t="str">
        <f t="shared" si="26"/>
        <v>Error?</v>
      </c>
    </row>
    <row r="1761" spans="1:7" x14ac:dyDescent="0.2">
      <c r="A1761" s="5">
        <v>1700</v>
      </c>
      <c r="B1761" s="1832">
        <f>'Tax Sched 23'!D5</f>
        <v>1107894</v>
      </c>
      <c r="C1761" s="2" t="s">
        <v>569</v>
      </c>
      <c r="D1761" s="2" t="str">
        <f t="shared" si="26"/>
        <v>Error?</v>
      </c>
    </row>
    <row r="1762" spans="1:7" s="8" customFormat="1" x14ac:dyDescent="0.2">
      <c r="A1762" s="5">
        <v>1701</v>
      </c>
      <c r="B1762" s="1832">
        <f>'Tax Sched 23'!D6</f>
        <v>122178</v>
      </c>
      <c r="C1762" s="2" t="s">
        <v>569</v>
      </c>
      <c r="D1762" s="2" t="str">
        <f t="shared" si="26"/>
        <v>Error?</v>
      </c>
      <c r="E1762" s="9"/>
      <c r="G1762"/>
    </row>
    <row r="1763" spans="1:7" x14ac:dyDescent="0.2">
      <c r="A1763" s="5">
        <v>1702</v>
      </c>
      <c r="B1763" s="1832">
        <f>'Tax Sched 23'!D7</f>
        <v>1287188</v>
      </c>
      <c r="C1763" s="2" t="s">
        <v>569</v>
      </c>
      <c r="D1763" s="2" t="str">
        <f t="shared" si="26"/>
        <v>Error?</v>
      </c>
    </row>
    <row r="1764" spans="1:7" x14ac:dyDescent="0.2">
      <c r="A1764" s="5">
        <v>1703</v>
      </c>
      <c r="B1764" s="1832">
        <f>'Tax Sched 23'!D8</f>
        <v>140489</v>
      </c>
      <c r="C1764" s="2" t="s">
        <v>569</v>
      </c>
      <c r="D1764" s="2" t="str">
        <f t="shared" si="26"/>
        <v>Error?</v>
      </c>
    </row>
    <row r="1765" spans="1:7" x14ac:dyDescent="0.2">
      <c r="A1765" s="5">
        <v>1704</v>
      </c>
      <c r="B1765" s="1832">
        <f>'Tax Sched 23'!D10</f>
        <v>2047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2047</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2321149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13961106</v>
      </c>
      <c r="C1775" s="2" t="s">
        <v>569</v>
      </c>
      <c r="D1775" s="2" t="str">
        <f t="shared" si="26"/>
        <v>Error?</v>
      </c>
    </row>
    <row r="1776" spans="1:7" x14ac:dyDescent="0.2">
      <c r="A1776" s="5">
        <v>1715</v>
      </c>
      <c r="B1776" s="1832">
        <f>'Tax Sched 23'!C4</f>
        <v>9840143</v>
      </c>
      <c r="D1776" s="2" t="str">
        <f t="shared" si="26"/>
        <v>Error?</v>
      </c>
    </row>
    <row r="1777" spans="1:4" x14ac:dyDescent="0.2">
      <c r="A1777" s="5">
        <v>1716</v>
      </c>
      <c r="B1777" s="1832">
        <f>'Tax Sched 23'!C5</f>
        <v>1986648</v>
      </c>
      <c r="D1777" s="2" t="str">
        <f t="shared" si="26"/>
        <v>Error?</v>
      </c>
    </row>
    <row r="1778" spans="1:4" x14ac:dyDescent="0.2">
      <c r="A1778" s="5">
        <v>1717</v>
      </c>
      <c r="B1778" s="1832">
        <f>'Tax Sched 23'!C6</f>
        <v>616579</v>
      </c>
      <c r="D1778" s="2" t="str">
        <f t="shared" si="26"/>
        <v>Error?</v>
      </c>
    </row>
    <row r="1779" spans="1:4" x14ac:dyDescent="0.2">
      <c r="A1779" s="5">
        <v>1718</v>
      </c>
      <c r="B1779" s="1832">
        <f>'Tax Sched 23'!C7</f>
        <v>509306</v>
      </c>
      <c r="D1779" s="2" t="str">
        <f t="shared" si="26"/>
        <v>Error?</v>
      </c>
    </row>
    <row r="1780" spans="1:4" x14ac:dyDescent="0.2">
      <c r="A1780" s="5">
        <v>1719</v>
      </c>
      <c r="B1780" s="1832">
        <f>'Tax Sched 23'!C8</f>
        <v>219056</v>
      </c>
      <c r="D1780" s="2" t="str">
        <f t="shared" si="26"/>
        <v>Error?</v>
      </c>
    </row>
    <row r="1781" spans="1:4" x14ac:dyDescent="0.2">
      <c r="A1781" s="5">
        <v>1720</v>
      </c>
      <c r="B1781" s="1832">
        <f>'Tax Sched 23'!C10</f>
        <v>2255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2255</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2546531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15977587</v>
      </c>
      <c r="C1791" s="2" t="s">
        <v>569</v>
      </c>
      <c r="D1791" s="2" t="str">
        <f t="shared" ref="D1791:D1854" si="27">IF(ISBLANK(B1791),"OK",IF(A1791-B1791=0,"OK","Error?"))</f>
        <v>Error?</v>
      </c>
    </row>
    <row r="1792" spans="1:4" x14ac:dyDescent="0.2">
      <c r="A1792" s="5">
        <v>1731</v>
      </c>
      <c r="B1792" s="1832">
        <f>'Tax Sched 23'!F4</f>
        <v>9456613</v>
      </c>
      <c r="C1792" s="2" t="s">
        <v>569</v>
      </c>
      <c r="D1792" s="2" t="str">
        <f t="shared" si="27"/>
        <v>Error?</v>
      </c>
    </row>
    <row r="1793" spans="1:4" x14ac:dyDescent="0.2">
      <c r="A1793" s="5">
        <v>1732</v>
      </c>
      <c r="B1793" s="1832">
        <f>'Tax Sched 23'!F5</f>
        <v>1909217</v>
      </c>
      <c r="C1793" s="2" t="s">
        <v>569</v>
      </c>
      <c r="D1793" s="2" t="str">
        <f t="shared" si="27"/>
        <v>Error?</v>
      </c>
    </row>
    <row r="1794" spans="1:4" x14ac:dyDescent="0.2">
      <c r="A1794" s="5">
        <v>1733</v>
      </c>
      <c r="B1794" s="1832">
        <f>'Tax Sched 23'!F6</f>
        <v>592548</v>
      </c>
      <c r="C1794" s="2" t="s">
        <v>569</v>
      </c>
      <c r="D1794" s="2" t="str">
        <f t="shared" si="27"/>
        <v>Error?</v>
      </c>
    </row>
    <row r="1795" spans="1:4" x14ac:dyDescent="0.2">
      <c r="A1795" s="5">
        <v>1734</v>
      </c>
      <c r="B1795" s="1832">
        <f>'Tax Sched 23'!F7</f>
        <v>489456</v>
      </c>
      <c r="C1795" s="2" t="s">
        <v>569</v>
      </c>
      <c r="D1795" s="2" t="str">
        <f t="shared" si="27"/>
        <v>Error?</v>
      </c>
    </row>
    <row r="1796" spans="1:4" x14ac:dyDescent="0.2">
      <c r="A1796" s="5">
        <v>1735</v>
      </c>
      <c r="B1796" s="1832">
        <f>'Tax Sched 23'!F8</f>
        <v>210519</v>
      </c>
      <c r="C1796" s="2" t="s">
        <v>569</v>
      </c>
      <c r="D1796" s="2" t="str">
        <f t="shared" si="27"/>
        <v>Error?</v>
      </c>
    </row>
    <row r="1797" spans="1:4" x14ac:dyDescent="0.2">
      <c r="A1797" s="5">
        <v>1736</v>
      </c>
      <c r="B1797" s="1832">
        <f>'Tax Sched 23'!F10</f>
        <v>2167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2167</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2447277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15354847</v>
      </c>
      <c r="C1807" s="2" t="s">
        <v>569</v>
      </c>
      <c r="D1807" s="2" t="str">
        <f t="shared" si="27"/>
        <v>Error?</v>
      </c>
    </row>
    <row r="1808" spans="1:4" x14ac:dyDescent="0.2">
      <c r="A1808" s="5">
        <v>1747</v>
      </c>
      <c r="B1808" s="1832">
        <f>'Tax Sched 23'!E4</f>
        <v>19296756</v>
      </c>
      <c r="D1808" s="2" t="str">
        <f t="shared" si="27"/>
        <v>Error?</v>
      </c>
    </row>
    <row r="1809" spans="1:4" x14ac:dyDescent="0.2">
      <c r="A1809" s="5">
        <v>1748</v>
      </c>
      <c r="B1809" s="1832">
        <f>'Tax Sched 23'!E5</f>
        <v>3895865</v>
      </c>
      <c r="D1809" s="2" t="str">
        <f t="shared" si="27"/>
        <v>Error?</v>
      </c>
    </row>
    <row r="1810" spans="1:4" x14ac:dyDescent="0.2">
      <c r="A1810" s="5">
        <v>1749</v>
      </c>
      <c r="B1810" s="1832">
        <f>'Tax Sched 23'!E6</f>
        <v>1209127</v>
      </c>
      <c r="D1810" s="2" t="str">
        <f t="shared" si="27"/>
        <v>Error?</v>
      </c>
    </row>
    <row r="1811" spans="1:4" x14ac:dyDescent="0.2">
      <c r="A1811" s="5">
        <v>1750</v>
      </c>
      <c r="B1811" s="1832">
        <f>'Tax Sched 23'!E7</f>
        <v>998762</v>
      </c>
      <c r="D1811" s="2" t="str">
        <f t="shared" si="27"/>
        <v>Error?</v>
      </c>
    </row>
    <row r="1812" spans="1:4" x14ac:dyDescent="0.2">
      <c r="A1812" s="5">
        <v>1751</v>
      </c>
      <c r="B1812" s="1832">
        <f>'Tax Sched 23'!E8</f>
        <v>429575</v>
      </c>
      <c r="D1812" s="2" t="str">
        <f t="shared" si="27"/>
        <v>Error?</v>
      </c>
    </row>
    <row r="1813" spans="1:4" x14ac:dyDescent="0.2">
      <c r="A1813" s="5">
        <v>1752</v>
      </c>
      <c r="B1813" s="1832">
        <f>'Tax Sched 23'!E10</f>
        <v>4422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4422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4993808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31332434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13942958</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4867680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4867680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4867680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941514</v>
      </c>
      <c r="D2008" s="2" t="str">
        <f t="shared" si="30"/>
        <v>Error?</v>
      </c>
    </row>
    <row r="2009" spans="1:4" x14ac:dyDescent="0.2">
      <c r="A2009" s="5">
        <v>1948</v>
      </c>
      <c r="B2009" s="1832">
        <f>'Cap Outlay Deprec 26'!C8</f>
        <v>39717361</v>
      </c>
      <c r="D2009" s="2" t="str">
        <f t="shared" si="30"/>
        <v>Error?</v>
      </c>
    </row>
    <row r="2010" spans="1:4" x14ac:dyDescent="0.2">
      <c r="A2010" s="5">
        <v>1949</v>
      </c>
      <c r="B2010" s="1832">
        <f>'Cap Outlay Deprec 26'!C10</f>
        <v>2224083</v>
      </c>
      <c r="D2010" s="2" t="str">
        <f t="shared" si="30"/>
        <v>Error?</v>
      </c>
    </row>
    <row r="2011" spans="1:4" x14ac:dyDescent="0.2">
      <c r="A2011" s="5">
        <v>1950</v>
      </c>
      <c r="B2011" s="1832">
        <f>'Cap Outlay Deprec 26'!C12</f>
        <v>3179702</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77777466</v>
      </c>
      <c r="C2013" s="2" t="s">
        <v>569</v>
      </c>
      <c r="D2013" s="2" t="str">
        <f t="shared" si="30"/>
        <v>Error?</v>
      </c>
    </row>
    <row r="2014" spans="1:4" x14ac:dyDescent="0.2">
      <c r="A2014" s="5">
        <v>1953</v>
      </c>
      <c r="B2014" s="1832">
        <f>'Cap Outlay Deprec 26'!D5</f>
        <v>330992</v>
      </c>
      <c r="D2014" s="2" t="str">
        <f t="shared" si="30"/>
        <v>Error?</v>
      </c>
    </row>
    <row r="2015" spans="1:4" x14ac:dyDescent="0.2">
      <c r="A2015" s="5">
        <v>1954</v>
      </c>
      <c r="B2015" s="1832">
        <f>'Cap Outlay Deprec 26'!D8</f>
        <v>35018929</v>
      </c>
      <c r="D2015" s="2" t="str">
        <f t="shared" si="30"/>
        <v>Error?</v>
      </c>
    </row>
    <row r="2016" spans="1:4" x14ac:dyDescent="0.2">
      <c r="A2016" s="5">
        <v>1955</v>
      </c>
      <c r="B2016" s="1832">
        <f>'Cap Outlay Deprec 26'!D10</f>
        <v>586586</v>
      </c>
      <c r="D2016" s="2" t="str">
        <f t="shared" si="30"/>
        <v>Error?</v>
      </c>
    </row>
    <row r="2017" spans="1:4" x14ac:dyDescent="0.2">
      <c r="A2017" s="5">
        <v>1956</v>
      </c>
      <c r="B2017" s="1832">
        <f>'Cap Outlay Deprec 26'!D12</f>
        <v>1935122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37871629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79935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31794741</v>
      </c>
      <c r="C2025" s="2" t="s">
        <v>569</v>
      </c>
      <c r="D2025" s="2" t="str">
        <f t="shared" si="30"/>
        <v>Error?</v>
      </c>
    </row>
    <row r="2026" spans="1:4" x14ac:dyDescent="0.2">
      <c r="A2026" s="5">
        <v>1965</v>
      </c>
      <c r="B2026" s="1832">
        <f>'Cap Outlay Deprec 26'!F5</f>
        <v>1272506</v>
      </c>
      <c r="C2026" s="2" t="s">
        <v>569</v>
      </c>
      <c r="D2026" s="2" t="str">
        <f t="shared" si="30"/>
        <v>Error?</v>
      </c>
    </row>
    <row r="2027" spans="1:4" x14ac:dyDescent="0.2">
      <c r="A2027" s="5">
        <v>1966</v>
      </c>
      <c r="B2027" s="1832">
        <f>'Cap Outlay Deprec 26'!F8</f>
        <v>74736290</v>
      </c>
      <c r="C2027" s="2" t="s">
        <v>569</v>
      </c>
      <c r="D2027" s="2" t="str">
        <f t="shared" si="30"/>
        <v>Error?</v>
      </c>
    </row>
    <row r="2028" spans="1:4" x14ac:dyDescent="0.2">
      <c r="A2028" s="5">
        <v>1967</v>
      </c>
      <c r="B2028" s="1832">
        <f>'Cap Outlay Deprec 26'!F10</f>
        <v>2810669</v>
      </c>
      <c r="C2028" s="2" t="s">
        <v>569</v>
      </c>
      <c r="D2028" s="2" t="str">
        <f t="shared" si="30"/>
        <v>Error?</v>
      </c>
    </row>
    <row r="2029" spans="1:4" x14ac:dyDescent="0.2">
      <c r="A2029" s="5">
        <v>1968</v>
      </c>
      <c r="B2029" s="1832">
        <f>'Cap Outlay Deprec 26'!F12</f>
        <v>5034889</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83854354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18877263</v>
      </c>
      <c r="D2033" s="2" t="str">
        <f t="shared" si="30"/>
        <v>Error?</v>
      </c>
    </row>
    <row r="2034" spans="1:4" x14ac:dyDescent="0.2">
      <c r="A2034" s="5">
        <v>1973</v>
      </c>
      <c r="B2034" s="1832">
        <f>'Cap Outlay Deprec 26'!H10</f>
        <v>1375784</v>
      </c>
      <c r="D2034" s="2" t="str">
        <f t="shared" si="30"/>
        <v>Error?</v>
      </c>
    </row>
    <row r="2035" spans="1:4" x14ac:dyDescent="0.2">
      <c r="A2035" s="5">
        <v>1974</v>
      </c>
      <c r="B2035" s="1832">
        <f>'Cap Outlay Deprec 26'!H12</f>
        <v>2736039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22989086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1439366</v>
      </c>
      <c r="D2039" s="2" t="str">
        <f t="shared" si="30"/>
        <v>Error?</v>
      </c>
    </row>
    <row r="2040" spans="1:4" x14ac:dyDescent="0.2">
      <c r="A2040" s="5">
        <v>1979</v>
      </c>
      <c r="B2040" s="1832">
        <f>'Cap Outlay Deprec 26'!I10</f>
        <v>66299</v>
      </c>
      <c r="D2040" s="2" t="str">
        <f t="shared" si="30"/>
        <v>Error?</v>
      </c>
    </row>
    <row r="2041" spans="1:4" x14ac:dyDescent="0.2">
      <c r="A2041" s="5">
        <v>1980</v>
      </c>
      <c r="B2041" s="1832">
        <f>'Cap Outlay Deprec 26'!I12</f>
        <v>229032</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1734697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76085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76085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20316629</v>
      </c>
      <c r="C2051" s="2" t="s">
        <v>569</v>
      </c>
      <c r="D2051" s="2" t="str">
        <f t="shared" si="31"/>
        <v>Error?</v>
      </c>
    </row>
    <row r="2052" spans="1:4" x14ac:dyDescent="0.2">
      <c r="A2052" s="5">
        <v>1991</v>
      </c>
      <c r="B2052" s="1832">
        <f>'Cap Outlay Deprec 26'!K10</f>
        <v>1442083</v>
      </c>
      <c r="C2052" s="2" t="s">
        <v>569</v>
      </c>
      <c r="D2052" s="2" t="str">
        <f t="shared" si="31"/>
        <v>Error?</v>
      </c>
    </row>
    <row r="2053" spans="1:4" x14ac:dyDescent="0.2">
      <c r="A2053" s="5">
        <v>1992</v>
      </c>
      <c r="B2053" s="1832">
        <f>'Cap Outlay Deprec 26'!K12</f>
        <v>2888986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24647698</v>
      </c>
      <c r="C2055" s="2" t="s">
        <v>569</v>
      </c>
      <c r="D2055" s="2" t="str">
        <f t="shared" si="31"/>
        <v>Error?</v>
      </c>
    </row>
    <row r="2056" spans="1:4" x14ac:dyDescent="0.2">
      <c r="A2056" s="5">
        <v>1995</v>
      </c>
      <c r="B2056" s="1832">
        <f>'Cap Outlay Deprec 26'!L5</f>
        <v>1272506</v>
      </c>
      <c r="C2056" s="2" t="s">
        <v>569</v>
      </c>
      <c r="D2056" s="2" t="str">
        <f t="shared" si="31"/>
        <v>Error?</v>
      </c>
    </row>
    <row r="2057" spans="1:4" x14ac:dyDescent="0.2">
      <c r="A2057" s="5">
        <v>1996</v>
      </c>
      <c r="B2057" s="1832">
        <f>'Cap Outlay Deprec 26'!L8</f>
        <v>54419661</v>
      </c>
      <c r="C2057" s="2" t="s">
        <v>569</v>
      </c>
      <c r="D2057" s="2" t="str">
        <f t="shared" si="31"/>
        <v>Error?</v>
      </c>
    </row>
    <row r="2058" spans="1:4" x14ac:dyDescent="0.2">
      <c r="A2058" s="5">
        <v>1997</v>
      </c>
      <c r="B2058" s="1832">
        <f>'Cap Outlay Deprec 26'!L10</f>
        <v>1368586</v>
      </c>
      <c r="C2058" s="2" t="s">
        <v>569</v>
      </c>
      <c r="D2058" s="2" t="str">
        <f t="shared" si="31"/>
        <v>Error?</v>
      </c>
    </row>
    <row r="2059" spans="1:4" x14ac:dyDescent="0.2">
      <c r="A2059" s="5">
        <v>1998</v>
      </c>
      <c r="B2059" s="1832">
        <f>'Cap Outlay Deprec 26'!L12</f>
        <v>2145903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59206656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238622</v>
      </c>
      <c r="C2088" s="2" t="s">
        <v>569</v>
      </c>
      <c r="D2088" s="2" t="str">
        <f t="shared" si="31"/>
        <v>Error?</v>
      </c>
    </row>
    <row r="2089" spans="1:4" x14ac:dyDescent="0.2">
      <c r="A2089" s="5">
        <v>2028</v>
      </c>
      <c r="B2089" s="1832">
        <f>'Expenditures 15-22'!K92</f>
        <v>1053772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20375</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520600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2291800</v>
      </c>
      <c r="D2475" s="2" t="str">
        <f t="shared" si="37"/>
        <v>Error?</v>
      </c>
    </row>
    <row r="2476" spans="1:4" x14ac:dyDescent="0.2">
      <c r="A2476" s="10">
        <v>2415</v>
      </c>
      <c r="B2476" s="1832"/>
      <c r="D2476" s="2" t="str">
        <f t="shared" si="37"/>
        <v>OK</v>
      </c>
    </row>
    <row r="2477" spans="1:4" x14ac:dyDescent="0.2">
      <c r="A2477" s="5">
        <v>2416</v>
      </c>
      <c r="B2477" s="1832">
        <f>'Assets-Liab 5-6'!G38</f>
        <v>461801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183150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2673622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24609803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1689957</v>
      </c>
      <c r="C2553" s="2" t="s">
        <v>569</v>
      </c>
      <c r="D2553" s="2" t="str">
        <f t="shared" si="38"/>
        <v>Error?</v>
      </c>
    </row>
    <row r="2554" spans="1:4" x14ac:dyDescent="0.2">
      <c r="A2554" s="5">
        <v>2493</v>
      </c>
      <c r="B2554" s="1832">
        <f>'Acct Summary 7-8'!C7</f>
        <v>1003192</v>
      </c>
      <c r="C2554" s="2" t="s">
        <v>569</v>
      </c>
      <c r="D2554" s="2" t="str">
        <f t="shared" si="38"/>
        <v>Error?</v>
      </c>
    </row>
    <row r="2555" spans="1:4" x14ac:dyDescent="0.2">
      <c r="A2555" s="5">
        <v>2494</v>
      </c>
      <c r="B2555" s="1832">
        <f>'Acct Summary 7-8'!C8</f>
        <v>27302952</v>
      </c>
      <c r="C2555" s="2" t="s">
        <v>569</v>
      </c>
      <c r="D2555" s="2" t="str">
        <f t="shared" si="38"/>
        <v>Error?</v>
      </c>
    </row>
    <row r="2556" spans="1:4" x14ac:dyDescent="0.2">
      <c r="A2556" s="5">
        <v>2495</v>
      </c>
      <c r="B2556" s="1832">
        <f>'Acct Summary 7-8'!C12</f>
        <v>16769718</v>
      </c>
      <c r="C2556" s="2" t="s">
        <v>569</v>
      </c>
      <c r="D2556" s="2" t="str">
        <f t="shared" si="38"/>
        <v>Error?</v>
      </c>
    </row>
    <row r="2557" spans="1:4" x14ac:dyDescent="0.2">
      <c r="A2557" s="5">
        <v>2496</v>
      </c>
      <c r="B2557" s="1832">
        <f>'Acct Summary 7-8'!C13</f>
        <v>7743889</v>
      </c>
      <c r="C2557" s="2" t="s">
        <v>569</v>
      </c>
      <c r="D2557" s="2" t="str">
        <f t="shared" si="38"/>
        <v>Error?</v>
      </c>
    </row>
    <row r="2558" spans="1:4" x14ac:dyDescent="0.2">
      <c r="A2558" s="5">
        <v>2497</v>
      </c>
      <c r="B2558" s="1832">
        <f>'Acct Summary 7-8'!C14</f>
        <v>98076</v>
      </c>
      <c r="C2558" s="2" t="s">
        <v>569</v>
      </c>
      <c r="D2558" s="2" t="str">
        <f t="shared" si="38"/>
        <v>Error?</v>
      </c>
    </row>
    <row r="2559" spans="1:4" x14ac:dyDescent="0.2">
      <c r="A2559" s="5">
        <v>2498</v>
      </c>
      <c r="B2559" s="1832">
        <f>'Acct Summary 7-8'!C15</f>
        <v>1292394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25904077</v>
      </c>
      <c r="C2561" s="2" t="s">
        <v>569</v>
      </c>
      <c r="D2561" s="2" t="str">
        <f t="shared" si="39"/>
        <v>Error?</v>
      </c>
    </row>
    <row r="2562" spans="1:4" x14ac:dyDescent="0.2">
      <c r="A2562" s="5">
        <v>2501</v>
      </c>
      <c r="B2562" s="1832">
        <f>'Acct Summary 7-8'!C20</f>
        <v>1398875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3262145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3312145</v>
      </c>
      <c r="C2568" s="2" t="s">
        <v>569</v>
      </c>
      <c r="D2568" s="2" t="str">
        <f t="shared" si="39"/>
        <v>Error?</v>
      </c>
    </row>
    <row r="2569" spans="1:4" x14ac:dyDescent="0.2">
      <c r="A2569" s="5">
        <v>2508</v>
      </c>
      <c r="B2569" s="1832">
        <f>'Acct Summary 7-8'!D13</f>
        <v>2495666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2495666</v>
      </c>
      <c r="C2573" s="2" t="s">
        <v>569</v>
      </c>
      <c r="D2573" s="2" t="str">
        <f t="shared" si="39"/>
        <v>Error?</v>
      </c>
    </row>
    <row r="2574" spans="1:4" x14ac:dyDescent="0.2">
      <c r="A2574" s="5">
        <v>2513</v>
      </c>
      <c r="B2574" s="1832">
        <f>'Acct Summary 7-8'!D20</f>
        <v>816479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1895498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805362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2700860</v>
      </c>
      <c r="C2595" s="2" t="s">
        <v>569</v>
      </c>
      <c r="D2595" s="2" t="str">
        <f t="shared" si="39"/>
        <v>Error?</v>
      </c>
    </row>
    <row r="2596" spans="1:4" x14ac:dyDescent="0.2">
      <c r="A2596" s="5">
        <v>2535</v>
      </c>
      <c r="B2596" s="1832">
        <f>'Acct Summary 7-8'!F13</f>
        <v>1503885</v>
      </c>
      <c r="C2596" s="2" t="s">
        <v>569</v>
      </c>
      <c r="D2596" s="2" t="str">
        <f t="shared" si="39"/>
        <v>Error?</v>
      </c>
    </row>
    <row r="2597" spans="1:4" x14ac:dyDescent="0.2">
      <c r="A2597" s="5">
        <v>2536</v>
      </c>
      <c r="B2597" s="1832">
        <f>'Acct Summary 7-8'!F14</f>
        <v>129655</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1633540</v>
      </c>
      <c r="C2600" s="2" t="s">
        <v>569</v>
      </c>
      <c r="D2600" s="2" t="str">
        <f t="shared" si="39"/>
        <v>Error?</v>
      </c>
    </row>
    <row r="2601" spans="1:4" x14ac:dyDescent="0.2">
      <c r="A2601" s="5">
        <v>2540</v>
      </c>
      <c r="B2601" s="1832">
        <f>'Acct Summary 7-8'!F20</f>
        <v>1067320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1203456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1203456</v>
      </c>
      <c r="C2606" s="2" t="s">
        <v>569</v>
      </c>
      <c r="D2606" s="2" t="str">
        <f t="shared" si="39"/>
        <v>Error?</v>
      </c>
    </row>
    <row r="2607" spans="1:4" x14ac:dyDescent="0.2">
      <c r="A2607" s="5">
        <v>2546</v>
      </c>
      <c r="B2607" s="1832">
        <f>'Acct Summary 7-8'!G12</f>
        <v>348205</v>
      </c>
      <c r="C2607" s="2" t="s">
        <v>569</v>
      </c>
      <c r="D2607" s="2" t="str">
        <f t="shared" si="39"/>
        <v>Error?</v>
      </c>
    </row>
    <row r="2608" spans="1:4" x14ac:dyDescent="0.2">
      <c r="A2608" s="5">
        <v>2547</v>
      </c>
      <c r="B2608" s="1832">
        <f>'Acct Summary 7-8'!G13</f>
        <v>512842</v>
      </c>
      <c r="C2608" s="2" t="s">
        <v>569</v>
      </c>
      <c r="D2608" s="2" t="str">
        <f t="shared" si="39"/>
        <v>Error?</v>
      </c>
    </row>
    <row r="2609" spans="1:4" x14ac:dyDescent="0.2">
      <c r="A2609" s="5">
        <v>2548</v>
      </c>
      <c r="B2609" s="1832">
        <f>'Acct Summary 7-8'!G14</f>
        <v>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861052</v>
      </c>
      <c r="C2612" s="2" t="s">
        <v>569</v>
      </c>
      <c r="D2612" s="2" t="str">
        <f t="shared" si="39"/>
        <v>Error?</v>
      </c>
    </row>
    <row r="2613" spans="1:4" x14ac:dyDescent="0.2">
      <c r="A2613" s="5">
        <v>2552</v>
      </c>
      <c r="B2613" s="1832">
        <f>'Acct Summary 7-8'!G20</f>
        <v>342404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767964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767964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2059602</v>
      </c>
      <c r="C2634" s="2" t="s">
        <v>569</v>
      </c>
      <c r="D2634" s="2" t="str">
        <f t="shared" si="40"/>
        <v>Error?</v>
      </c>
    </row>
    <row r="2635" spans="1:4" x14ac:dyDescent="0.2">
      <c r="A2635" s="5">
        <v>2574</v>
      </c>
      <c r="B2635" s="1832">
        <f>'Acct Summary 7-8'!E17</f>
        <v>2059602</v>
      </c>
      <c r="C2635" s="2" t="s">
        <v>569</v>
      </c>
      <c r="D2635" s="2" t="str">
        <f t="shared" si="40"/>
        <v>Error?</v>
      </c>
    </row>
    <row r="2636" spans="1:4" x14ac:dyDescent="0.2">
      <c r="A2636" s="5">
        <v>2575</v>
      </c>
      <c r="B2636" s="1832">
        <f>'Acct Summary 7-8'!E20</f>
        <v>-1291638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71408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71408</v>
      </c>
      <c r="C2658" s="2" t="s">
        <v>569</v>
      </c>
      <c r="D2658" s="2" t="str">
        <f t="shared" si="40"/>
        <v>Error?</v>
      </c>
    </row>
    <row r="2659" spans="1:4" x14ac:dyDescent="0.2">
      <c r="A2659" s="5">
        <v>2598</v>
      </c>
      <c r="B2659" s="1832">
        <f>'Acct Summary 7-8'!H13</f>
        <v>6078031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6078031</v>
      </c>
      <c r="C2661" s="2" t="s">
        <v>569</v>
      </c>
      <c r="D2661" s="2" t="str">
        <f t="shared" si="40"/>
        <v>Error?</v>
      </c>
    </row>
    <row r="2662" spans="1:4" x14ac:dyDescent="0.2">
      <c r="A2662" s="5">
        <v>2601</v>
      </c>
      <c r="B2662" s="1832">
        <f>'Acct Summary 7-8'!H20</f>
        <v>-6006623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188966</v>
      </c>
      <c r="D2718" s="2" t="str">
        <f t="shared" si="41"/>
        <v>Error?</v>
      </c>
    </row>
    <row r="2719" spans="1:4" x14ac:dyDescent="0.2">
      <c r="A2719" s="5">
        <v>2658</v>
      </c>
      <c r="B2719" s="1832">
        <f>'Expenditures 15-22'!D51</f>
        <v>69096</v>
      </c>
      <c r="D2719" s="2" t="str">
        <f t="shared" si="41"/>
        <v>Error?</v>
      </c>
    </row>
    <row r="2720" spans="1:4" x14ac:dyDescent="0.2">
      <c r="A2720" s="5">
        <v>2659</v>
      </c>
      <c r="B2720" s="1832">
        <f>'Expenditures 15-22'!E51</f>
        <v>3185</v>
      </c>
      <c r="D2720" s="2" t="str">
        <f t="shared" si="41"/>
        <v>Error?</v>
      </c>
    </row>
    <row r="2721" spans="1:4" x14ac:dyDescent="0.2">
      <c r="A2721" s="5">
        <v>2660</v>
      </c>
      <c r="B2721" s="1832">
        <f>'Expenditures 15-22'!F51</f>
        <v>738</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410</v>
      </c>
      <c r="D2723" s="2" t="str">
        <f t="shared" si="41"/>
        <v>Error?</v>
      </c>
    </row>
    <row r="2724" spans="1:4" x14ac:dyDescent="0.2">
      <c r="A2724" s="5">
        <v>2663</v>
      </c>
      <c r="B2724" s="1832">
        <f>'Expenditures 15-22'!K51</f>
        <v>264926</v>
      </c>
      <c r="C2724" s="2" t="s">
        <v>569</v>
      </c>
      <c r="D2724" s="2" t="str">
        <f t="shared" si="41"/>
        <v>Error?</v>
      </c>
    </row>
    <row r="2725" spans="1:4" x14ac:dyDescent="0.2">
      <c r="A2725" s="5">
        <v>2664</v>
      </c>
      <c r="B2725" s="1832">
        <f>'Expenditures 15-22'!D247</f>
        <v>9949</v>
      </c>
      <c r="D2725" s="2" t="str">
        <f t="shared" si="41"/>
        <v>Error?</v>
      </c>
    </row>
    <row r="2726" spans="1:4" x14ac:dyDescent="0.2">
      <c r="A2726" s="5">
        <v>2665</v>
      </c>
      <c r="B2726" s="1832">
        <f>'Expenditures 15-22'!K247</f>
        <v>9949</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237022</v>
      </c>
      <c r="C2789" s="2" t="s">
        <v>569</v>
      </c>
      <c r="D2789" s="2" t="str">
        <f t="shared" si="42"/>
        <v>Error?</v>
      </c>
    </row>
    <row r="2790" spans="1:4" x14ac:dyDescent="0.2">
      <c r="A2790" s="5">
        <v>2729</v>
      </c>
      <c r="B2790" s="1832">
        <f>'Expenditures 15-22'!E102</f>
        <v>237022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129655</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129655</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2167</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376082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809215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95806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4422</v>
      </c>
      <c r="D2908" s="2" t="str">
        <f t="shared" si="44"/>
        <v>Error?</v>
      </c>
    </row>
    <row r="2909" spans="1:4" x14ac:dyDescent="0.2">
      <c r="A2909" s="10">
        <v>2848</v>
      </c>
      <c r="B2909" s="1832"/>
      <c r="D2909" s="2" t="str">
        <f t="shared" si="44"/>
        <v>OK</v>
      </c>
    </row>
    <row r="2910" spans="1:4" x14ac:dyDescent="0.2">
      <c r="A2910" s="5">
        <v>2849</v>
      </c>
      <c r="B2910" s="1832">
        <f>'Assets-Liab 5-6'!I34</f>
        <v>4422</v>
      </c>
      <c r="C2910" s="2" t="s">
        <v>569</v>
      </c>
      <c r="D2910" s="2" t="str">
        <f t="shared" si="44"/>
        <v>Error?</v>
      </c>
    </row>
    <row r="2911" spans="1:4" x14ac:dyDescent="0.2">
      <c r="A2911" s="5">
        <v>2850</v>
      </c>
      <c r="B2911" s="1832">
        <f>'Assets-Liab 5-6'!I38</f>
        <v>804793</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809215</v>
      </c>
      <c r="C2913" s="2" t="s">
        <v>569</v>
      </c>
      <c r="D2913" s="2" t="str">
        <f t="shared" si="44"/>
        <v>Error?</v>
      </c>
    </row>
    <row r="2914" spans="1:4" x14ac:dyDescent="0.2">
      <c r="A2914" s="5">
        <v>2853</v>
      </c>
      <c r="B2914" s="1832">
        <f>'Assets-Liab 5-6'!L33</f>
        <v>95806</v>
      </c>
      <c r="D2914" s="2" t="str">
        <f t="shared" si="44"/>
        <v>Error?</v>
      </c>
    </row>
    <row r="2915" spans="1:4" x14ac:dyDescent="0.2">
      <c r="A2915" s="10">
        <v>2854</v>
      </c>
      <c r="B2915" s="1832"/>
      <c r="D2915" s="2" t="str">
        <f t="shared" si="44"/>
        <v>OK</v>
      </c>
    </row>
    <row r="2916" spans="1:4" x14ac:dyDescent="0.2">
      <c r="A2916" s="5">
        <v>2855</v>
      </c>
      <c r="B2916" s="1832">
        <f>'Assets-Liab 5-6'!L34</f>
        <v>95806</v>
      </c>
      <c r="C2916" s="2" t="s">
        <v>569</v>
      </c>
      <c r="D2916" s="2" t="str">
        <f t="shared" si="44"/>
        <v>Error?</v>
      </c>
    </row>
    <row r="2917" spans="1:4" x14ac:dyDescent="0.2">
      <c r="A2917" s="5">
        <v>2856</v>
      </c>
      <c r="B2917" s="1832">
        <f>'Assets-Liab 5-6'!L41</f>
        <v>95806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234229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2793</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1600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234229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4393</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322185</v>
      </c>
      <c r="D3055" s="2" t="str">
        <f t="shared" si="46"/>
        <v>Error?</v>
      </c>
    </row>
    <row r="3056" spans="1:4" x14ac:dyDescent="0.2">
      <c r="A3056" s="5">
        <v>2995</v>
      </c>
      <c r="B3056" s="1832">
        <f>'Expenditures 15-22'!D10</f>
        <v>116096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24353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462634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17963</v>
      </c>
      <c r="D3064" s="2" t="str">
        <f t="shared" si="46"/>
        <v>Error?</v>
      </c>
    </row>
    <row r="3065" spans="1:4" x14ac:dyDescent="0.2">
      <c r="A3065" s="5">
        <v>3004</v>
      </c>
      <c r="B3065" s="1832">
        <f>'Expenditures 15-22'!K219</f>
        <v>17963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24677</v>
      </c>
      <c r="C3225" s="2" t="s">
        <v>569</v>
      </c>
      <c r="D3225" s="2" t="str">
        <f t="shared" si="49"/>
        <v>Error?</v>
      </c>
    </row>
    <row r="3226" spans="1:4" x14ac:dyDescent="0.2">
      <c r="A3226" s="5">
        <v>3165</v>
      </c>
      <c r="B3226" s="1832">
        <f>'Acct Summary 7-8'!I8</f>
        <v>24677</v>
      </c>
      <c r="C3226" s="2" t="s">
        <v>569</v>
      </c>
      <c r="D3226" s="2" t="str">
        <f t="shared" si="49"/>
        <v>Error?</v>
      </c>
    </row>
    <row r="3227" spans="1:4" x14ac:dyDescent="0.2">
      <c r="A3227" s="5">
        <v>3166</v>
      </c>
      <c r="B3227" s="1832">
        <f>'Acct Summary 7-8'!I20</f>
        <v>24677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20375</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1818588</v>
      </c>
      <c r="C3231" s="2" t="s">
        <v>569</v>
      </c>
      <c r="D3231" s="2" t="str">
        <f t="shared" si="49"/>
        <v>Error?</v>
      </c>
    </row>
    <row r="3232" spans="1:4" x14ac:dyDescent="0.2">
      <c r="A3232" s="5">
        <v>3171</v>
      </c>
      <c r="B3232" s="1832">
        <f>'Acct Summary 7-8'!C77</f>
        <v>-1798213</v>
      </c>
      <c r="C3232" s="2" t="s">
        <v>569</v>
      </c>
      <c r="D3232" s="2" t="str">
        <f t="shared" si="49"/>
        <v>Error?</v>
      </c>
    </row>
    <row r="3233" spans="1:4" x14ac:dyDescent="0.2">
      <c r="A3233" s="5">
        <v>3172</v>
      </c>
      <c r="B3233" s="1832">
        <f>'Acct Summary 7-8'!C78</f>
        <v>-399338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1000000</v>
      </c>
      <c r="C3237" s="2" t="s">
        <v>569</v>
      </c>
      <c r="D3237" s="2" t="str">
        <f t="shared" si="49"/>
        <v>Error?</v>
      </c>
    </row>
    <row r="3238" spans="1:4" x14ac:dyDescent="0.2">
      <c r="A3238" s="5">
        <v>3177</v>
      </c>
      <c r="B3238" s="1832">
        <f>'Acct Summary 7-8'!D77</f>
        <v>-1000000</v>
      </c>
      <c r="C3238" s="2" t="s">
        <v>569</v>
      </c>
      <c r="D3238" s="2" t="str">
        <f t="shared" si="49"/>
        <v>Error?</v>
      </c>
    </row>
    <row r="3239" spans="1:4" x14ac:dyDescent="0.2">
      <c r="A3239" s="5">
        <v>3178</v>
      </c>
      <c r="B3239" s="1832">
        <f>'Acct Summary 7-8'!D78</f>
        <v>-183521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1067320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342404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318588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318588</v>
      </c>
      <c r="C3277" s="2" t="s">
        <v>569</v>
      </c>
      <c r="D3277" s="2" t="str">
        <f t="shared" si="50"/>
        <v>Error?</v>
      </c>
    </row>
    <row r="3278" spans="1:4" x14ac:dyDescent="0.2">
      <c r="A3278" s="5">
        <v>3217</v>
      </c>
      <c r="B3278" s="1832">
        <f>'Acct Summary 7-8'!E78</f>
        <v>-973050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2500000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2500000</v>
      </c>
      <c r="C3299" s="2" t="s">
        <v>569</v>
      </c>
      <c r="D3299" s="2" t="str">
        <f t="shared" si="50"/>
        <v>Error?</v>
      </c>
    </row>
    <row r="3300" spans="1:4" x14ac:dyDescent="0.2">
      <c r="A3300" s="5">
        <v>3239</v>
      </c>
      <c r="B3300" s="1832">
        <f>'Acct Summary 7-8'!H78</f>
        <v>-3506623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20375</v>
      </c>
      <c r="C3318" s="2" t="s">
        <v>569</v>
      </c>
      <c r="D3318" s="2" t="str">
        <f t="shared" si="50"/>
        <v>Error?</v>
      </c>
    </row>
    <row r="3319" spans="1:4" x14ac:dyDescent="0.2">
      <c r="A3319" s="5">
        <v>3258</v>
      </c>
      <c r="B3319" s="1832">
        <f>'Acct Summary 7-8'!I77</f>
        <v>-20375</v>
      </c>
      <c r="C3319" s="2" t="s">
        <v>569</v>
      </c>
      <c r="D3319" s="2" t="str">
        <f t="shared" si="50"/>
        <v>Error?</v>
      </c>
    </row>
    <row r="3320" spans="1:4" x14ac:dyDescent="0.2">
      <c r="A3320" s="5">
        <v>3259</v>
      </c>
      <c r="B3320" s="1832">
        <f>'Acct Summary 7-8'!I78</f>
        <v>4302</v>
      </c>
      <c r="C3320" s="2" t="s">
        <v>569</v>
      </c>
      <c r="D3320" s="2" t="str">
        <f t="shared" si="50"/>
        <v>Error?</v>
      </c>
    </row>
    <row r="3321" spans="1:4" x14ac:dyDescent="0.2">
      <c r="A3321" s="5">
        <v>3260</v>
      </c>
      <c r="B3321" s="1832">
        <f>'Acct Summary 7-8'!I79</f>
        <v>800491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804793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1890596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720512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33102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12742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2656952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131968</v>
      </c>
      <c r="D3387" s="2" t="str">
        <f t="shared" si="51"/>
        <v>Error?</v>
      </c>
    </row>
    <row r="3388" spans="1:4" x14ac:dyDescent="0.2">
      <c r="A3388" s="5">
        <v>3327</v>
      </c>
      <c r="B3388" s="1832">
        <f>'Expenditures 15-22'!D217</f>
        <v>142180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131968</v>
      </c>
      <c r="C3390" s="2" t="s">
        <v>569</v>
      </c>
      <c r="D3390" s="2" t="str">
        <f t="shared" si="51"/>
        <v>Error?</v>
      </c>
    </row>
    <row r="3391" spans="1:4" x14ac:dyDescent="0.2">
      <c r="A3391" s="5">
        <v>3330</v>
      </c>
      <c r="B3391" s="1832">
        <f>'Expenditures 15-22'!K217</f>
        <v>142180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13581163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1388727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427058</v>
      </c>
      <c r="D3417" s="2" t="str">
        <f t="shared" si="52"/>
        <v>Error?</v>
      </c>
    </row>
    <row r="3418" spans="1:4" x14ac:dyDescent="0.2">
      <c r="A3418" s="10">
        <v>3357</v>
      </c>
      <c r="B3418" s="1832"/>
      <c r="D3418" s="2" t="str">
        <f t="shared" si="52"/>
        <v>OK</v>
      </c>
    </row>
    <row r="3419" spans="1:4" x14ac:dyDescent="0.2">
      <c r="A3419" s="5">
        <v>3358</v>
      </c>
      <c r="B3419" s="1832">
        <f>'Assets-Liab 5-6'!F4</f>
        <v>1396016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499652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1400660</v>
      </c>
      <c r="D3425" s="2" t="str">
        <f t="shared" si="52"/>
        <v>Error?</v>
      </c>
    </row>
    <row r="3426" spans="1:4" x14ac:dyDescent="0.2">
      <c r="A3426" s="10">
        <v>3365</v>
      </c>
      <c r="B3426" s="1832"/>
      <c r="D3426" s="2" t="str">
        <f t="shared" si="52"/>
        <v>OK</v>
      </c>
    </row>
    <row r="3427" spans="1:4" x14ac:dyDescent="0.2">
      <c r="A3427" s="5">
        <v>3366</v>
      </c>
      <c r="B3427" s="1832">
        <f>'Assets-Liab 5-6'!I4</f>
        <v>430966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95806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798988</v>
      </c>
      <c r="C3446" s="2" t="s">
        <v>569</v>
      </c>
      <c r="D3446" s="2" t="str">
        <f t="shared" si="52"/>
        <v>Error?</v>
      </c>
    </row>
    <row r="3447" spans="1:4" x14ac:dyDescent="0.2">
      <c r="A3447" s="5">
        <v>3386</v>
      </c>
      <c r="B3447" s="1832">
        <f>'Tax Sched 23'!D16</f>
        <v>544174</v>
      </c>
      <c r="C3447" s="2" t="s">
        <v>569</v>
      </c>
      <c r="D3447" s="2" t="str">
        <f t="shared" si="52"/>
        <v>Error?</v>
      </c>
    </row>
    <row r="3448" spans="1:4" x14ac:dyDescent="0.2">
      <c r="A3448" s="5">
        <v>3387</v>
      </c>
      <c r="B3448" s="1832">
        <f>'Tax Sched 23'!C16</f>
        <v>254814</v>
      </c>
      <c r="D3448" s="2" t="str">
        <f t="shared" si="52"/>
        <v>Error?</v>
      </c>
    </row>
    <row r="3449" spans="1:4" x14ac:dyDescent="0.2">
      <c r="A3449" s="5">
        <v>3388</v>
      </c>
      <c r="B3449" s="1832">
        <f>'Tax Sched 23'!F16</f>
        <v>244883</v>
      </c>
      <c r="C3449" s="2" t="s">
        <v>569</v>
      </c>
      <c r="D3449" s="2" t="str">
        <f t="shared" si="52"/>
        <v>Error?</v>
      </c>
    </row>
    <row r="3450" spans="1:4" x14ac:dyDescent="0.2">
      <c r="A3450" s="5">
        <v>3389</v>
      </c>
      <c r="B3450" s="1832">
        <f>'Tax Sched 23'!E16</f>
        <v>499697</v>
      </c>
      <c r="D3450" s="2" t="str">
        <f t="shared" si="52"/>
        <v>Error?</v>
      </c>
    </row>
    <row r="3451" spans="1:4" x14ac:dyDescent="0.2">
      <c r="A3451" s="5">
        <v>3390</v>
      </c>
      <c r="B3451" s="1832">
        <f>'Cap Outlay Deprec 26'!C15</f>
        <v>31714806</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31714806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142273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12276265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39579217</v>
      </c>
      <c r="C4122" s="2" t="s">
        <v>569</v>
      </c>
      <c r="D4122" s="2" t="str">
        <f t="shared" si="63"/>
        <v>Error?</v>
      </c>
    </row>
    <row r="4123" spans="1:4" x14ac:dyDescent="0.2">
      <c r="A4123" s="5">
        <v>4062</v>
      </c>
      <c r="B4123" s="1832">
        <f>'Acct Summary 7-8'!D10</f>
        <v>3312145</v>
      </c>
      <c r="C4123" s="2" t="s">
        <v>569</v>
      </c>
      <c r="D4123" s="2" t="str">
        <f t="shared" si="63"/>
        <v>Error?</v>
      </c>
    </row>
    <row r="4124" spans="1:4" x14ac:dyDescent="0.2">
      <c r="A4124" s="5">
        <v>4063</v>
      </c>
      <c r="B4124" s="1832">
        <f>'Acct Summary 7-8'!E10</f>
        <v>767964</v>
      </c>
      <c r="C4124" s="2" t="s">
        <v>569</v>
      </c>
      <c r="D4124" s="2" t="str">
        <f t="shared" si="63"/>
        <v>Error?</v>
      </c>
    </row>
    <row r="4125" spans="1:4" x14ac:dyDescent="0.2">
      <c r="A4125" s="5">
        <v>4064</v>
      </c>
      <c r="B4125" s="1832">
        <f>'Acct Summary 7-8'!F10</f>
        <v>2700860</v>
      </c>
      <c r="C4125" s="2" t="s">
        <v>569</v>
      </c>
      <c r="D4125" s="2" t="str">
        <f t="shared" si="63"/>
        <v>Error?</v>
      </c>
    </row>
    <row r="4126" spans="1:4" x14ac:dyDescent="0.2">
      <c r="A4126" s="5">
        <v>4065</v>
      </c>
      <c r="B4126" s="1832">
        <f>'Acct Summary 7-8'!G10</f>
        <v>1203456</v>
      </c>
      <c r="C4126" s="2" t="s">
        <v>569</v>
      </c>
      <c r="D4126" s="2" t="str">
        <f t="shared" si="63"/>
        <v>Error?</v>
      </c>
    </row>
    <row r="4127" spans="1:4" x14ac:dyDescent="0.2">
      <c r="A4127" s="5">
        <v>4066</v>
      </c>
      <c r="B4127" s="1832">
        <f>'Acct Summary 7-8'!H10</f>
        <v>71408</v>
      </c>
      <c r="C4127" s="2" t="s">
        <v>569</v>
      </c>
      <c r="D4127" s="2" t="str">
        <f t="shared" si="63"/>
        <v>Error?</v>
      </c>
    </row>
    <row r="4128" spans="1:4" x14ac:dyDescent="0.2">
      <c r="A4128" s="5">
        <v>4067</v>
      </c>
      <c r="B4128" s="1832">
        <f>'Acct Summary 7-8'!I10</f>
        <v>24677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12276265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38180342</v>
      </c>
      <c r="C4136" s="2" t="s">
        <v>569</v>
      </c>
      <c r="D4136" s="2" t="str">
        <f t="shared" si="63"/>
        <v>Error?</v>
      </c>
    </row>
    <row r="4137" spans="1:4" x14ac:dyDescent="0.2">
      <c r="A4137" s="5">
        <v>4076</v>
      </c>
      <c r="B4137" s="1832">
        <f>'Acct Summary 7-8'!D19</f>
        <v>2495666</v>
      </c>
      <c r="C4137" s="2" t="s">
        <v>569</v>
      </c>
      <c r="D4137" s="2" t="str">
        <f t="shared" si="63"/>
        <v>Error?</v>
      </c>
    </row>
    <row r="4138" spans="1:4" x14ac:dyDescent="0.2">
      <c r="A4138" s="5">
        <v>4077</v>
      </c>
      <c r="B4138" s="1832">
        <f>'Acct Summary 7-8'!E19</f>
        <v>2059602</v>
      </c>
      <c r="C4138" s="2" t="s">
        <v>569</v>
      </c>
      <c r="D4138" s="2" t="str">
        <f t="shared" si="63"/>
        <v>Error?</v>
      </c>
    </row>
    <row r="4139" spans="1:4" x14ac:dyDescent="0.2">
      <c r="A4139" s="5">
        <v>4078</v>
      </c>
      <c r="B4139" s="1832">
        <f>'Acct Summary 7-8'!F19</f>
        <v>1633540</v>
      </c>
      <c r="C4139" s="2" t="s">
        <v>569</v>
      </c>
      <c r="D4139" s="2" t="str">
        <f t="shared" si="63"/>
        <v>Error?</v>
      </c>
    </row>
    <row r="4140" spans="1:4" x14ac:dyDescent="0.2">
      <c r="A4140" s="5">
        <v>4079</v>
      </c>
      <c r="B4140" s="1832">
        <f>'Acct Summary 7-8'!G19</f>
        <v>861052</v>
      </c>
      <c r="C4140" s="2" t="s">
        <v>569</v>
      </c>
      <c r="D4140" s="2" t="str">
        <f t="shared" si="63"/>
        <v>Error?</v>
      </c>
    </row>
    <row r="4141" spans="1:4" x14ac:dyDescent="0.2">
      <c r="A4141" s="5">
        <v>4080</v>
      </c>
      <c r="B4141" s="1832">
        <f>'Acct Summary 7-8'!H19</f>
        <v>6078031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12470000</v>
      </c>
      <c r="C4171" s="2" t="s">
        <v>569</v>
      </c>
      <c r="D4171" s="2" t="str">
        <f t="shared" si="64"/>
        <v>Error?</v>
      </c>
    </row>
    <row r="4172" spans="1:4" x14ac:dyDescent="0.2">
      <c r="A4172" s="5">
        <v>4111</v>
      </c>
      <c r="B4172" s="1832">
        <f>'Short-Term Long-Term Debt 24'!J49</f>
        <v>12470000</v>
      </c>
      <c r="C4172" s="2" t="s">
        <v>569</v>
      </c>
      <c r="D4172" s="2" t="str">
        <f t="shared" si="64"/>
        <v>Error?</v>
      </c>
    </row>
    <row r="4173" spans="1:4" x14ac:dyDescent="0.2">
      <c r="A4173" s="5">
        <v>4112</v>
      </c>
      <c r="B4173" s="1832">
        <f>'Short-Term Long-Term Debt 24'!H49</f>
        <v>1472958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3088.9</v>
      </c>
      <c r="C4265" s="2" t="s">
        <v>569</v>
      </c>
      <c r="D4265" s="2" t="str">
        <f t="shared" si="65"/>
        <v>Error?</v>
      </c>
      <c r="E4265" s="125"/>
    </row>
    <row r="4266" spans="1:5" x14ac:dyDescent="0.2">
      <c r="A4266" s="12">
        <v>4205</v>
      </c>
      <c r="B4266" s="1832">
        <f>('FP Info 3'!F10)*100000</f>
        <v>623.6</v>
      </c>
      <c r="C4266" s="2" t="s">
        <v>569</v>
      </c>
      <c r="D4266" s="2" t="str">
        <f t="shared" si="65"/>
        <v>Error?</v>
      </c>
      <c r="E4266" s="125"/>
    </row>
    <row r="4267" spans="1:5" x14ac:dyDescent="0.2">
      <c r="A4267" s="12">
        <v>4206</v>
      </c>
      <c r="B4267" s="1832">
        <f>('FP Info 3'!H10)*100000</f>
        <v>159.9</v>
      </c>
      <c r="C4267" s="2" t="s">
        <v>569</v>
      </c>
      <c r="D4267" s="2" t="str">
        <f t="shared" si="65"/>
        <v>Error?</v>
      </c>
      <c r="E4267" s="125"/>
    </row>
    <row r="4268" spans="1:5" x14ac:dyDescent="0.2">
      <c r="A4268" s="12">
        <v>4207</v>
      </c>
      <c r="B4268" s="1832">
        <f>('FP Info 3'!J10)*100000</f>
        <v>3871.9999999999995</v>
      </c>
      <c r="C4268" s="2" t="s">
        <v>569</v>
      </c>
      <c r="D4268" s="2" t="str">
        <f t="shared" si="65"/>
        <v>Error?</v>
      </c>
    </row>
    <row r="4269" spans="1:5" x14ac:dyDescent="0.2">
      <c r="A4269" s="12">
        <v>4208</v>
      </c>
      <c r="B4269" s="1832">
        <f>'FP Info 3'!J16</f>
        <v>14737603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5780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31314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88175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3939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34298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12515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1047</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3214</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631727771</v>
      </c>
      <c r="D4995" s="2" t="str">
        <f t="shared" si="77"/>
        <v>Error?</v>
      </c>
    </row>
    <row r="4996" spans="1:4" x14ac:dyDescent="0.2">
      <c r="A4996" s="12">
        <v>4935</v>
      </c>
      <c r="B4996" s="1832">
        <f>'FP Info 3'!H31</f>
        <v>87178432.398000002</v>
      </c>
      <c r="D4996" s="2" t="str">
        <f t="shared" si="77"/>
        <v>Error?</v>
      </c>
    </row>
    <row r="4997" spans="1:4" x14ac:dyDescent="0.2">
      <c r="A4997" s="12">
        <v>4936</v>
      </c>
      <c r="B4997" s="1832">
        <f>'FP Info 3'!H37</f>
        <v>12470000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18274083</v>
      </c>
      <c r="D5061" s="2" t="str">
        <f t="shared" si="78"/>
        <v>Error?</v>
      </c>
    </row>
    <row r="5062" spans="1:4" x14ac:dyDescent="0.2">
      <c r="A5062" s="10">
        <v>5001</v>
      </c>
      <c r="B5062" s="1832"/>
      <c r="D5062" s="2" t="str">
        <f t="shared" si="78"/>
        <v>OK</v>
      </c>
    </row>
    <row r="5063" spans="1:4" x14ac:dyDescent="0.2">
      <c r="A5063" s="5">
        <v>5002</v>
      </c>
      <c r="B5063" s="1832">
        <f>'Revenues 9-14'!C7</f>
        <v>4867680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23141763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350817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350817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584411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584411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89823</v>
      </c>
      <c r="D5092" s="2" t="str">
        <f t="shared" si="78"/>
        <v>Error?</v>
      </c>
    </row>
    <row r="5093" spans="1:4" x14ac:dyDescent="0.2">
      <c r="A5093" s="5">
        <v>5032</v>
      </c>
      <c r="B5093" s="1832">
        <f>'Revenues 9-14'!C72</f>
        <v>1987</v>
      </c>
      <c r="D5093" s="2" t="str">
        <f t="shared" si="78"/>
        <v>Error?</v>
      </c>
    </row>
    <row r="5094" spans="1:4" x14ac:dyDescent="0.2">
      <c r="A5094" s="5">
        <v>5033</v>
      </c>
      <c r="B5094" s="1832">
        <f>'Revenues 9-14'!C73</f>
        <v>1373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204517</v>
      </c>
      <c r="C5096" s="2" t="s">
        <v>569</v>
      </c>
      <c r="D5096" s="2" t="str">
        <f t="shared" si="78"/>
        <v>Error?</v>
      </c>
    </row>
    <row r="5097" spans="1:4" x14ac:dyDescent="0.2">
      <c r="A5097" s="5">
        <v>5036</v>
      </c>
      <c r="B5097" s="1832">
        <f>'Revenues 9-14'!C77</f>
        <v>15595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63014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78609</v>
      </c>
      <c r="C5102" s="2" t="s">
        <v>569</v>
      </c>
      <c r="D5102" s="2" t="str">
        <f t="shared" si="78"/>
        <v>Error?</v>
      </c>
    </row>
    <row r="5103" spans="1:4" x14ac:dyDescent="0.2">
      <c r="A5103" s="5">
        <v>5042</v>
      </c>
      <c r="B5103" s="1832">
        <f>'Revenues 9-14'!C84</f>
        <v>182978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50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183028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15466</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23592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91</v>
      </c>
      <c r="D5119" s="2" t="str">
        <f t="shared" ref="D5119:D5182" si="79">IF(ISBLANK(B5119),"OK",IF(A5119-B5119=0,"OK","Error?"))</f>
        <v>Error?</v>
      </c>
    </row>
    <row r="5120" spans="1:4" x14ac:dyDescent="0.2">
      <c r="A5120" s="5">
        <v>5059</v>
      </c>
      <c r="B5120" s="1832">
        <f>'Revenues 9-14'!C108</f>
        <v>66658</v>
      </c>
      <c r="C5120" s="2" t="s">
        <v>569</v>
      </c>
      <c r="D5120" s="2" t="str">
        <f t="shared" si="79"/>
        <v>Error?</v>
      </c>
    </row>
    <row r="5121" spans="1:4" x14ac:dyDescent="0.2">
      <c r="A5121" s="5">
        <v>5060</v>
      </c>
      <c r="B5121" s="1832">
        <f>'Revenues 9-14'!C109</f>
        <v>24609803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1254018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1254018</v>
      </c>
      <c r="C5132" s="2" t="s">
        <v>569</v>
      </c>
      <c r="D5132" s="2" t="str">
        <f t="shared" si="79"/>
        <v>Error?</v>
      </c>
    </row>
    <row r="5133" spans="1:4" x14ac:dyDescent="0.2">
      <c r="A5133" s="5">
        <v>5072</v>
      </c>
      <c r="B5133" s="1832">
        <f>'Revenues 9-14'!C125</f>
        <v>235525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166955</v>
      </c>
      <c r="D5137" s="2" t="str">
        <f t="shared" si="79"/>
        <v>Error?</v>
      </c>
    </row>
    <row r="5138" spans="1:4" x14ac:dyDescent="0.2">
      <c r="A5138" s="10">
        <v>5077</v>
      </c>
      <c r="B5138" s="1832"/>
      <c r="D5138" s="2" t="str">
        <f t="shared" si="79"/>
        <v>OK</v>
      </c>
    </row>
    <row r="5139" spans="1:4" x14ac:dyDescent="0.2">
      <c r="A5139" s="5">
        <v>5078</v>
      </c>
      <c r="B5139" s="1832">
        <f>'Revenues 9-14'!C129</f>
        <v>4405</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406885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6298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6298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1435</v>
      </c>
      <c r="D5167" s="2" t="str">
        <f t="shared" si="79"/>
        <v>Error?</v>
      </c>
    </row>
    <row r="5168" spans="1:4" x14ac:dyDescent="0.2">
      <c r="A5168" s="5">
        <v>5107</v>
      </c>
      <c r="B5168" s="1832">
        <f>'Revenues 9-14'!C148</f>
        <v>20274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435939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1689957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121382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20891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142273</v>
      </c>
      <c r="C5246" s="2" t="s">
        <v>569</v>
      </c>
      <c r="D5246" s="2" t="str">
        <f t="shared" si="80"/>
        <v>Error?</v>
      </c>
    </row>
    <row r="5247" spans="1:4" x14ac:dyDescent="0.2">
      <c r="A5247" s="5">
        <v>5186</v>
      </c>
      <c r="B5247" s="1832">
        <f>'Revenues 9-14'!C200</f>
        <v>143743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3939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143743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12792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529434</v>
      </c>
      <c r="D5278" s="2" t="str">
        <f t="shared" si="81"/>
        <v>Error?</v>
      </c>
    </row>
    <row r="5279" spans="1:4" x14ac:dyDescent="0.2">
      <c r="A5279" s="5">
        <v>5218</v>
      </c>
      <c r="B5279" s="1832">
        <f>'Revenues 9-14'!C214</f>
        <v>3529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545755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5780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4701</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1003192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1003192</v>
      </c>
      <c r="C5326" s="2" t="s">
        <v>569</v>
      </c>
      <c r="D5326" s="2" t="str">
        <f t="shared" si="82"/>
        <v>Error?</v>
      </c>
    </row>
    <row r="5327" spans="1:5" x14ac:dyDescent="0.2">
      <c r="A5327" s="5">
        <v>5266</v>
      </c>
      <c r="B5327" s="1832">
        <f>'Revenues 9-14'!C268</f>
        <v>27302952</v>
      </c>
      <c r="C5327" s="2" t="s">
        <v>569</v>
      </c>
      <c r="D5327" s="2" t="str">
        <f t="shared" si="82"/>
        <v>Error?</v>
      </c>
    </row>
    <row r="5328" spans="1:5" x14ac:dyDescent="0.2">
      <c r="A5328" s="5">
        <v>5267</v>
      </c>
      <c r="B5328" s="1832">
        <f>'Revenues 9-14'!D5</f>
        <v>3094542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3094542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43554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43554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113470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10579</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124049</v>
      </c>
      <c r="C5355" s="2" t="s">
        <v>569</v>
      </c>
      <c r="D5355" s="2" t="str">
        <f t="shared" si="82"/>
        <v>Error?</v>
      </c>
    </row>
    <row r="5356" spans="1:4" x14ac:dyDescent="0.2">
      <c r="A5356" s="5">
        <v>5295</v>
      </c>
      <c r="B5356" s="1832">
        <f>'Revenues 9-14'!D109</f>
        <v>3262145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3312145</v>
      </c>
      <c r="C5508" s="2" t="s">
        <v>569</v>
      </c>
      <c r="D5508" s="2" t="str">
        <f t="shared" si="85"/>
        <v>Error?</v>
      </c>
    </row>
    <row r="5509" spans="1:4" x14ac:dyDescent="0.2">
      <c r="A5509" s="5">
        <v>5448</v>
      </c>
      <c r="B5509" s="1832">
        <f>'Revenues 9-14'!E5</f>
        <v>738757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738757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29207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29207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767964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767964</v>
      </c>
      <c r="C5552" s="2" t="s">
        <v>569</v>
      </c>
      <c r="D5552" s="2" t="str">
        <f t="shared" si="85"/>
        <v>Error?</v>
      </c>
    </row>
    <row r="5553" spans="1:4" x14ac:dyDescent="0.2">
      <c r="A5553" s="5">
        <v>5492</v>
      </c>
      <c r="B5553" s="1832">
        <f>'Revenues 9-14'!F5</f>
        <v>1796494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1796494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33494</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6659</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40153</v>
      </c>
      <c r="C5579" s="2" t="s">
        <v>569</v>
      </c>
      <c r="D5579" s="2" t="str">
        <f t="shared" si="86"/>
        <v>Error?</v>
      </c>
    </row>
    <row r="5580" spans="1:4" x14ac:dyDescent="0.2">
      <c r="A5580" s="5">
        <v>5519</v>
      </c>
      <c r="B5580" s="1832">
        <f>'Revenues 9-14'!F65</f>
        <v>58851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58851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1895498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29705</v>
      </c>
      <c r="D5604" s="2" t="str">
        <f t="shared" si="86"/>
        <v>Error?</v>
      </c>
    </row>
    <row r="5605" spans="1:4" x14ac:dyDescent="0.2">
      <c r="A5605" s="10">
        <v>5544</v>
      </c>
      <c r="B5605" s="1832"/>
      <c r="D5605" s="2" t="str">
        <f t="shared" si="86"/>
        <v>OK</v>
      </c>
    </row>
    <row r="5606" spans="1:4" x14ac:dyDescent="0.2">
      <c r="A5606" s="5">
        <v>5545</v>
      </c>
      <c r="B5606" s="1832">
        <f>'Revenues 9-14'!F129</f>
        <v>952</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30657</v>
      </c>
      <c r="C5614" s="2" t="s">
        <v>569</v>
      </c>
      <c r="D5614" s="2" t="str">
        <f t="shared" si="86"/>
        <v>Error?</v>
      </c>
    </row>
    <row r="5615" spans="1:4" x14ac:dyDescent="0.2">
      <c r="A5615" s="5">
        <v>5554</v>
      </c>
      <c r="B5615" s="1832">
        <f>'Revenues 9-14'!F152</f>
        <v>348574</v>
      </c>
      <c r="D5615" s="2" t="str">
        <f t="shared" si="86"/>
        <v>Error?</v>
      </c>
    </row>
    <row r="5616" spans="1:4" x14ac:dyDescent="0.2">
      <c r="A5616" s="10">
        <v>5555</v>
      </c>
      <c r="B5616" s="1832"/>
      <c r="D5616" s="2" t="str">
        <f t="shared" si="86"/>
        <v>OK</v>
      </c>
    </row>
    <row r="5617" spans="1:5" x14ac:dyDescent="0.2">
      <c r="A5617" s="5">
        <v>5556</v>
      </c>
      <c r="B5617" s="1832">
        <f>'Revenues 9-14'!F153</f>
        <v>426131</v>
      </c>
      <c r="D5617" s="2" t="str">
        <f t="shared" si="86"/>
        <v>Error?</v>
      </c>
    </row>
    <row r="5618" spans="1:5" x14ac:dyDescent="0.2">
      <c r="A5618" s="5">
        <v>5557</v>
      </c>
      <c r="B5618" s="1832">
        <f>'Revenues 9-14'!F155</f>
        <v>774705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805362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805362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2700860</v>
      </c>
      <c r="C5720" s="2" t="s">
        <v>569</v>
      </c>
      <c r="D5720" s="2" t="str">
        <f t="shared" si="88"/>
        <v>Error?</v>
      </c>
    </row>
    <row r="5721" spans="1:4" x14ac:dyDescent="0.2">
      <c r="A5721" s="5">
        <v>5660</v>
      </c>
      <c r="B5721" s="1832">
        <f>'Revenues 9-14'!G5</f>
        <v>359545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798988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1158533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25156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25156</v>
      </c>
      <c r="C5730" s="2" t="s">
        <v>569</v>
      </c>
      <c r="D5730" s="2" t="str">
        <f t="shared" si="88"/>
        <v>Error?</v>
      </c>
    </row>
    <row r="5731" spans="1:4" x14ac:dyDescent="0.2">
      <c r="A5731" s="5">
        <v>5670</v>
      </c>
      <c r="B5731" s="1832">
        <f>'Revenues 9-14'!G65</f>
        <v>19767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19767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1203456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71408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71408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71408</v>
      </c>
      <c r="C5915" s="2" t="s">
        <v>569</v>
      </c>
      <c r="D5915" s="2" t="str">
        <f t="shared" si="91"/>
        <v>Error?</v>
      </c>
    </row>
    <row r="5916" spans="1:4" x14ac:dyDescent="0.2">
      <c r="A5916" s="5">
        <v>5855</v>
      </c>
      <c r="B5916" s="1832">
        <f>'Revenues 9-14'!I5</f>
        <v>4302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4302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20375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20375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24677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1203456</v>
      </c>
      <c r="C6024" s="2" t="s">
        <v>569</v>
      </c>
      <c r="D6024" s="2" t="str">
        <f t="shared" si="93"/>
        <v>Error?</v>
      </c>
    </row>
    <row r="6025" spans="1:5" x14ac:dyDescent="0.2">
      <c r="A6025" s="5">
        <v>5964</v>
      </c>
      <c r="B6025" s="1832">
        <f>'Revenues 9-14'!H109</f>
        <v>71408</v>
      </c>
      <c r="C6025" s="2" t="s">
        <v>569</v>
      </c>
      <c r="D6025" s="2" t="str">
        <f t="shared" si="93"/>
        <v>Error?</v>
      </c>
    </row>
    <row r="6026" spans="1:5" x14ac:dyDescent="0.2">
      <c r="A6026" s="5">
        <v>5965</v>
      </c>
      <c r="B6026" s="1832">
        <f>'Revenues 9-14'!I109</f>
        <v>24677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111334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23608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1422.2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304699</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193184</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4422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57634</v>
      </c>
      <c r="D6142" s="2" t="str">
        <f t="shared" si="94"/>
        <v>Error?</v>
      </c>
      <c r="E6142" s="2" t="s">
        <v>189</v>
      </c>
    </row>
    <row r="6143" spans="1:5" x14ac:dyDescent="0.2">
      <c r="A6143">
        <v>6082</v>
      </c>
      <c r="B6143" s="1832">
        <f>'Assets-Liab 5-6'!D27</f>
        <v>30628</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2117181</v>
      </c>
      <c r="D6169" s="2" t="str">
        <f t="shared" si="95"/>
        <v>Error?</v>
      </c>
      <c r="E6169" s="2" t="s">
        <v>189</v>
      </c>
    </row>
    <row r="6170" spans="1:5" x14ac:dyDescent="0.2">
      <c r="A6170">
        <v>6109</v>
      </c>
      <c r="B6170" s="1832">
        <f>'Assets-Liab 5-6'!D30</f>
        <v>2187</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6065</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4422</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4422</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4422</v>
      </c>
      <c r="D6216" s="2" t="str">
        <f t="shared" si="96"/>
        <v>Error?</v>
      </c>
      <c r="E6216" s="2" t="s">
        <v>189</v>
      </c>
    </row>
    <row r="6217" spans="1:5" x14ac:dyDescent="0.2">
      <c r="A6217">
        <v>6156</v>
      </c>
      <c r="B6217" s="1832">
        <f>'Assets-Liab 5-6'!J4</f>
        <v>2255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2167</v>
      </c>
      <c r="D6219" s="2" t="str">
        <f t="shared" si="96"/>
        <v>Error?</v>
      </c>
      <c r="E6219" s="2" t="s">
        <v>189</v>
      </c>
    </row>
    <row r="6220" spans="1:5" x14ac:dyDescent="0.2">
      <c r="A6220">
        <v>6159</v>
      </c>
      <c r="B6220" s="1832">
        <f>'Acct Summary 7-8'!J4</f>
        <v>4304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4304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4304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2180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2180</v>
      </c>
      <c r="D6229" s="2" t="str">
        <f t="shared" si="96"/>
        <v>Error?</v>
      </c>
      <c r="E6229" s="2" t="s">
        <v>189</v>
      </c>
    </row>
    <row r="6230" spans="1:5" x14ac:dyDescent="0.2">
      <c r="A6230">
        <v>6169</v>
      </c>
      <c r="B6230" s="1832">
        <f>'Acct Summary 7-8'!J20</f>
        <v>2124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17957</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631</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300000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2124</v>
      </c>
      <c r="D6263" s="2" t="str">
        <f t="shared" si="96"/>
        <v>Error?</v>
      </c>
      <c r="E6263" s="2" t="s">
        <v>189</v>
      </c>
    </row>
    <row r="6264" spans="1:5" x14ac:dyDescent="0.2">
      <c r="A6264">
        <v>6203</v>
      </c>
      <c r="B6264" s="1832">
        <f>'Acct Summary 7-8'!J79</f>
        <v>-2124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-399338</v>
      </c>
      <c r="D6267" s="2" t="str">
        <f t="shared" si="96"/>
        <v>Error?</v>
      </c>
      <c r="E6267" s="2" t="s">
        <v>189</v>
      </c>
    </row>
    <row r="6268" spans="1:5" x14ac:dyDescent="0.2">
      <c r="A6268">
        <v>6207</v>
      </c>
      <c r="B6268" s="1832">
        <f>'Acct Summary 7-8'!D82</f>
        <v>-183521</v>
      </c>
      <c r="D6268" s="2" t="str">
        <f t="shared" si="96"/>
        <v>Error?</v>
      </c>
      <c r="E6268" s="2" t="s">
        <v>189</v>
      </c>
    </row>
    <row r="6269" spans="1:5" x14ac:dyDescent="0.2">
      <c r="A6269">
        <v>6208</v>
      </c>
      <c r="B6269" s="1832">
        <f>'Acct Summary 7-8'!E82</f>
        <v>-973050</v>
      </c>
      <c r="D6269" s="2" t="str">
        <f t="shared" si="96"/>
        <v>Error?</v>
      </c>
      <c r="E6269" s="2" t="s">
        <v>189</v>
      </c>
    </row>
    <row r="6270" spans="1:5" x14ac:dyDescent="0.2">
      <c r="A6270">
        <v>6209</v>
      </c>
      <c r="B6270" s="1832">
        <f>'Acct Summary 7-8'!F82</f>
        <v>1067320</v>
      </c>
      <c r="D6270" s="2" t="str">
        <f t="shared" si="96"/>
        <v>Error?</v>
      </c>
      <c r="E6270" s="2" t="s">
        <v>189</v>
      </c>
    </row>
    <row r="6271" spans="1:5" x14ac:dyDescent="0.2">
      <c r="A6271">
        <v>6210</v>
      </c>
      <c r="B6271" s="1832">
        <f>'Acct Summary 7-8'!G82</f>
        <v>342404</v>
      </c>
      <c r="D6271" s="2" t="str">
        <f t="shared" ref="D6271:D6334" si="97">IF(ISBLANK(B6271),"OK",IF(A6271-B6271=0,"OK","Error?"))</f>
        <v>Error?</v>
      </c>
      <c r="E6271" s="2" t="s">
        <v>189</v>
      </c>
    </row>
    <row r="6272" spans="1:5" x14ac:dyDescent="0.2">
      <c r="A6272">
        <v>6211</v>
      </c>
      <c r="B6272" s="1832">
        <f>'Acct Summary 7-8'!H82</f>
        <v>-3506623</v>
      </c>
      <c r="D6272" s="2" t="str">
        <f t="shared" si="97"/>
        <v>Error?</v>
      </c>
      <c r="E6272" s="2" t="s">
        <v>189</v>
      </c>
    </row>
    <row r="6273" spans="1:5" x14ac:dyDescent="0.2">
      <c r="A6273">
        <v>6212</v>
      </c>
      <c r="B6273" s="1832">
        <f>'Acct Summary 7-8'!I82</f>
        <v>4302</v>
      </c>
      <c r="D6273" s="2" t="str">
        <f t="shared" si="97"/>
        <v>Error?</v>
      </c>
      <c r="E6273" s="2" t="s">
        <v>189</v>
      </c>
    </row>
    <row r="6274" spans="1:5" x14ac:dyDescent="0.2">
      <c r="A6274">
        <v>6213</v>
      </c>
      <c r="B6274" s="1832">
        <f>'Acct Summary 7-8'!J82</f>
        <v>2124</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-3.5910366614180594E-2</v>
      </c>
      <c r="D6276" s="2" t="str">
        <f t="shared" si="97"/>
        <v>Error?</v>
      </c>
      <c r="E6276" s="2" t="s">
        <v>189</v>
      </c>
    </row>
    <row r="6277" spans="1:5" x14ac:dyDescent="0.2">
      <c r="A6277">
        <v>6216</v>
      </c>
      <c r="B6277" s="1832">
        <f>'Acct Summary 7-8'!D83</f>
        <v>-0.35251824817518246</v>
      </c>
      <c r="D6277" s="2" t="str">
        <f t="shared" si="97"/>
        <v>Error?</v>
      </c>
      <c r="E6277" s="2" t="s">
        <v>189</v>
      </c>
    </row>
    <row r="6278" spans="1:5" x14ac:dyDescent="0.2">
      <c r="A6278">
        <v>6217</v>
      </c>
      <c r="B6278" s="1832">
        <f>'Acct Summary 7-8'!E83</f>
        <v>-5.3128583128583129</v>
      </c>
      <c r="D6278" s="2" t="str">
        <f t="shared" si="97"/>
        <v>Error?</v>
      </c>
      <c r="E6278" s="2" t="s">
        <v>189</v>
      </c>
    </row>
    <row r="6279" spans="1:5" x14ac:dyDescent="0.2">
      <c r="A6279">
        <v>6218</v>
      </c>
      <c r="B6279" s="1832">
        <f>'Acct Summary 7-8'!F83</f>
        <v>0.46571254036128806</v>
      </c>
      <c r="D6279" s="2" t="str">
        <f t="shared" si="97"/>
        <v>Error?</v>
      </c>
      <c r="E6279" s="2" t="s">
        <v>189</v>
      </c>
    </row>
    <row r="6280" spans="1:5" x14ac:dyDescent="0.2">
      <c r="A6280">
        <v>6219</v>
      </c>
      <c r="B6280" s="1832">
        <f>'Acct Summary 7-8'!G83</f>
        <v>0.74145356982769639</v>
      </c>
      <c r="D6280" s="2" t="str">
        <f t="shared" si="97"/>
        <v>Error?</v>
      </c>
      <c r="E6280" s="2" t="s">
        <v>189</v>
      </c>
    </row>
    <row r="6281" spans="1:5" x14ac:dyDescent="0.2">
      <c r="A6281">
        <v>6220</v>
      </c>
      <c r="B6281" s="1832">
        <f>'Acct Summary 7-8'!H83</f>
        <v>-1.3115627414795361</v>
      </c>
      <c r="D6281" s="2" t="str">
        <f t="shared" si="97"/>
        <v>Error?</v>
      </c>
      <c r="E6281" s="2" t="s">
        <v>189</v>
      </c>
    </row>
    <row r="6282" spans="1:5" x14ac:dyDescent="0.2">
      <c r="A6282">
        <v>6221</v>
      </c>
      <c r="B6282" s="1832">
        <f>'Acct Summary 7-8'!I83</f>
        <v>5.345473929320956E-3</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17957</v>
      </c>
      <c r="D6285" s="2" t="str">
        <f t="shared" si="97"/>
        <v>Error?</v>
      </c>
      <c r="E6285" s="2" t="s">
        <v>189</v>
      </c>
    </row>
    <row r="6286" spans="1:5" x14ac:dyDescent="0.2">
      <c r="A6286">
        <v>6225</v>
      </c>
      <c r="B6286" s="1832">
        <f>'Acct Summary 7-8'!E38</f>
        <v>631</v>
      </c>
      <c r="D6286" s="2" t="str">
        <f t="shared" si="97"/>
        <v>Error?</v>
      </c>
      <c r="E6286" s="2" t="s">
        <v>189</v>
      </c>
    </row>
    <row r="6287" spans="1:5" x14ac:dyDescent="0.2">
      <c r="A6287">
        <v>6226</v>
      </c>
      <c r="B6287" s="1832">
        <f>'Acct Summary 7-8'!E39</f>
        <v>300000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2500000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4302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4302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14994</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4304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160977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13043</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212954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90832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568</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6720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106876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896257</v>
      </c>
      <c r="D6880" s="2" t="str">
        <f t="shared" si="106"/>
        <v>Error?</v>
      </c>
    </row>
    <row r="6881" spans="1:4" x14ac:dyDescent="0.2">
      <c r="A6881">
        <v>6820</v>
      </c>
      <c r="B6881" s="1832">
        <f>'Expenditures 15-22'!K22</f>
        <v>896257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16120</v>
      </c>
      <c r="D6900" s="2" t="str">
        <f t="shared" si="106"/>
        <v>Error?</v>
      </c>
    </row>
    <row r="6901" spans="1:4" x14ac:dyDescent="0.2">
      <c r="A6901">
        <v>6840</v>
      </c>
      <c r="B6901" s="1832">
        <f>'Expenditures 15-22'!K32</f>
        <v>16120</v>
      </c>
      <c r="D6901" s="2" t="str">
        <f t="shared" si="106"/>
        <v>Error?</v>
      </c>
    </row>
    <row r="6902" spans="1:4" x14ac:dyDescent="0.2">
      <c r="A6902">
        <v>6841</v>
      </c>
      <c r="B6902" s="1832">
        <f>'Expenditures 15-22'!I33</f>
        <v>20331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2531</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236512</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236512</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2531</v>
      </c>
      <c r="D6943" s="2" t="str">
        <f t="shared" si="107"/>
        <v>Error?</v>
      </c>
    </row>
    <row r="6944" spans="1:4" x14ac:dyDescent="0.2">
      <c r="A6944">
        <v>6883</v>
      </c>
      <c r="B6944" s="1832">
        <f>'Expenditures 15-22'!I55</f>
        <v>12522</v>
      </c>
      <c r="D6944" s="2" t="str">
        <f t="shared" si="107"/>
        <v>Error?</v>
      </c>
    </row>
    <row r="6945" spans="1:4" x14ac:dyDescent="0.2">
      <c r="A6945">
        <v>6884</v>
      </c>
      <c r="B6945" s="1832">
        <f>'Expenditures 15-22'!J55</f>
        <v>3642</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12522</v>
      </c>
      <c r="D6948" s="2" t="str">
        <f t="shared" si="107"/>
        <v>Error?</v>
      </c>
    </row>
    <row r="6949" spans="1:4" x14ac:dyDescent="0.2">
      <c r="A6949">
        <v>6888</v>
      </c>
      <c r="B6949" s="1832">
        <f>'Expenditures 15-22'!J57</f>
        <v>3642</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3139</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6654</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6654</v>
      </c>
      <c r="D6961" s="2" t="str">
        <f t="shared" si="107"/>
        <v>Error?</v>
      </c>
    </row>
    <row r="6962" spans="1:4" x14ac:dyDescent="0.2">
      <c r="A6962">
        <v>6901</v>
      </c>
      <c r="B6962" s="1832">
        <f>'Expenditures 15-22'!J65</f>
        <v>3139</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19176</v>
      </c>
      <c r="D6977" s="2" t="str">
        <f t="shared" si="108"/>
        <v>Error?</v>
      </c>
    </row>
    <row r="6978" spans="1:4" x14ac:dyDescent="0.2">
      <c r="A6978">
        <v>6917</v>
      </c>
      <c r="B6978" s="1832">
        <f>'Expenditures 15-22'!J74</f>
        <v>9312</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29090</v>
      </c>
      <c r="D6981" s="2" t="str">
        <f t="shared" si="108"/>
        <v>Error?</v>
      </c>
    </row>
    <row r="6982" spans="1:4" x14ac:dyDescent="0.2">
      <c r="A6982">
        <v>6921</v>
      </c>
      <c r="B6982" s="1832">
        <f>'Expenditures 15-22'!K85</f>
        <v>29090</v>
      </c>
      <c r="D6982" s="2" t="str">
        <f t="shared" si="108"/>
        <v>Error?</v>
      </c>
    </row>
    <row r="6983" spans="1:4" x14ac:dyDescent="0.2">
      <c r="A6983">
        <v>6922</v>
      </c>
      <c r="B6983" s="1832">
        <f>'Expenditures 15-22'!H86</f>
        <v>935798</v>
      </c>
      <c r="D6983" s="2" t="str">
        <f t="shared" si="108"/>
        <v>Error?</v>
      </c>
    </row>
    <row r="6984" spans="1:4" x14ac:dyDescent="0.2">
      <c r="A6984">
        <v>6923</v>
      </c>
      <c r="B6984" s="1832">
        <f>'Expenditures 15-22'!K86</f>
        <v>935798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88884</v>
      </c>
      <c r="D6987" s="2" t="str">
        <f t="shared" si="108"/>
        <v>Error?</v>
      </c>
    </row>
    <row r="6988" spans="1:4" x14ac:dyDescent="0.2">
      <c r="A6988">
        <v>6927</v>
      </c>
      <c r="B6988" s="1832">
        <f>'Expenditures 15-22'!K88</f>
        <v>88884</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1053772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39507</v>
      </c>
      <c r="D7020" s="2" t="str">
        <f t="shared" si="108"/>
        <v>Error?</v>
      </c>
    </row>
    <row r="7021" spans="1:4" x14ac:dyDescent="0.2">
      <c r="A7021">
        <v>6960</v>
      </c>
      <c r="B7021" s="1832">
        <f>'Expenditures 15-22'!J114</f>
        <v>9312</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120369</v>
      </c>
      <c r="D7028" s="2" t="str">
        <f t="shared" si="108"/>
        <v>Error?</v>
      </c>
    </row>
    <row r="7029" spans="1:4" x14ac:dyDescent="0.2">
      <c r="A7029">
        <v>6968</v>
      </c>
      <c r="B7029" s="1832">
        <f>'Expenditures 15-22'!J124</f>
        <v>7184</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120369</v>
      </c>
      <c r="D7033" s="2" t="str">
        <f t="shared" si="108"/>
        <v>Error?</v>
      </c>
    </row>
    <row r="7034" spans="1:4" x14ac:dyDescent="0.2">
      <c r="A7034">
        <v>6973</v>
      </c>
      <c r="B7034" s="1832">
        <f>'Expenditures 15-22'!J127</f>
        <v>7184</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120369</v>
      </c>
      <c r="D7037" s="2" t="str">
        <f t="shared" si="108"/>
        <v>Error?</v>
      </c>
    </row>
    <row r="7038" spans="1:4" x14ac:dyDescent="0.2">
      <c r="A7038">
        <v>6977</v>
      </c>
      <c r="B7038" s="1832">
        <f>'Expenditures 15-22'!J129</f>
        <v>7184</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2180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120369</v>
      </c>
      <c r="D7051" s="2" t="str">
        <f t="shared" si="109"/>
        <v>Error?</v>
      </c>
    </row>
    <row r="7052" spans="1:5" x14ac:dyDescent="0.2">
      <c r="A7052">
        <v>6991</v>
      </c>
      <c r="B7052" s="1832">
        <f>'Expenditures 15-22'!J151</f>
        <v>7184</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4304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8231</v>
      </c>
      <c r="D7073" s="2" t="str">
        <f t="shared" si="109"/>
        <v>Error?</v>
      </c>
    </row>
    <row r="7074" spans="1:4" x14ac:dyDescent="0.2">
      <c r="A7074">
        <v>7013</v>
      </c>
      <c r="B7074" s="1832">
        <f>'Expenditures 15-22'!K216</f>
        <v>8231</v>
      </c>
      <c r="D7074" s="2" t="str">
        <f t="shared" si="109"/>
        <v>Error?</v>
      </c>
    </row>
    <row r="7075" spans="1:4" x14ac:dyDescent="0.2">
      <c r="A7075">
        <v>7014</v>
      </c>
      <c r="B7075" s="1832">
        <f>'Expenditures 15-22'!D218</f>
        <v>3521</v>
      </c>
      <c r="D7075" s="2" t="str">
        <f t="shared" si="109"/>
        <v>Error?</v>
      </c>
    </row>
    <row r="7076" spans="1:4" x14ac:dyDescent="0.2">
      <c r="A7076">
        <v>7015</v>
      </c>
      <c r="B7076" s="1832">
        <f>'Expenditures 15-22'!K218</f>
        <v>3521</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1112</v>
      </c>
      <c r="D7079" s="2" t="str">
        <f t="shared" si="109"/>
        <v>Error?</v>
      </c>
    </row>
    <row r="7080" spans="1:4" x14ac:dyDescent="0.2">
      <c r="A7080">
        <v>7019</v>
      </c>
      <c r="B7080" s="1832">
        <f>'Expenditures 15-22'!K226</f>
        <v>1112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2180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2180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2180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2180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2180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2180</v>
      </c>
      <c r="D7224" s="2" t="str">
        <f t="shared" si="111"/>
        <v>Error?</v>
      </c>
    </row>
    <row r="7225" spans="1:4" x14ac:dyDescent="0.2">
      <c r="A7225">
        <v>7164</v>
      </c>
      <c r="B7225" s="1832">
        <f>'Expenditures 15-22'!K343</f>
        <v>2124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49803</v>
      </c>
      <c r="D7246" s="2" t="str">
        <f t="shared" si="112"/>
        <v>Error?</v>
      </c>
    </row>
    <row r="7247" spans="1:4" x14ac:dyDescent="0.2">
      <c r="A7247">
        <f t="shared" si="113"/>
        <v>7186</v>
      </c>
      <c r="B7247" s="1832">
        <f>'Expenditures 15-22'!E7</f>
        <v>1557</v>
      </c>
      <c r="D7247" s="2" t="str">
        <f t="shared" si="112"/>
        <v>Error?</v>
      </c>
    </row>
    <row r="7248" spans="1:4" x14ac:dyDescent="0.2">
      <c r="A7248">
        <f t="shared" si="113"/>
        <v>7187</v>
      </c>
      <c r="B7248" s="1832">
        <f>'Expenditures 15-22'!F7</f>
        <v>617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64201</v>
      </c>
      <c r="D7251" s="2" t="str">
        <f t="shared" si="112"/>
        <v>Error?</v>
      </c>
    </row>
    <row r="7252" spans="1:4" x14ac:dyDescent="0.2">
      <c r="A7252">
        <f t="shared" si="113"/>
        <v>7191</v>
      </c>
      <c r="B7252" s="1832">
        <f>'Expenditures 15-22'!D9</f>
        <v>26631</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79381</v>
      </c>
      <c r="D7263" s="2" t="str">
        <f t="shared" si="112"/>
        <v>Error?</v>
      </c>
    </row>
    <row r="7264" spans="1:4" x14ac:dyDescent="0.2">
      <c r="A7264">
        <f t="shared" si="113"/>
        <v>7203</v>
      </c>
      <c r="B7264" s="1832">
        <f>'Expenditures 15-22'!D17</f>
        <v>24453</v>
      </c>
      <c r="D7264" s="2" t="str">
        <f t="shared" si="112"/>
        <v>Error?</v>
      </c>
    </row>
    <row r="7265" spans="1:5" x14ac:dyDescent="0.2">
      <c r="A7265">
        <f t="shared" si="113"/>
        <v>7204</v>
      </c>
      <c r="B7265" s="1832">
        <f>'Expenditures 15-22'!E17</f>
        <v>890</v>
      </c>
      <c r="D7265" s="2" t="str">
        <f t="shared" si="112"/>
        <v>Error?</v>
      </c>
    </row>
    <row r="7266" spans="1:5" x14ac:dyDescent="0.2">
      <c r="A7266">
        <f t="shared" si="113"/>
        <v>7205</v>
      </c>
      <c r="B7266" s="1832">
        <f>'Expenditures 15-22'!F17</f>
        <v>2152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159876</v>
      </c>
      <c r="D7624" s="2" t="str">
        <f t="shared" si="124"/>
        <v>Error?</v>
      </c>
      <c r="E7624" s="2" t="s">
        <v>19</v>
      </c>
    </row>
    <row r="7625" spans="1:5" x14ac:dyDescent="0.2">
      <c r="A7625">
        <f t="shared" si="123"/>
        <v>7564</v>
      </c>
      <c r="B7625" s="1832">
        <f>'Cap Outlay Deprec 26'!I17</f>
        <v>15987.6</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1750684.6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1500000</v>
      </c>
      <c r="D7685" s="2" t="str">
        <f t="shared" si="126"/>
        <v>Error?</v>
      </c>
      <c r="E7685" s="2" t="s">
        <v>822</v>
      </c>
    </row>
    <row r="7686" spans="1:5" x14ac:dyDescent="0.2">
      <c r="A7686">
        <v>7625</v>
      </c>
      <c r="B7686" s="1832">
        <f>'Acct Summary 7-8'!D73</f>
        <v>1000000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14994</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14994</v>
      </c>
      <c r="D7719" s="2" t="str">
        <f t="shared" si="126"/>
        <v>Error?</v>
      </c>
      <c r="E7719" s="2" t="s">
        <v>822</v>
      </c>
    </row>
    <row r="7720" spans="1:6" x14ac:dyDescent="0.2">
      <c r="A7720">
        <v>7659</v>
      </c>
      <c r="B7720" s="1832">
        <f>'Rest Tax Levies-Tort Im 25'!H14</f>
        <v>4867680</v>
      </c>
      <c r="D7720" s="2" t="str">
        <f t="shared" si="126"/>
        <v>Error?</v>
      </c>
      <c r="E7720" s="2" t="s">
        <v>822</v>
      </c>
    </row>
    <row r="7721" spans="1:6" x14ac:dyDescent="0.2">
      <c r="A7721">
        <v>7660</v>
      </c>
      <c r="B7721" s="1832">
        <f>'Rest Tax Levies-Tort Im 25'!K14</f>
        <v>14994</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284939</v>
      </c>
      <c r="D7758" s="2" t="str">
        <f t="shared" si="127"/>
        <v>Error?</v>
      </c>
      <c r="E7758" s="4" t="s">
        <v>1322</v>
      </c>
    </row>
    <row r="7759" spans="1:6" x14ac:dyDescent="0.2">
      <c r="A7759">
        <v>7698</v>
      </c>
      <c r="B7759" s="1832">
        <f>'Aud Quest 2'!J88</f>
        <v>33083</v>
      </c>
      <c r="D7759" s="2" t="str">
        <f t="shared" si="127"/>
        <v>Error?</v>
      </c>
      <c r="E7759" s="4" t="s">
        <v>1322</v>
      </c>
    </row>
    <row r="7760" spans="1:6" x14ac:dyDescent="0.2">
      <c r="A7760">
        <v>7699</v>
      </c>
      <c r="B7760" s="1832">
        <f>'Aud Quest 2'!J90</f>
        <v>318022</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14994</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21020818</v>
      </c>
      <c r="D7817" s="2" t="str">
        <f t="shared" si="128"/>
        <v>Error?</v>
      </c>
      <c r="E7817" s="4" t="s">
        <v>1963</v>
      </c>
    </row>
    <row r="7818" spans="1:5" x14ac:dyDescent="0.2">
      <c r="A7818">
        <v>7757</v>
      </c>
      <c r="B7818" s="1832">
        <f>'PCTC-OEPP 27-28'!F172</f>
        <v>568234.72</v>
      </c>
      <c r="D7818" s="2" t="str">
        <f t="shared" si="128"/>
        <v>Error?</v>
      </c>
      <c r="E7818" s="4" t="s">
        <v>1977</v>
      </c>
    </row>
    <row r="7819" spans="1:5" x14ac:dyDescent="0.2">
      <c r="A7819">
        <v>7758</v>
      </c>
      <c r="B7819" s="1832">
        <f>'PCTC-OEPP 27-28'!F173</f>
        <v>13357.58</v>
      </c>
      <c r="D7819" s="2" t="str">
        <f t="shared" si="128"/>
        <v>Error?</v>
      </c>
      <c r="E7819" s="4" t="s">
        <v>1977</v>
      </c>
    </row>
    <row r="7820" spans="1:5" x14ac:dyDescent="0.2">
      <c r="A7820">
        <v>7759</v>
      </c>
      <c r="B7820" s="1832">
        <f>'ICR Computation 30'!E40</f>
        <v>-2825930</v>
      </c>
      <c r="D7820" s="2" t="str">
        <f t="shared" si="128"/>
        <v>Error?</v>
      </c>
    </row>
    <row r="7821" spans="1:5" x14ac:dyDescent="0.2">
      <c r="A7821">
        <v>7760</v>
      </c>
      <c r="B7821" s="1832">
        <f>'ICR Computation 30'!G40</f>
        <v>-2825930</v>
      </c>
      <c r="D7821" s="2" t="str">
        <f t="shared" si="128"/>
        <v>Error?</v>
      </c>
    </row>
    <row r="7822" spans="1:5" x14ac:dyDescent="0.2">
      <c r="A7822" s="1">
        <v>7761</v>
      </c>
      <c r="B7822" s="1832">
        <f>'PCTC-OEPP 27-28'!F14</f>
        <v>32956117</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212954</v>
      </c>
      <c r="D7826" s="2" t="str">
        <f t="shared" si="129"/>
        <v>Error?</v>
      </c>
      <c r="E7826" s="4" t="s">
        <v>1995</v>
      </c>
    </row>
    <row r="7827" spans="1:5" x14ac:dyDescent="0.2">
      <c r="A7827">
        <v>7766</v>
      </c>
      <c r="B7827" s="1832">
        <f>'PCTC-OEPP 27-28'!F35</f>
        <v>90832</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19862</v>
      </c>
      <c r="D7830" s="2" t="str">
        <f t="shared" si="129"/>
        <v>Error?</v>
      </c>
      <c r="E7830" s="4" t="s">
        <v>1995</v>
      </c>
    </row>
    <row r="7831" spans="1:5" x14ac:dyDescent="0.2">
      <c r="A7831">
        <v>7770</v>
      </c>
      <c r="B7831" s="1832">
        <f>'PCTC-OEPP 27-28'!F52</f>
        <v>98076</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129655</v>
      </c>
      <c r="D7833" s="2" t="str">
        <f t="shared" si="129"/>
        <v>Error?</v>
      </c>
      <c r="E7833" s="4" t="s">
        <v>1995</v>
      </c>
    </row>
    <row r="7834" spans="1:5" x14ac:dyDescent="0.2">
      <c r="A7834">
        <v>7773</v>
      </c>
      <c r="B7834" s="1832">
        <f>'PCTC-OEPP 27-28'!F77</f>
        <v>4590825</v>
      </c>
      <c r="D7834" s="2" t="str">
        <f t="shared" si="129"/>
        <v>Error?</v>
      </c>
      <c r="E7834" s="4" t="s">
        <v>1995</v>
      </c>
    </row>
    <row r="7835" spans="1:5" x14ac:dyDescent="0.2">
      <c r="A7835">
        <v>7774</v>
      </c>
      <c r="B7835" s="1832">
        <f>'PCTC-OEPP 27-28'!F78</f>
        <v>28365292</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19944.657572774573</v>
      </c>
      <c r="D7837" s="2" t="str">
        <f t="shared" si="129"/>
        <v>Error?</v>
      </c>
      <c r="E7837" s="4" t="s">
        <v>1995</v>
      </c>
    </row>
    <row r="7838" spans="1:5" x14ac:dyDescent="0.2">
      <c r="A7838">
        <v>7777</v>
      </c>
      <c r="B7838" s="1832">
        <f>'PCTC-OEPP 27-28'!F96</f>
        <v>78609</v>
      </c>
      <c r="D7838" s="2" t="str">
        <f t="shared" si="129"/>
        <v>Error?</v>
      </c>
      <c r="E7838" s="4" t="s">
        <v>1995</v>
      </c>
    </row>
    <row r="7839" spans="1:5" x14ac:dyDescent="0.2">
      <c r="A7839">
        <v>7778</v>
      </c>
      <c r="B7839" s="1832">
        <f>'PCTC-OEPP 27-28'!F102</f>
        <v>113470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12515</v>
      </c>
      <c r="D7841" s="2" t="str">
        <f t="shared" si="129"/>
        <v>Error?</v>
      </c>
      <c r="E7841" s="4" t="s">
        <v>1995</v>
      </c>
    </row>
    <row r="7842" spans="1:5" x14ac:dyDescent="0.2">
      <c r="A7842">
        <v>7781</v>
      </c>
      <c r="B7842" s="1832">
        <f>'PCTC-OEPP 27-28'!F106</f>
        <v>437542</v>
      </c>
      <c r="D7842" s="2" t="str">
        <f t="shared" si="129"/>
        <v>Error?</v>
      </c>
      <c r="E7842" s="4" t="s">
        <v>1995</v>
      </c>
    </row>
    <row r="7843" spans="1:5" x14ac:dyDescent="0.2">
      <c r="A7843">
        <v>7782</v>
      </c>
      <c r="B7843" s="1832">
        <f>'PCTC-OEPP 27-28'!F107</f>
        <v>6298</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20274</v>
      </c>
      <c r="D7846" s="2" t="str">
        <f t="shared" si="129"/>
        <v>Error?</v>
      </c>
      <c r="E7846" s="4" t="s">
        <v>1995</v>
      </c>
    </row>
    <row r="7847" spans="1:5" x14ac:dyDescent="0.2">
      <c r="A7847">
        <v>7786</v>
      </c>
      <c r="B7847" s="1832">
        <f>'PCTC-OEPP 27-28'!F112</f>
        <v>774705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1047</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142273</v>
      </c>
      <c r="D7858" s="2" t="str">
        <f t="shared" si="129"/>
        <v>Error?</v>
      </c>
      <c r="E7858" s="4" t="s">
        <v>1995</v>
      </c>
    </row>
    <row r="7859" spans="1:5" x14ac:dyDescent="0.2">
      <c r="A7859">
        <v>7798</v>
      </c>
      <c r="B7859" s="1832">
        <f>'PCTC-OEPP 27-28'!F127</f>
        <v>143743</v>
      </c>
      <c r="D7859" s="2" t="str">
        <f t="shared" si="129"/>
        <v>Error?</v>
      </c>
      <c r="E7859" s="4" t="s">
        <v>1995</v>
      </c>
    </row>
    <row r="7860" spans="1:5" x14ac:dyDescent="0.2">
      <c r="A7860">
        <v>7799</v>
      </c>
      <c r="B7860" s="1832">
        <f>'PCTC-OEPP 27-28'!F128</f>
        <v>3939</v>
      </c>
      <c r="D7860" s="2" t="str">
        <f t="shared" si="129"/>
        <v>Error?</v>
      </c>
      <c r="E7860" s="4" t="s">
        <v>1995</v>
      </c>
    </row>
    <row r="7861" spans="1:5" x14ac:dyDescent="0.2">
      <c r="A7861">
        <v>7800</v>
      </c>
      <c r="B7861" s="1832">
        <f>'PCTC-OEPP 27-28'!F129</f>
        <v>529434</v>
      </c>
      <c r="D7861" s="2" t="str">
        <f t="shared" si="129"/>
        <v>Error?</v>
      </c>
      <c r="E7861" s="4" t="s">
        <v>1995</v>
      </c>
    </row>
    <row r="7862" spans="1:5" x14ac:dyDescent="0.2">
      <c r="A7862">
        <v>7801</v>
      </c>
      <c r="B7862" s="1832">
        <f>'PCTC-OEPP 27-28'!F130</f>
        <v>3529</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5780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4701</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34298</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31314</v>
      </c>
      <c r="D7874" s="2" t="str">
        <f t="shared" si="129"/>
        <v>Error?</v>
      </c>
      <c r="E7874" s="4" t="s">
        <v>1995</v>
      </c>
    </row>
    <row r="7875" spans="1:5" x14ac:dyDescent="0.2">
      <c r="A7875">
        <v>7814</v>
      </c>
      <c r="B7875" s="1832">
        <f>'PCTC-OEPP 27-28'!F170</f>
        <v>88175</v>
      </c>
      <c r="D7875" s="2" t="str">
        <f t="shared" si="129"/>
        <v>Error?</v>
      </c>
      <c r="E7875" s="4" t="s">
        <v>1995</v>
      </c>
    </row>
    <row r="7876" spans="1:5" x14ac:dyDescent="0.2">
      <c r="A7876">
        <v>7815</v>
      </c>
      <c r="B7876" s="1832">
        <f>'PCTC-OEPP 27-28'!F171</f>
        <v>3214</v>
      </c>
      <c r="D7876" s="2" t="str">
        <f t="shared" si="129"/>
        <v>Error?</v>
      </c>
      <c r="E7876" s="4" t="s">
        <v>1995</v>
      </c>
    </row>
    <row r="7877" spans="1:5" x14ac:dyDescent="0.2">
      <c r="A7877">
        <v>7816</v>
      </c>
      <c r="B7877" s="1832">
        <f>'PCTC-OEPP 27-28'!F175</f>
        <v>3455432.3</v>
      </c>
      <c r="D7877" s="2" t="str">
        <f t="shared" si="129"/>
        <v>Error?</v>
      </c>
      <c r="E7877" s="4" t="s">
        <v>1995</v>
      </c>
    </row>
    <row r="7878" spans="1:5" x14ac:dyDescent="0.2">
      <c r="A7878">
        <v>7817</v>
      </c>
      <c r="B7878" s="1832">
        <f>'PCTC-OEPP 27-28'!F176</f>
        <v>24909859.699999999</v>
      </c>
      <c r="D7878" s="2" t="str">
        <f t="shared" si="129"/>
        <v>Error?</v>
      </c>
      <c r="E7878" s="4" t="s">
        <v>1995</v>
      </c>
    </row>
    <row r="7879" spans="1:5" x14ac:dyDescent="0.2">
      <c r="A7879">
        <v>7818</v>
      </c>
      <c r="B7879" s="1832">
        <f>'PCTC-OEPP 27-28'!F178</f>
        <v>26660544.300000001</v>
      </c>
      <c r="D7879" s="2" t="str">
        <f t="shared" si="129"/>
        <v>Error?</v>
      </c>
      <c r="E7879" s="4" t="s">
        <v>1995</v>
      </c>
    </row>
    <row r="7880" spans="1:5" x14ac:dyDescent="0.2">
      <c r="A7880">
        <v>7819</v>
      </c>
      <c r="B7880" s="1832">
        <f>'PCTC-OEPP 27-28'!F180</f>
        <v>18745.988117001827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0" zoomScale="110" zoomScaleNormal="110" workbookViewId="0">
      <selection activeCell="B46" sqref="B4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1181</v>
      </c>
      <c r="B2" s="2546"/>
      <c r="C2" s="2546"/>
      <c r="D2" s="2546"/>
      <c r="E2" s="2546"/>
      <c r="F2" s="2546"/>
      <c r="G2" s="2546"/>
      <c r="H2" s="2546"/>
      <c r="I2" s="2546"/>
      <c r="J2" s="2546"/>
      <c r="K2" s="2546"/>
      <c r="L2" s="2546"/>
    </row>
    <row r="3" spans="1:29" ht="13.5" customHeight="1" x14ac:dyDescent="0.2">
      <c r="A3" s="2532" t="s">
        <v>1180</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6" t="str">
        <f>COVER!A17</f>
        <v xml:space="preserve">  Lisle CUSD 202</v>
      </c>
      <c r="B7" s="2527"/>
      <c r="C7" s="2527"/>
      <c r="D7" s="2565"/>
      <c r="E7" s="2566">
        <f>COVER!A13</f>
        <v>19022202026</v>
      </c>
      <c r="F7" s="2567"/>
      <c r="G7" s="2533" t="str">
        <f>COVER!T23</f>
        <v>065-037815</v>
      </c>
      <c r="H7" s="2534"/>
      <c r="I7" s="2534"/>
      <c r="J7" s="2534"/>
      <c r="K7" s="2534"/>
      <c r="L7" s="253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6"/>
      <c r="B9" s="2537"/>
      <c r="C9" s="2537"/>
      <c r="D9" s="2537"/>
      <c r="E9" s="2537"/>
      <c r="F9" s="2538"/>
      <c r="G9" s="2539" t="str">
        <f>COVER!T13</f>
        <v>Lauterbach &amp; Amen, LLP</v>
      </c>
      <c r="H9" s="2540"/>
      <c r="I9" s="2540"/>
      <c r="J9" s="2540"/>
      <c r="K9" s="2540"/>
      <c r="L9" s="2541"/>
    </row>
    <row r="10" spans="1:29" ht="13.5" customHeight="1" x14ac:dyDescent="0.2">
      <c r="A10" s="2523" t="str">
        <f>COVER!A38</f>
        <v>Keith Filipiak</v>
      </c>
      <c r="B10" s="2524"/>
      <c r="C10" s="2524"/>
      <c r="D10" s="2524"/>
      <c r="E10" s="2524"/>
      <c r="F10" s="2525"/>
      <c r="G10" s="2539" t="str">
        <f>COVER!T17</f>
        <v>668 N. River Road</v>
      </c>
      <c r="H10" s="2552"/>
      <c r="I10" s="2552"/>
      <c r="J10" s="2552"/>
      <c r="K10" s="2552"/>
      <c r="L10" s="2553"/>
    </row>
    <row r="11" spans="1:29" ht="13.5" customHeight="1" x14ac:dyDescent="0.2">
      <c r="A11" s="963" t="s">
        <v>1502</v>
      </c>
      <c r="B11" s="964"/>
      <c r="C11" s="965"/>
      <c r="D11" s="970"/>
      <c r="E11" s="965"/>
      <c r="F11" s="969"/>
      <c r="G11" s="2539" t="str">
        <f>COVER!T19</f>
        <v>Naperville</v>
      </c>
      <c r="H11" s="2552"/>
      <c r="I11" s="2552"/>
      <c r="J11" s="2552"/>
      <c r="K11" s="2552"/>
      <c r="L11" s="2553"/>
    </row>
    <row r="12" spans="1:29" ht="13.5" customHeight="1" x14ac:dyDescent="0.2">
      <c r="A12" s="2557" t="s">
        <v>1501</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1503</v>
      </c>
      <c r="H13" s="2548"/>
      <c r="I13" s="2560" t="str">
        <f>COVER!T25</f>
        <v>dshaw@lauterbachamen.com</v>
      </c>
      <c r="J13" s="2561"/>
      <c r="K13" s="2561"/>
      <c r="L13" s="2562"/>
    </row>
    <row r="14" spans="1:29" ht="13.5" customHeight="1" x14ac:dyDescent="0.2">
      <c r="A14" s="2539" t="str">
        <f>COVER!A19</f>
        <v>5211 Center Avenue</v>
      </c>
      <c r="B14" s="2552"/>
      <c r="C14" s="2552"/>
      <c r="D14" s="2552"/>
      <c r="E14" s="2552"/>
      <c r="F14" s="2553"/>
      <c r="G14" s="974" t="s">
        <v>1175</v>
      </c>
      <c r="H14" s="972"/>
      <c r="I14" s="972"/>
      <c r="J14" s="972"/>
      <c r="K14" s="972"/>
      <c r="L14" s="973"/>
    </row>
    <row r="15" spans="1:29" ht="13.5" customHeight="1" x14ac:dyDescent="0.2">
      <c r="A15" s="2539" t="str">
        <f>COVER!A21</f>
        <v>Lisle</v>
      </c>
      <c r="B15" s="2552"/>
      <c r="C15" s="2552"/>
      <c r="D15" s="2552"/>
      <c r="E15" s="2552"/>
      <c r="F15" s="2553"/>
      <c r="G15" s="2549" t="str">
        <f>COVER!T15</f>
        <v>Don Shaw</v>
      </c>
      <c r="H15" s="2550"/>
      <c r="I15" s="2550"/>
      <c r="J15" s="2550"/>
      <c r="K15" s="2550"/>
      <c r="L15" s="2551"/>
    </row>
    <row r="16" spans="1:29" ht="12.2" customHeight="1" x14ac:dyDescent="0.2">
      <c r="A16" s="2529">
        <f>COVER!A25</f>
        <v>60532</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4" t="s">
        <v>1174</v>
      </c>
      <c r="H17" s="972"/>
      <c r="I17" s="972"/>
      <c r="J17" s="972"/>
      <c r="K17" s="976" t="s">
        <v>1173</v>
      </c>
      <c r="L17" s="969"/>
      <c r="M17" s="962"/>
    </row>
    <row r="18" spans="1:13" ht="12.2" customHeight="1" x14ac:dyDescent="0.2">
      <c r="A18" s="2523"/>
      <c r="B18" s="2524"/>
      <c r="C18" s="2524"/>
      <c r="D18" s="2524"/>
      <c r="E18" s="2524"/>
      <c r="F18" s="2525"/>
      <c r="G18" s="2526">
        <f>COVER!T21</f>
        <v>6303931483</v>
      </c>
      <c r="H18" s="2527"/>
      <c r="I18" s="2527"/>
      <c r="J18" s="2527"/>
      <c r="K18" s="2526">
        <f>COVER!X21</f>
        <v>6303932516</v>
      </c>
      <c r="L18" s="25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7" zoomScale="125" zoomScaleNormal="125" workbookViewId="0">
      <selection activeCell="B126" sqref="B12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Lisle CUSD 202</v>
      </c>
      <c r="B1" s="2569"/>
      <c r="C1" s="2569"/>
      <c r="D1" s="2569"/>
    </row>
    <row r="2" spans="1:11" s="991" customFormat="1" ht="12.75" x14ac:dyDescent="0.2">
      <c r="A2" s="2570">
        <f>'Single Audit Cover'!E7</f>
        <v>19022202026</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t="s">
        <v>2048</v>
      </c>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2066</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2066</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2066</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2066</v>
      </c>
      <c r="C91" s="1002">
        <f>C89+1</f>
        <v>27</v>
      </c>
      <c r="D91" s="1013" t="s">
        <v>1697</v>
      </c>
    </row>
    <row r="92" spans="1:4" x14ac:dyDescent="0.2">
      <c r="A92" s="998"/>
      <c r="B92" s="1026"/>
      <c r="C92" s="1020" t="s">
        <v>2066</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2048</v>
      </c>
      <c r="C106" s="1002">
        <f>C102+1</f>
        <v>32</v>
      </c>
      <c r="D106" s="997" t="s">
        <v>1563</v>
      </c>
    </row>
    <row r="107" spans="1:4" ht="3" customHeight="1" x14ac:dyDescent="0.2">
      <c r="A107" s="998"/>
      <c r="B107" s="1005"/>
      <c r="C107" s="1002"/>
      <c r="D107" s="997"/>
    </row>
    <row r="108" spans="1:4" x14ac:dyDescent="0.2">
      <c r="A108" s="998"/>
      <c r="B108" s="1001" t="s">
        <v>2066</v>
      </c>
      <c r="C108" s="1002">
        <v>33</v>
      </c>
      <c r="D108" s="997" t="s">
        <v>1701</v>
      </c>
    </row>
    <row r="109" spans="1:4" ht="3" customHeight="1" x14ac:dyDescent="0.2">
      <c r="A109" s="998"/>
      <c r="B109" s="1005"/>
      <c r="C109" s="1002"/>
      <c r="D109" s="997"/>
    </row>
    <row r="110" spans="1:4" x14ac:dyDescent="0.2">
      <c r="A110" s="998"/>
      <c r="B110" s="1001" t="s">
        <v>2066</v>
      </c>
      <c r="C110" s="1002">
        <f>C108+1</f>
        <v>34</v>
      </c>
      <c r="D110" s="997" t="s">
        <v>1188</v>
      </c>
    </row>
    <row r="111" spans="1:4" ht="3" customHeight="1" x14ac:dyDescent="0.2">
      <c r="A111" s="998"/>
      <c r="B111" s="1005"/>
      <c r="C111" s="1002"/>
      <c r="D111" s="997"/>
    </row>
    <row r="112" spans="1:4" x14ac:dyDescent="0.2">
      <c r="A112" s="998"/>
      <c r="B112" s="1001" t="s">
        <v>2066</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2066</v>
      </c>
      <c r="C115" s="1002">
        <f>C112+1</f>
        <v>36</v>
      </c>
      <c r="D115" s="1013" t="s">
        <v>1185</v>
      </c>
    </row>
    <row r="116" spans="1:4" ht="3" customHeight="1" x14ac:dyDescent="0.2">
      <c r="A116" s="998"/>
      <c r="B116" s="1005"/>
      <c r="C116" s="1002"/>
      <c r="D116" s="1013"/>
    </row>
    <row r="117" spans="1:4" x14ac:dyDescent="0.2">
      <c r="A117" s="998"/>
      <c r="B117" s="1001" t="s">
        <v>2066</v>
      </c>
      <c r="C117" s="1002">
        <f>C115+1</f>
        <v>37</v>
      </c>
      <c r="D117" s="1013" t="s">
        <v>1702</v>
      </c>
    </row>
    <row r="118" spans="1:4" ht="3" customHeight="1" x14ac:dyDescent="0.2">
      <c r="A118" s="998"/>
      <c r="B118" s="1005"/>
      <c r="C118" s="1002"/>
      <c r="D118" s="1013"/>
    </row>
    <row r="119" spans="1:4" x14ac:dyDescent="0.2">
      <c r="A119" s="998"/>
      <c r="B119" s="1001" t="s">
        <v>2066</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2066</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Lisle CUSD 202</v>
      </c>
      <c r="B1" s="2573"/>
      <c r="C1" s="2573"/>
      <c r="D1" s="2573"/>
      <c r="E1" s="2573"/>
    </row>
    <row r="2" spans="1:5" x14ac:dyDescent="0.2">
      <c r="A2" s="2574">
        <f>'Single Audit Cover'!E7</f>
        <v>19022202026</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1003192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23608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-88175</v>
      </c>
    </row>
    <row r="19" spans="1:4" ht="13.5" thickBot="1" x14ac:dyDescent="0.25">
      <c r="A19" s="1041" t="s">
        <v>1224</v>
      </c>
      <c r="D19" s="1042">
        <f>SUM(D10:D17)</f>
        <v>938625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938625</v>
      </c>
    </row>
    <row r="33" spans="1:4" x14ac:dyDescent="0.2">
      <c r="D33" s="1045"/>
    </row>
    <row r="34" spans="1:4" x14ac:dyDescent="0.2">
      <c r="A34" s="295" t="s">
        <v>1221</v>
      </c>
    </row>
    <row r="35" spans="1:4" x14ac:dyDescent="0.2">
      <c r="A35" s="295" t="s">
        <v>1220</v>
      </c>
      <c r="B35" s="1034" t="s">
        <v>1219</v>
      </c>
      <c r="D35" s="1046">
        <f>' SEFA'!F51</f>
        <v>938625</v>
      </c>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938625</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7"/>
  <sheetViews>
    <sheetView showGridLines="0" topLeftCell="A40" zoomScaleNormal="100" workbookViewId="0">
      <selection activeCell="F51" sqref="F5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Lisle CUSD 202</v>
      </c>
      <c r="C1" s="2577"/>
      <c r="D1" s="2577"/>
      <c r="E1" s="2577"/>
      <c r="F1" s="2577"/>
      <c r="G1" s="2577"/>
      <c r="H1" s="2577"/>
      <c r="I1" s="2577"/>
      <c r="J1" s="2577"/>
      <c r="K1" s="2577"/>
      <c r="L1" s="2577"/>
      <c r="M1" s="2577"/>
    </row>
    <row r="2" spans="2:14" ht="15" x14ac:dyDescent="0.2">
      <c r="B2" s="2578">
        <f>'Single Audit Cover'!E7</f>
        <v>19022202026</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7"/>
      <c r="J5" s="1917"/>
    </row>
    <row r="6" spans="2:14" x14ac:dyDescent="0.2">
      <c r="B6" s="1079"/>
      <c r="C6" s="1080"/>
      <c r="D6" s="1081" t="s">
        <v>1254</v>
      </c>
      <c r="E6" s="1082" t="s">
        <v>524</v>
      </c>
      <c r="F6" s="1083"/>
      <c r="G6" s="1084" t="s">
        <v>1708</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2112</v>
      </c>
      <c r="C11" s="1821"/>
      <c r="D11" s="1822"/>
      <c r="E11" s="1823"/>
      <c r="F11" s="1823"/>
      <c r="G11" s="1823"/>
      <c r="H11" s="1823"/>
      <c r="I11" s="1823"/>
      <c r="J11" s="1823"/>
      <c r="K11" s="1823"/>
      <c r="L11" s="1823"/>
      <c r="M11" s="1823"/>
    </row>
    <row r="12" spans="2:14" ht="20.100000000000001" customHeight="1" x14ac:dyDescent="0.2">
      <c r="B12" s="2038" t="s">
        <v>2113</v>
      </c>
      <c r="C12" s="1824"/>
      <c r="D12" s="1825"/>
      <c r="E12" s="1826"/>
      <c r="F12" s="1826"/>
      <c r="G12" s="1826"/>
      <c r="H12" s="1826"/>
      <c r="I12" s="1826"/>
      <c r="J12" s="1826"/>
      <c r="K12" s="1826"/>
      <c r="L12" s="1823"/>
      <c r="M12" s="1826"/>
    </row>
    <row r="13" spans="2:14" ht="20.100000000000001" customHeight="1" x14ac:dyDescent="0.2">
      <c r="B13" s="2039" t="s">
        <v>2114</v>
      </c>
      <c r="C13" s="1824"/>
      <c r="D13" s="1825"/>
      <c r="E13" s="1826"/>
      <c r="F13" s="1826"/>
      <c r="G13" s="1826"/>
      <c r="H13" s="1826"/>
      <c r="I13" s="1826"/>
      <c r="J13" s="1826"/>
      <c r="K13" s="1826"/>
      <c r="L13" s="1823"/>
      <c r="M13" s="1826"/>
    </row>
    <row r="14" spans="2:14" ht="20.100000000000001" customHeight="1" x14ac:dyDescent="0.2">
      <c r="B14" s="2040" t="s">
        <v>1049</v>
      </c>
      <c r="C14" s="1824">
        <v>10.555</v>
      </c>
      <c r="D14" s="1825" t="s">
        <v>2117</v>
      </c>
      <c r="E14" s="1826">
        <v>28862</v>
      </c>
      <c r="F14" s="1826">
        <v>27154</v>
      </c>
      <c r="G14" s="1826">
        <v>28862</v>
      </c>
      <c r="H14" s="1826">
        <v>0</v>
      </c>
      <c r="I14" s="1826">
        <f>F14</f>
        <v>27154</v>
      </c>
      <c r="J14" s="1826">
        <v>0</v>
      </c>
      <c r="K14" s="1826">
        <v>0</v>
      </c>
      <c r="L14" s="1823">
        <f t="shared" ref="L14:L27" si="0">+G14+I14+K14</f>
        <v>56016</v>
      </c>
      <c r="M14" s="1826"/>
    </row>
    <row r="15" spans="2:14" ht="20.100000000000001" customHeight="1" x14ac:dyDescent="0.2">
      <c r="B15" s="2040" t="s">
        <v>1049</v>
      </c>
      <c r="C15" s="1824">
        <v>10.555</v>
      </c>
      <c r="D15" s="1825" t="s">
        <v>2118</v>
      </c>
      <c r="E15" s="1826">
        <v>0</v>
      </c>
      <c r="F15" s="1826">
        <v>94228</v>
      </c>
      <c r="G15" s="1826">
        <f>E15</f>
        <v>0</v>
      </c>
      <c r="H15" s="1826">
        <v>0</v>
      </c>
      <c r="I15" s="1826">
        <f>F15</f>
        <v>94228</v>
      </c>
      <c r="J15" s="1826">
        <v>0</v>
      </c>
      <c r="K15" s="1826">
        <v>0</v>
      </c>
      <c r="L15" s="1823">
        <f>+G15+I15+K15</f>
        <v>94228</v>
      </c>
      <c r="M15" s="1826"/>
    </row>
    <row r="16" spans="2:14" ht="20.100000000000001" customHeight="1" x14ac:dyDescent="0.2">
      <c r="B16" s="2040" t="s">
        <v>1434</v>
      </c>
      <c r="C16" s="1824">
        <v>10.558999999999999</v>
      </c>
      <c r="D16" s="1825" t="s">
        <v>2119</v>
      </c>
      <c r="E16" s="1826">
        <v>0</v>
      </c>
      <c r="F16" s="1826">
        <v>20891</v>
      </c>
      <c r="G16" s="1826">
        <f>E16</f>
        <v>0</v>
      </c>
      <c r="H16" s="1826">
        <v>0</v>
      </c>
      <c r="I16" s="1826">
        <f>F16</f>
        <v>20891</v>
      </c>
      <c r="J16" s="1826">
        <v>0</v>
      </c>
      <c r="K16" s="1826">
        <v>0</v>
      </c>
      <c r="L16" s="1823">
        <f>G16+I16+K16</f>
        <v>20891</v>
      </c>
      <c r="M16" s="1826"/>
    </row>
    <row r="17" spans="2:13" ht="20.100000000000001" customHeight="1" x14ac:dyDescent="0.2">
      <c r="B17" s="2040" t="s">
        <v>2115</v>
      </c>
      <c r="C17" s="1824">
        <v>10.555</v>
      </c>
      <c r="D17" s="1825" t="s">
        <v>2066</v>
      </c>
      <c r="E17" s="1826">
        <v>0</v>
      </c>
      <c r="F17" s="1826">
        <v>18625</v>
      </c>
      <c r="G17" s="1826">
        <f>E17</f>
        <v>0</v>
      </c>
      <c r="H17" s="1826">
        <v>0</v>
      </c>
      <c r="I17" s="1826">
        <f>F17</f>
        <v>18625</v>
      </c>
      <c r="J17" s="1826">
        <v>0</v>
      </c>
      <c r="K17" s="1826">
        <v>0</v>
      </c>
      <c r="L17" s="1823">
        <f t="shared" si="0"/>
        <v>18625</v>
      </c>
      <c r="M17" s="1826"/>
    </row>
    <row r="18" spans="2:13" ht="20.100000000000001" customHeight="1" x14ac:dyDescent="0.2">
      <c r="B18" s="2040" t="s">
        <v>2116</v>
      </c>
      <c r="C18" s="1824">
        <v>10.555</v>
      </c>
      <c r="D18" s="1825" t="s">
        <v>2066</v>
      </c>
      <c r="E18" s="1826">
        <v>0</v>
      </c>
      <c r="F18" s="1826">
        <v>4983</v>
      </c>
      <c r="G18" s="1826">
        <f>E18</f>
        <v>0</v>
      </c>
      <c r="H18" s="1826">
        <v>0</v>
      </c>
      <c r="I18" s="1826">
        <f>F18</f>
        <v>4983</v>
      </c>
      <c r="J18" s="1826">
        <v>0</v>
      </c>
      <c r="K18" s="1826">
        <v>0</v>
      </c>
      <c r="L18" s="1823">
        <f t="shared" si="0"/>
        <v>4983</v>
      </c>
      <c r="M18" s="1826"/>
    </row>
    <row r="19" spans="2:13" s="1036" customFormat="1" ht="20.100000000000001" customHeight="1" x14ac:dyDescent="0.2">
      <c r="B19" s="2041" t="s">
        <v>2120</v>
      </c>
      <c r="C19" s="2043"/>
      <c r="D19" s="2044"/>
      <c r="E19" s="2045">
        <f t="shared" ref="E19:J19" si="1">SUM(E14:E18)</f>
        <v>28862</v>
      </c>
      <c r="F19" s="2045">
        <f t="shared" si="1"/>
        <v>165881</v>
      </c>
      <c r="G19" s="2045">
        <f t="shared" si="1"/>
        <v>28862</v>
      </c>
      <c r="H19" s="2045">
        <f t="shared" si="1"/>
        <v>0</v>
      </c>
      <c r="I19" s="2045">
        <f t="shared" si="1"/>
        <v>165881</v>
      </c>
      <c r="J19" s="2045">
        <f t="shared" si="1"/>
        <v>0</v>
      </c>
      <c r="K19" s="2045">
        <v>0</v>
      </c>
      <c r="L19" s="2046">
        <f t="shared" si="0"/>
        <v>194743</v>
      </c>
      <c r="M19" s="2045"/>
    </row>
    <row r="20" spans="2:13" s="1036" customFormat="1" ht="20.100000000000001" customHeight="1" x14ac:dyDescent="0.2">
      <c r="B20" s="2042" t="s">
        <v>2121</v>
      </c>
      <c r="C20" s="2043"/>
      <c r="D20" s="2044"/>
      <c r="E20" s="2045">
        <f t="shared" ref="E20:K20" si="2">E19</f>
        <v>28862</v>
      </c>
      <c r="F20" s="2045">
        <f t="shared" si="2"/>
        <v>165881</v>
      </c>
      <c r="G20" s="2045">
        <f t="shared" si="2"/>
        <v>28862</v>
      </c>
      <c r="H20" s="2045">
        <f t="shared" si="2"/>
        <v>0</v>
      </c>
      <c r="I20" s="2045">
        <f t="shared" si="2"/>
        <v>165881</v>
      </c>
      <c r="J20" s="2045">
        <f t="shared" si="2"/>
        <v>0</v>
      </c>
      <c r="K20" s="2045">
        <f t="shared" si="2"/>
        <v>0</v>
      </c>
      <c r="L20" s="2046">
        <f t="shared" si="0"/>
        <v>194743</v>
      </c>
      <c r="M20" s="2045"/>
    </row>
    <row r="21" spans="2:13" ht="20.100000000000001" customHeight="1" x14ac:dyDescent="0.2">
      <c r="B21" s="1113"/>
      <c r="C21" s="1824"/>
      <c r="D21" s="1825"/>
      <c r="E21" s="1826"/>
      <c r="F21" s="1826"/>
      <c r="G21" s="1826"/>
      <c r="H21" s="1826"/>
      <c r="I21" s="1826"/>
      <c r="J21" s="1826"/>
      <c r="K21" s="1826"/>
      <c r="L21" s="1823"/>
      <c r="M21" s="1826"/>
    </row>
    <row r="22" spans="2:13" ht="20.100000000000001" customHeight="1" x14ac:dyDescent="0.2">
      <c r="B22" s="1113" t="s">
        <v>2122</v>
      </c>
      <c r="C22" s="1824"/>
      <c r="D22" s="1825"/>
      <c r="E22" s="1826"/>
      <c r="F22" s="1826"/>
      <c r="G22" s="1826"/>
      <c r="H22" s="1826"/>
      <c r="I22" s="1826"/>
      <c r="J22" s="1826"/>
      <c r="K22" s="1826"/>
      <c r="L22" s="1823"/>
      <c r="M22" s="1826"/>
    </row>
    <row r="23" spans="2:13" ht="20.100000000000001" customHeight="1" x14ac:dyDescent="0.2">
      <c r="B23" s="2038" t="s">
        <v>2123</v>
      </c>
      <c r="C23" s="1824"/>
      <c r="D23" s="1825"/>
      <c r="E23" s="1826"/>
      <c r="F23" s="1826"/>
      <c r="G23" s="1826"/>
      <c r="H23" s="1826"/>
      <c r="I23" s="1826"/>
      <c r="J23" s="1826"/>
      <c r="K23" s="1826"/>
      <c r="L23" s="1823"/>
      <c r="M23" s="1826"/>
    </row>
    <row r="24" spans="2:13" ht="20.100000000000001" customHeight="1" x14ac:dyDescent="0.2">
      <c r="B24" s="2039" t="s">
        <v>2114</v>
      </c>
      <c r="C24" s="1824"/>
      <c r="D24" s="1825"/>
      <c r="E24" s="1826"/>
      <c r="F24" s="1826"/>
      <c r="G24" s="1826"/>
      <c r="H24" s="1826"/>
      <c r="I24" s="1826"/>
      <c r="J24" s="1826"/>
      <c r="K24" s="1826"/>
      <c r="L24" s="1823"/>
      <c r="M24" s="1826"/>
    </row>
    <row r="25" spans="2:13" ht="20.100000000000001" customHeight="1" x14ac:dyDescent="0.2">
      <c r="B25" s="2040" t="s">
        <v>2124</v>
      </c>
      <c r="C25" s="1824">
        <v>84.027000000000001</v>
      </c>
      <c r="D25" s="1825" t="s">
        <v>2127</v>
      </c>
      <c r="E25" s="1826">
        <v>0</v>
      </c>
      <c r="F25" s="1826">
        <v>529434</v>
      </c>
      <c r="G25" s="1826">
        <f>E25</f>
        <v>0</v>
      </c>
      <c r="H25" s="1826">
        <v>0</v>
      </c>
      <c r="I25" s="1826">
        <f>F25</f>
        <v>529434</v>
      </c>
      <c r="J25" s="1826">
        <v>0</v>
      </c>
      <c r="K25" s="1826">
        <v>0</v>
      </c>
      <c r="L25" s="1823">
        <f t="shared" si="0"/>
        <v>529434</v>
      </c>
      <c r="M25" s="1826"/>
    </row>
    <row r="26" spans="2:13" ht="20.100000000000001" customHeight="1" x14ac:dyDescent="0.2">
      <c r="B26" s="2040" t="s">
        <v>2125</v>
      </c>
      <c r="C26" s="1824">
        <v>84.173000000000002</v>
      </c>
      <c r="D26" s="1825" t="s">
        <v>2128</v>
      </c>
      <c r="E26" s="1826">
        <v>0</v>
      </c>
      <c r="F26" s="1826">
        <v>12792</v>
      </c>
      <c r="G26" s="1826">
        <f>E26</f>
        <v>0</v>
      </c>
      <c r="H26" s="1826">
        <v>0</v>
      </c>
      <c r="I26" s="1826">
        <f>F26</f>
        <v>12792</v>
      </c>
      <c r="J26" s="1826">
        <v>0</v>
      </c>
      <c r="K26" s="1826">
        <v>0</v>
      </c>
      <c r="L26" s="1823">
        <f t="shared" si="0"/>
        <v>12792</v>
      </c>
      <c r="M26" s="1826"/>
    </row>
    <row r="27" spans="2:13" ht="20.100000000000001" customHeight="1" x14ac:dyDescent="0.2">
      <c r="B27" s="2040" t="s">
        <v>2126</v>
      </c>
      <c r="C27" s="1824">
        <v>84.027000000000001</v>
      </c>
      <c r="D27" s="1825" t="s">
        <v>2129</v>
      </c>
      <c r="E27" s="1826">
        <v>0</v>
      </c>
      <c r="F27" s="1826">
        <v>3529</v>
      </c>
      <c r="G27" s="1826">
        <f>E27</f>
        <v>0</v>
      </c>
      <c r="H27" s="1826">
        <v>0</v>
      </c>
      <c r="I27" s="1826">
        <f>F27</f>
        <v>3529</v>
      </c>
      <c r="J27" s="1826">
        <v>0</v>
      </c>
      <c r="K27" s="1826">
        <v>0</v>
      </c>
      <c r="L27" s="1823">
        <f t="shared" si="0"/>
        <v>3529</v>
      </c>
      <c r="M27" s="1826"/>
    </row>
    <row r="28" spans="2:13" s="1036" customFormat="1" ht="20.100000000000001" customHeight="1" x14ac:dyDescent="0.2">
      <c r="B28" s="2041" t="s">
        <v>2130</v>
      </c>
      <c r="C28" s="2043"/>
      <c r="D28" s="2044"/>
      <c r="E28" s="2045">
        <f t="shared" ref="E28:L28" si="3">SUM(E25:E27)</f>
        <v>0</v>
      </c>
      <c r="F28" s="2045">
        <f t="shared" si="3"/>
        <v>545755</v>
      </c>
      <c r="G28" s="2045">
        <f t="shared" si="3"/>
        <v>0</v>
      </c>
      <c r="H28" s="2045">
        <f t="shared" si="3"/>
        <v>0</v>
      </c>
      <c r="I28" s="2045">
        <f t="shared" si="3"/>
        <v>545755</v>
      </c>
      <c r="J28" s="2045">
        <f t="shared" si="3"/>
        <v>0</v>
      </c>
      <c r="K28" s="2045">
        <f t="shared" si="3"/>
        <v>0</v>
      </c>
      <c r="L28" s="2046">
        <f t="shared" si="3"/>
        <v>545755</v>
      </c>
      <c r="M28" s="2045"/>
    </row>
    <row r="29" spans="2:13" s="1036" customFormat="1" ht="20.100000000000001" customHeight="1" x14ac:dyDescent="0.2">
      <c r="B29" s="2042" t="s">
        <v>2131</v>
      </c>
      <c r="C29" s="2043"/>
      <c r="D29" s="2044"/>
      <c r="E29" s="2045">
        <f t="shared" ref="E29:L29" si="4">E28</f>
        <v>0</v>
      </c>
      <c r="F29" s="2045">
        <f t="shared" si="4"/>
        <v>545755</v>
      </c>
      <c r="G29" s="2045">
        <f t="shared" si="4"/>
        <v>0</v>
      </c>
      <c r="H29" s="2045">
        <f t="shared" si="4"/>
        <v>0</v>
      </c>
      <c r="I29" s="2045">
        <f t="shared" si="4"/>
        <v>545755</v>
      </c>
      <c r="J29" s="2045">
        <f t="shared" si="4"/>
        <v>0</v>
      </c>
      <c r="K29" s="2045">
        <f t="shared" si="4"/>
        <v>0</v>
      </c>
      <c r="L29" s="2046">
        <f t="shared" si="4"/>
        <v>545755</v>
      </c>
      <c r="M29" s="2045"/>
    </row>
    <row r="30" spans="2:13" ht="20.100000000000001" customHeight="1" x14ac:dyDescent="0.2">
      <c r="B30" s="1113"/>
      <c r="C30" s="1824"/>
      <c r="D30" s="1825"/>
      <c r="E30" s="1826"/>
      <c r="F30" s="1826"/>
      <c r="G30" s="1826"/>
      <c r="H30" s="1826"/>
      <c r="I30" s="1826"/>
      <c r="J30" s="1826"/>
      <c r="K30" s="1826"/>
      <c r="L30" s="1823"/>
      <c r="M30" s="1826"/>
    </row>
    <row r="31" spans="2:13" ht="20.100000000000001" customHeight="1" x14ac:dyDescent="0.2">
      <c r="B31" s="1113" t="s">
        <v>2132</v>
      </c>
      <c r="C31" s="1824"/>
      <c r="D31" s="1825"/>
      <c r="E31" s="1826"/>
      <c r="F31" s="1826"/>
      <c r="G31" s="1826"/>
      <c r="H31" s="1826"/>
      <c r="I31" s="1826"/>
      <c r="J31" s="1826"/>
      <c r="K31" s="1826"/>
      <c r="L31" s="1823"/>
      <c r="M31" s="1826"/>
    </row>
    <row r="32" spans="2:13" ht="20.100000000000001" customHeight="1" x14ac:dyDescent="0.2">
      <c r="B32" s="2038" t="s">
        <v>2123</v>
      </c>
      <c r="C32" s="1824"/>
      <c r="D32" s="1825"/>
      <c r="E32" s="1826"/>
      <c r="F32" s="1826"/>
      <c r="G32" s="1826"/>
      <c r="H32" s="1826"/>
      <c r="I32" s="1826"/>
      <c r="J32" s="1826"/>
      <c r="K32" s="1826"/>
      <c r="L32" s="1823"/>
      <c r="M32" s="1826"/>
    </row>
    <row r="33" spans="2:13" ht="20.100000000000001" customHeight="1" x14ac:dyDescent="0.2">
      <c r="B33" s="2039" t="s">
        <v>2114</v>
      </c>
      <c r="C33" s="1824"/>
      <c r="D33" s="1825"/>
      <c r="E33" s="1826"/>
      <c r="F33" s="1826"/>
      <c r="G33" s="1826"/>
      <c r="H33" s="1826"/>
      <c r="I33" s="1826"/>
      <c r="J33" s="1826"/>
      <c r="K33" s="1826"/>
      <c r="L33" s="1823"/>
      <c r="M33" s="1826"/>
    </row>
    <row r="34" spans="2:13" ht="20.100000000000001" customHeight="1" x14ac:dyDescent="0.2">
      <c r="B34" s="2040" t="s">
        <v>912</v>
      </c>
      <c r="C34" s="1824">
        <v>84.01</v>
      </c>
      <c r="D34" s="1825" t="s">
        <v>2136</v>
      </c>
      <c r="E34" s="1826">
        <v>97958</v>
      </c>
      <c r="F34" s="1826">
        <v>18627</v>
      </c>
      <c r="G34" s="1826">
        <f>E34</f>
        <v>97958</v>
      </c>
      <c r="H34" s="1826">
        <v>0</v>
      </c>
      <c r="I34" s="1826">
        <f>F34</f>
        <v>18627</v>
      </c>
      <c r="J34" s="1826">
        <v>0</v>
      </c>
      <c r="K34" s="1826">
        <v>0</v>
      </c>
      <c r="L34" s="1823">
        <f>G34+I34+K34</f>
        <v>116585</v>
      </c>
      <c r="M34" s="1826"/>
    </row>
    <row r="35" spans="2:13" ht="20.100000000000001" customHeight="1" x14ac:dyDescent="0.2">
      <c r="B35" s="2040" t="s">
        <v>912</v>
      </c>
      <c r="C35" s="1824">
        <v>84.01</v>
      </c>
      <c r="D35" s="1825" t="s">
        <v>2137</v>
      </c>
      <c r="E35" s="1826">
        <v>0</v>
      </c>
      <c r="F35" s="1826">
        <v>125116</v>
      </c>
      <c r="G35" s="1826">
        <f>E35</f>
        <v>0</v>
      </c>
      <c r="H35" s="1826">
        <v>0</v>
      </c>
      <c r="I35" s="1826">
        <f>F35</f>
        <v>125116</v>
      </c>
      <c r="J35" s="1826">
        <v>0</v>
      </c>
      <c r="K35" s="1826">
        <v>0</v>
      </c>
      <c r="L35" s="1823">
        <f>G35+I35+K35</f>
        <v>125116</v>
      </c>
      <c r="M35" s="1826"/>
    </row>
    <row r="36" spans="2:13" ht="20.100000000000001" customHeight="1" x14ac:dyDescent="0.2">
      <c r="B36" s="2040" t="s">
        <v>753</v>
      </c>
      <c r="C36" s="1824">
        <v>84.367000000000004</v>
      </c>
      <c r="D36" s="1825" t="s">
        <v>2138</v>
      </c>
      <c r="E36" s="1826">
        <v>0</v>
      </c>
      <c r="F36" s="1826">
        <v>34298</v>
      </c>
      <c r="G36" s="1826">
        <f>E36</f>
        <v>0</v>
      </c>
      <c r="H36" s="1826">
        <v>0</v>
      </c>
      <c r="I36" s="1826">
        <f>F36</f>
        <v>34298</v>
      </c>
      <c r="J36" s="1826">
        <v>0</v>
      </c>
      <c r="K36" s="1826">
        <v>0</v>
      </c>
      <c r="L36" s="1823">
        <f>G36+I36+K36</f>
        <v>34298</v>
      </c>
      <c r="M36" s="1826"/>
    </row>
    <row r="37" spans="2:13" ht="20.100000000000001" customHeight="1" x14ac:dyDescent="0.2">
      <c r="B37" s="2040" t="s">
        <v>2133</v>
      </c>
      <c r="C37" s="1824">
        <v>84.424000000000007</v>
      </c>
      <c r="D37" s="1825" t="s">
        <v>2139</v>
      </c>
      <c r="E37" s="1826">
        <v>0</v>
      </c>
      <c r="F37" s="1826">
        <v>3939</v>
      </c>
      <c r="G37" s="1826">
        <f>E37</f>
        <v>0</v>
      </c>
      <c r="H37" s="1826">
        <v>0</v>
      </c>
      <c r="I37" s="1826">
        <f>F37</f>
        <v>3939</v>
      </c>
      <c r="J37" s="1826">
        <v>0</v>
      </c>
      <c r="K37" s="1826">
        <v>0</v>
      </c>
      <c r="L37" s="1823">
        <f>G37+I37+K37</f>
        <v>3939</v>
      </c>
      <c r="M37" s="1826"/>
    </row>
    <row r="38" spans="2:13" ht="20.100000000000001" customHeight="1" x14ac:dyDescent="0.2">
      <c r="B38" s="2040" t="s">
        <v>2134</v>
      </c>
      <c r="C38" s="1824" t="s">
        <v>2135</v>
      </c>
      <c r="D38" s="1825" t="s">
        <v>2140</v>
      </c>
      <c r="E38" s="1826">
        <v>0</v>
      </c>
      <c r="F38" s="1826">
        <v>3214</v>
      </c>
      <c r="G38" s="1826">
        <f>E38</f>
        <v>0</v>
      </c>
      <c r="H38" s="1826">
        <v>0</v>
      </c>
      <c r="I38" s="1826">
        <f>F38</f>
        <v>3214</v>
      </c>
      <c r="J38" s="1826">
        <v>0</v>
      </c>
      <c r="K38" s="1826">
        <v>0</v>
      </c>
      <c r="L38" s="1823">
        <f>G38+I38+K38</f>
        <v>3214</v>
      </c>
      <c r="M38" s="1826"/>
    </row>
    <row r="39" spans="2:13" s="1036" customFormat="1" ht="20.100000000000001" customHeight="1" x14ac:dyDescent="0.2">
      <c r="B39" s="2047" t="s">
        <v>2145</v>
      </c>
      <c r="C39" s="2043"/>
      <c r="D39" s="2044"/>
      <c r="E39" s="2045">
        <f t="shared" ref="E39:L39" si="5">SUM(E34:E38)</f>
        <v>97958</v>
      </c>
      <c r="F39" s="2045">
        <f t="shared" si="5"/>
        <v>185194</v>
      </c>
      <c r="G39" s="2045">
        <f t="shared" si="5"/>
        <v>97958</v>
      </c>
      <c r="H39" s="2045">
        <f t="shared" si="5"/>
        <v>0</v>
      </c>
      <c r="I39" s="2045">
        <f t="shared" si="5"/>
        <v>185194</v>
      </c>
      <c r="J39" s="2045">
        <f t="shared" si="5"/>
        <v>0</v>
      </c>
      <c r="K39" s="2045">
        <f t="shared" si="5"/>
        <v>0</v>
      </c>
      <c r="L39" s="2046">
        <f t="shared" si="5"/>
        <v>283152</v>
      </c>
      <c r="M39" s="2045"/>
    </row>
    <row r="40" spans="2:13" ht="20.100000000000001" customHeight="1" x14ac:dyDescent="0.2">
      <c r="B40" s="2039" t="s">
        <v>2141</v>
      </c>
      <c r="C40" s="1824"/>
      <c r="D40" s="1825"/>
      <c r="E40" s="1826"/>
      <c r="F40" s="1826"/>
      <c r="G40" s="1826"/>
      <c r="H40" s="1826"/>
      <c r="I40" s="1826"/>
      <c r="J40" s="1826"/>
      <c r="K40" s="1826"/>
      <c r="L40" s="1823"/>
      <c r="M40" s="1826"/>
    </row>
    <row r="41" spans="2:13" ht="20.100000000000001" customHeight="1" x14ac:dyDescent="0.2">
      <c r="B41" s="2040" t="s">
        <v>2142</v>
      </c>
      <c r="C41" s="1824">
        <v>84.048000000000002</v>
      </c>
      <c r="D41" s="1825" t="s">
        <v>2066</v>
      </c>
      <c r="E41" s="1826">
        <v>0</v>
      </c>
      <c r="F41" s="1826">
        <v>5780</v>
      </c>
      <c r="G41" s="1826">
        <f>E41</f>
        <v>0</v>
      </c>
      <c r="H41" s="1826">
        <v>0</v>
      </c>
      <c r="I41" s="1826">
        <f>F41</f>
        <v>5780</v>
      </c>
      <c r="J41" s="1826">
        <v>0</v>
      </c>
      <c r="K41" s="1826">
        <v>0</v>
      </c>
      <c r="L41" s="1823">
        <f>G41+I41+K41</f>
        <v>5780</v>
      </c>
      <c r="M41" s="1826"/>
    </row>
    <row r="42" spans="2:13" ht="20.100000000000001" customHeight="1" x14ac:dyDescent="0.2">
      <c r="B42" s="2039" t="s">
        <v>2143</v>
      </c>
      <c r="C42" s="1824"/>
      <c r="D42" s="1825"/>
      <c r="E42" s="1826"/>
      <c r="F42" s="1826"/>
      <c r="G42" s="1826"/>
      <c r="H42" s="1826"/>
      <c r="I42" s="1826"/>
      <c r="J42" s="1826"/>
      <c r="K42" s="1826"/>
      <c r="L42" s="1823"/>
      <c r="M42" s="1826"/>
    </row>
    <row r="43" spans="2:13" ht="20.100000000000001" customHeight="1" x14ac:dyDescent="0.2">
      <c r="B43" s="2040" t="s">
        <v>2144</v>
      </c>
      <c r="C43" s="1824">
        <v>84.195999999999998</v>
      </c>
      <c r="D43" s="1825" t="s">
        <v>2066</v>
      </c>
      <c r="E43" s="1826">
        <v>0</v>
      </c>
      <c r="F43" s="1826">
        <v>4701</v>
      </c>
      <c r="G43" s="1826">
        <v>0</v>
      </c>
      <c r="H43" s="1826">
        <v>0</v>
      </c>
      <c r="I43" s="1826">
        <f>F43</f>
        <v>4701</v>
      </c>
      <c r="J43" s="1826">
        <v>0</v>
      </c>
      <c r="K43" s="1826">
        <v>0</v>
      </c>
      <c r="L43" s="1823">
        <f>G43+I43</f>
        <v>4701</v>
      </c>
      <c r="M43" s="1826"/>
    </row>
    <row r="44" spans="2:13" s="1036" customFormat="1" ht="20.100000000000001" customHeight="1" x14ac:dyDescent="0.2">
      <c r="B44" s="2041" t="s">
        <v>2130</v>
      </c>
      <c r="C44" s="2043"/>
      <c r="D44" s="2044"/>
      <c r="E44" s="2045">
        <f t="shared" ref="E44:L44" si="6">SUM(E39:E43)</f>
        <v>97958</v>
      </c>
      <c r="F44" s="2045">
        <f t="shared" si="6"/>
        <v>195675</v>
      </c>
      <c r="G44" s="2045">
        <f t="shared" si="6"/>
        <v>97958</v>
      </c>
      <c r="H44" s="2045">
        <f t="shared" si="6"/>
        <v>0</v>
      </c>
      <c r="I44" s="2045">
        <f t="shared" si="6"/>
        <v>195675</v>
      </c>
      <c r="J44" s="2045">
        <f t="shared" si="6"/>
        <v>0</v>
      </c>
      <c r="K44" s="2045">
        <f t="shared" si="6"/>
        <v>0</v>
      </c>
      <c r="L44" s="2046">
        <f t="shared" si="6"/>
        <v>293633</v>
      </c>
      <c r="M44" s="2045"/>
    </row>
    <row r="45" spans="2:13" ht="20.100000000000001" customHeight="1" x14ac:dyDescent="0.2">
      <c r="B45" s="1113"/>
      <c r="C45" s="1824"/>
      <c r="D45" s="1825"/>
      <c r="E45" s="1826"/>
      <c r="F45" s="1826"/>
      <c r="G45" s="1826"/>
      <c r="H45" s="1826"/>
      <c r="I45" s="1826"/>
      <c r="J45" s="1826"/>
      <c r="K45" s="1826"/>
      <c r="L45" s="1823"/>
      <c r="M45" s="1826"/>
    </row>
    <row r="46" spans="2:13" ht="20.100000000000001" customHeight="1" x14ac:dyDescent="0.2">
      <c r="B46" s="2038" t="s">
        <v>2146</v>
      </c>
      <c r="C46" s="1824"/>
      <c r="D46" s="1825"/>
      <c r="E46" s="1826"/>
      <c r="F46" s="1826"/>
      <c r="G46" s="1826"/>
      <c r="H46" s="1826"/>
      <c r="I46" s="1826"/>
      <c r="J46" s="1826"/>
      <c r="K46" s="1826"/>
      <c r="L46" s="1823"/>
      <c r="M46" s="1826"/>
    </row>
    <row r="47" spans="2:13" ht="20.100000000000001" customHeight="1" x14ac:dyDescent="0.2">
      <c r="B47" s="2039" t="s">
        <v>2147</v>
      </c>
      <c r="C47" s="1824">
        <v>93.778000000000006</v>
      </c>
      <c r="D47" s="1825" t="s">
        <v>2066</v>
      </c>
      <c r="E47" s="1826">
        <v>0</v>
      </c>
      <c r="F47" s="1826">
        <v>31314</v>
      </c>
      <c r="G47" s="1826">
        <f>E47</f>
        <v>0</v>
      </c>
      <c r="H47" s="1826">
        <v>0</v>
      </c>
      <c r="I47" s="1826">
        <f>F47</f>
        <v>31314</v>
      </c>
      <c r="J47" s="1826">
        <v>0</v>
      </c>
      <c r="K47" s="1826">
        <v>0</v>
      </c>
      <c r="L47" s="1823">
        <f>G47+I47</f>
        <v>31314</v>
      </c>
      <c r="M47" s="1826"/>
    </row>
    <row r="48" spans="2:13" s="1036" customFormat="1" ht="20.100000000000001" customHeight="1" x14ac:dyDescent="0.2">
      <c r="B48" s="2041" t="s">
        <v>2148</v>
      </c>
      <c r="C48" s="2043"/>
      <c r="D48" s="2044"/>
      <c r="E48" s="2045">
        <f t="shared" ref="E48:L48" si="7">SUM(E47)</f>
        <v>0</v>
      </c>
      <c r="F48" s="2045">
        <f t="shared" si="7"/>
        <v>31314</v>
      </c>
      <c r="G48" s="2045">
        <f t="shared" si="7"/>
        <v>0</v>
      </c>
      <c r="H48" s="2045">
        <f t="shared" si="7"/>
        <v>0</v>
      </c>
      <c r="I48" s="2045">
        <f t="shared" si="7"/>
        <v>31314</v>
      </c>
      <c r="J48" s="2045">
        <f t="shared" si="7"/>
        <v>0</v>
      </c>
      <c r="K48" s="2045">
        <f t="shared" si="7"/>
        <v>0</v>
      </c>
      <c r="L48" s="2046">
        <f t="shared" si="7"/>
        <v>31314</v>
      </c>
      <c r="M48" s="2045"/>
    </row>
    <row r="49" spans="2:14" s="1036" customFormat="1" ht="20.100000000000001" customHeight="1" x14ac:dyDescent="0.2">
      <c r="B49" s="2042" t="s">
        <v>2149</v>
      </c>
      <c r="C49" s="2043"/>
      <c r="D49" s="2044"/>
      <c r="E49" s="2045">
        <f t="shared" ref="E49:L49" si="8">E44+E48</f>
        <v>97958</v>
      </c>
      <c r="F49" s="2045">
        <f t="shared" si="8"/>
        <v>226989</v>
      </c>
      <c r="G49" s="2045">
        <f t="shared" si="8"/>
        <v>97958</v>
      </c>
      <c r="H49" s="2045">
        <f t="shared" si="8"/>
        <v>0</v>
      </c>
      <c r="I49" s="2045">
        <f t="shared" si="8"/>
        <v>226989</v>
      </c>
      <c r="J49" s="2045">
        <f t="shared" si="8"/>
        <v>0</v>
      </c>
      <c r="K49" s="2045">
        <f t="shared" si="8"/>
        <v>0</v>
      </c>
      <c r="L49" s="2046">
        <f t="shared" si="8"/>
        <v>324947</v>
      </c>
      <c r="M49" s="2045"/>
    </row>
    <row r="50" spans="2:14" ht="20.100000000000001" customHeight="1" x14ac:dyDescent="0.2">
      <c r="B50" s="1113"/>
      <c r="C50" s="1824"/>
      <c r="D50" s="1825"/>
      <c r="E50" s="1826"/>
      <c r="F50" s="1826"/>
      <c r="G50" s="1826"/>
      <c r="H50" s="1826"/>
      <c r="I50" s="1826"/>
      <c r="J50" s="1826"/>
      <c r="K50" s="1826"/>
      <c r="L50" s="1823"/>
      <c r="M50" s="1826"/>
    </row>
    <row r="51" spans="2:14" s="1036" customFormat="1" ht="20.100000000000001" customHeight="1" x14ac:dyDescent="0.2">
      <c r="B51" s="2042" t="s">
        <v>2150</v>
      </c>
      <c r="C51" s="2043"/>
      <c r="D51" s="2044"/>
      <c r="E51" s="2045">
        <f t="shared" ref="E51:L51" si="9">E20+E29+E49</f>
        <v>126820</v>
      </c>
      <c r="F51" s="2045">
        <f t="shared" si="9"/>
        <v>938625</v>
      </c>
      <c r="G51" s="2045">
        <f t="shared" si="9"/>
        <v>126820</v>
      </c>
      <c r="H51" s="2045">
        <f t="shared" si="9"/>
        <v>0</v>
      </c>
      <c r="I51" s="2045">
        <f t="shared" si="9"/>
        <v>938625</v>
      </c>
      <c r="J51" s="2045">
        <f t="shared" si="9"/>
        <v>0</v>
      </c>
      <c r="K51" s="2045">
        <f t="shared" si="9"/>
        <v>0</v>
      </c>
      <c r="L51" s="2046">
        <f t="shared" si="9"/>
        <v>1065445</v>
      </c>
      <c r="M51" s="2045"/>
    </row>
    <row r="52" spans="2:14" ht="20.100000000000001" customHeight="1" x14ac:dyDescent="0.2">
      <c r="B52" s="1113"/>
      <c r="C52" s="1824"/>
      <c r="D52" s="1825"/>
      <c r="E52" s="1826"/>
      <c r="F52" s="1826"/>
      <c r="G52" s="1826"/>
      <c r="H52" s="1826"/>
      <c r="I52" s="1826"/>
      <c r="J52" s="1826"/>
      <c r="K52" s="1826"/>
      <c r="L52" s="1823"/>
      <c r="M52" s="1826"/>
    </row>
    <row r="53" spans="2:14" ht="12.75" customHeight="1" x14ac:dyDescent="0.2">
      <c r="B53" s="1115"/>
      <c r="C53" s="1116"/>
      <c r="D53" s="1117"/>
      <c r="E53" s="1118"/>
      <c r="F53" s="1118"/>
      <c r="G53" s="1118"/>
      <c r="H53" s="1118"/>
      <c r="I53" s="1118"/>
      <c r="J53" s="1118"/>
      <c r="K53" s="1118"/>
      <c r="L53" s="1118"/>
      <c r="M53" s="1118"/>
      <c r="N53" s="1114"/>
    </row>
    <row r="54" spans="2:14" x14ac:dyDescent="0.2">
      <c r="B54" s="1033"/>
      <c r="C54" s="1119"/>
      <c r="D54" s="1120"/>
      <c r="E54" s="1033"/>
      <c r="F54" s="1033"/>
      <c r="G54" s="1026"/>
      <c r="H54" s="1026"/>
      <c r="I54" s="1026"/>
      <c r="J54" s="1026"/>
      <c r="K54" s="1026"/>
      <c r="L54" s="1026"/>
      <c r="M54" s="1033"/>
      <c r="N54" s="1114"/>
    </row>
    <row r="55" spans="2:14" ht="13.5" customHeight="1" x14ac:dyDescent="0.2">
      <c r="B55" s="1058" t="s">
        <v>1711</v>
      </c>
      <c r="C55" s="1119"/>
      <c r="D55" s="1120"/>
      <c r="E55" s="1033"/>
      <c r="F55" s="1033"/>
      <c r="G55" s="1026"/>
      <c r="H55" s="1026"/>
      <c r="I55" s="1026"/>
      <c r="J55" s="1026"/>
      <c r="K55" s="1026"/>
      <c r="L55" s="1026"/>
      <c r="M55" s="1033"/>
      <c r="N55" s="1114"/>
    </row>
    <row r="56" spans="2:14" ht="8.25" customHeight="1" x14ac:dyDescent="0.2">
      <c r="B56" s="1058"/>
      <c r="C56" s="1119"/>
      <c r="D56" s="1120"/>
      <c r="E56" s="1033"/>
      <c r="F56" s="1033"/>
      <c r="G56" s="1026"/>
      <c r="H56" s="1026"/>
      <c r="I56" s="1026"/>
      <c r="J56" s="1026"/>
      <c r="K56" s="1026"/>
      <c r="L56" s="1026"/>
      <c r="M56" s="1033"/>
      <c r="N56" s="1114"/>
    </row>
    <row r="57" spans="2:14" x14ac:dyDescent="0.2">
      <c r="B57" s="1121" t="s">
        <v>1809</v>
      </c>
      <c r="C57" s="1122"/>
      <c r="D57" s="1123"/>
      <c r="E57" s="1124"/>
      <c r="F57" s="1124"/>
      <c r="G57" s="1124"/>
      <c r="H57" s="1124"/>
      <c r="I57" s="295"/>
      <c r="J57" s="295"/>
    </row>
    <row r="58" spans="2:14" x14ac:dyDescent="0.2">
      <c r="B58" s="1053"/>
      <c r="C58" s="1125"/>
      <c r="D58" s="1126"/>
      <c r="E58" s="1054"/>
      <c r="F58" s="1054"/>
      <c r="G58" s="295"/>
      <c r="H58" s="295"/>
      <c r="I58" s="295"/>
      <c r="J58" s="295"/>
    </row>
    <row r="59" spans="2:14" ht="13.5" customHeight="1" x14ac:dyDescent="0.2">
      <c r="B59" s="1052" t="s">
        <v>1235</v>
      </c>
      <c r="G59" s="295"/>
      <c r="H59" s="295"/>
      <c r="I59" s="295"/>
      <c r="J59" s="295"/>
    </row>
    <row r="60" spans="2:14" ht="13.5" customHeight="1" x14ac:dyDescent="0.2">
      <c r="B60" s="1129"/>
      <c r="C60" s="1130"/>
      <c r="D60" s="1131"/>
      <c r="E60" s="1073"/>
      <c r="F60" s="1073"/>
      <c r="G60" s="1073"/>
      <c r="H60" s="1073"/>
      <c r="I60" s="1073"/>
      <c r="J60" s="1073"/>
      <c r="K60" s="1132"/>
      <c r="L60" s="1132"/>
      <c r="M60" s="1073"/>
    </row>
    <row r="61" spans="2:14" ht="9.6" customHeight="1" x14ac:dyDescent="0.2">
      <c r="B61" s="1133"/>
      <c r="G61" s="295"/>
      <c r="H61" s="295"/>
      <c r="I61" s="295"/>
      <c r="J61" s="295"/>
    </row>
    <row r="62" spans="2:14" ht="11.25" customHeight="1" x14ac:dyDescent="0.2">
      <c r="B62" s="1134" t="s">
        <v>1712</v>
      </c>
      <c r="C62" s="1135"/>
      <c r="D62" s="1135"/>
      <c r="E62" s="1135"/>
      <c r="F62" s="1135"/>
      <c r="G62" s="1135"/>
      <c r="H62" s="1135"/>
      <c r="I62" s="1136"/>
      <c r="J62" s="1136"/>
      <c r="K62" s="1136"/>
      <c r="L62" s="1136"/>
      <c r="M62" s="1136"/>
    </row>
    <row r="63" spans="2:14" ht="11.25" customHeight="1" x14ac:dyDescent="0.2">
      <c r="B63" s="1137" t="s">
        <v>1567</v>
      </c>
      <c r="C63" s="1136"/>
      <c r="D63" s="1136"/>
      <c r="E63" s="1136"/>
      <c r="F63" s="1136"/>
      <c r="G63" s="1136"/>
      <c r="H63" s="1136"/>
      <c r="I63" s="1136"/>
      <c r="J63" s="1136"/>
      <c r="K63" s="1136"/>
      <c r="L63" s="1136"/>
      <c r="M63" s="1136"/>
    </row>
    <row r="64" spans="2:14" ht="3.95" customHeight="1" x14ac:dyDescent="0.2">
      <c r="B64" s="1137"/>
      <c r="C64" s="1136"/>
      <c r="D64" s="1136"/>
      <c r="E64" s="1136"/>
      <c r="F64" s="1136"/>
      <c r="G64" s="1136"/>
      <c r="H64" s="1136"/>
      <c r="I64" s="1136"/>
      <c r="J64" s="1136"/>
      <c r="K64" s="1136"/>
      <c r="L64" s="1136"/>
      <c r="M64" s="1136"/>
    </row>
    <row r="65" spans="2:13" ht="11.25" customHeight="1" x14ac:dyDescent="0.2">
      <c r="B65" s="1134" t="s">
        <v>1713</v>
      </c>
      <c r="C65" s="1136"/>
      <c r="D65" s="1136"/>
      <c r="E65" s="1136"/>
      <c r="F65" s="1136"/>
      <c r="G65" s="1136"/>
      <c r="H65" s="1136"/>
      <c r="I65" s="1136"/>
      <c r="J65" s="1136"/>
      <c r="K65" s="1136"/>
      <c r="L65" s="1136"/>
      <c r="M65" s="1136"/>
    </row>
    <row r="66" spans="2:13" ht="11.25" customHeight="1" x14ac:dyDescent="0.2">
      <c r="B66" s="1076" t="s">
        <v>1568</v>
      </c>
      <c r="C66" s="1138"/>
      <c r="D66" s="1139"/>
      <c r="E66" s="1076"/>
      <c r="F66" s="1076"/>
      <c r="G66" s="1076"/>
      <c r="H66" s="1076"/>
      <c r="I66" s="1076"/>
      <c r="J66" s="1076"/>
      <c r="K66" s="1140"/>
      <c r="L66" s="1140"/>
      <c r="M66" s="1076"/>
    </row>
    <row r="67" spans="2:13" ht="3.95" customHeight="1" x14ac:dyDescent="0.2">
      <c r="B67" s="1076"/>
      <c r="C67" s="1138"/>
      <c r="D67" s="1139"/>
      <c r="E67" s="1076"/>
      <c r="F67" s="1076"/>
      <c r="G67" s="1076"/>
      <c r="H67" s="1076"/>
      <c r="I67" s="1076"/>
      <c r="J67" s="1076"/>
      <c r="K67" s="1140"/>
      <c r="L67" s="1140"/>
      <c r="M67" s="1076"/>
    </row>
    <row r="68" spans="2:13" ht="11.25" customHeight="1" x14ac:dyDescent="0.2">
      <c r="B68" s="1141" t="s">
        <v>1714</v>
      </c>
      <c r="C68" s="1138"/>
      <c r="D68" s="1139"/>
      <c r="E68" s="1076"/>
      <c r="F68" s="1076"/>
      <c r="G68" s="1076"/>
      <c r="H68" s="1076"/>
      <c r="I68" s="1076"/>
      <c r="J68" s="1076"/>
      <c r="K68" s="1140"/>
      <c r="L68" s="1140"/>
      <c r="M68" s="1076"/>
    </row>
    <row r="69" spans="2:13" ht="3.95" customHeight="1" x14ac:dyDescent="0.2">
      <c r="B69" s="1141"/>
      <c r="C69" s="1138"/>
      <c r="D69" s="1139"/>
      <c r="E69" s="1076"/>
      <c r="F69" s="1076"/>
      <c r="G69" s="1076"/>
      <c r="H69" s="1076"/>
      <c r="I69" s="1076"/>
      <c r="J69" s="1076"/>
      <c r="K69" s="1140"/>
      <c r="L69" s="1140"/>
      <c r="M69" s="1076"/>
    </row>
    <row r="70" spans="2:13" ht="11.25" customHeight="1" x14ac:dyDescent="0.2">
      <c r="B70" s="1142" t="s">
        <v>1715</v>
      </c>
      <c r="C70" s="1138"/>
      <c r="D70" s="1139"/>
      <c r="E70" s="1076"/>
      <c r="F70" s="1076"/>
      <c r="G70" s="1076"/>
      <c r="H70" s="1076"/>
      <c r="I70" s="1076"/>
      <c r="J70" s="1076"/>
      <c r="K70" s="1140"/>
      <c r="L70" s="1140"/>
      <c r="M70" s="1076"/>
    </row>
    <row r="71" spans="2:13" ht="11.25" customHeight="1" x14ac:dyDescent="0.2">
      <c r="B71" s="1076" t="s">
        <v>1569</v>
      </c>
      <c r="G71" s="295"/>
      <c r="H71" s="295"/>
      <c r="I71" s="295"/>
      <c r="J71" s="295"/>
    </row>
    <row r="72" spans="2:13" ht="11.1" customHeight="1" x14ac:dyDescent="0.2">
      <c r="B72" s="1076"/>
      <c r="G72" s="295"/>
      <c r="H72" s="295"/>
      <c r="I72" s="295"/>
      <c r="J72" s="295"/>
    </row>
    <row r="73" spans="2:13" ht="11.1" customHeight="1" x14ac:dyDescent="0.2">
      <c r="B73" s="1076"/>
      <c r="G73" s="295"/>
      <c r="H73" s="295"/>
      <c r="I73" s="295"/>
      <c r="J73" s="295"/>
    </row>
    <row r="74" spans="2:13" ht="13.5" customHeight="1" x14ac:dyDescent="0.2">
      <c r="M74" s="1143"/>
    </row>
    <row r="75" spans="2:13" ht="13.5" customHeight="1" x14ac:dyDescent="0.2">
      <c r="M75" s="1143"/>
    </row>
    <row r="76" spans="2:13" ht="13.5" customHeight="1" x14ac:dyDescent="0.2">
      <c r="M76" s="1143"/>
    </row>
    <row r="77" spans="2:13" ht="13.5" customHeight="1" x14ac:dyDescent="0.2">
      <c r="G77" s="295"/>
      <c r="H77" s="295"/>
      <c r="I77" s="295"/>
      <c r="J77" s="295"/>
    </row>
    <row r="78" spans="2:13" ht="13.5" customHeight="1" x14ac:dyDescent="0.2">
      <c r="G78" s="295"/>
      <c r="H78" s="295"/>
      <c r="I78" s="295"/>
      <c r="J78" s="295"/>
    </row>
    <row r="79" spans="2:13" ht="13.5" customHeight="1" x14ac:dyDescent="0.2">
      <c r="G79" s="295"/>
      <c r="H79" s="295"/>
      <c r="I79" s="295"/>
      <c r="J79" s="295"/>
    </row>
    <row r="80" spans="2:13" ht="13.5" customHeight="1" x14ac:dyDescent="0.2">
      <c r="G80" s="295"/>
      <c r="H80" s="295"/>
      <c r="I80" s="295"/>
      <c r="J80" s="295"/>
    </row>
    <row r="81" spans="7:10" ht="13.5" customHeight="1" x14ac:dyDescent="0.2">
      <c r="G81" s="295"/>
      <c r="H81" s="295"/>
      <c r="I81" s="295"/>
      <c r="J81" s="295"/>
    </row>
    <row r="82" spans="7:10" ht="13.5" customHeight="1" x14ac:dyDescent="0.2">
      <c r="G82" s="295"/>
      <c r="H82" s="295"/>
      <c r="I82" s="295"/>
      <c r="J82" s="295"/>
    </row>
    <row r="83" spans="7:10" ht="13.5" customHeight="1" x14ac:dyDescent="0.2">
      <c r="G83" s="295"/>
      <c r="H83" s="295"/>
      <c r="I83" s="295"/>
      <c r="J83" s="295"/>
    </row>
    <row r="84" spans="7:10" ht="13.5" customHeight="1" x14ac:dyDescent="0.2"/>
    <row r="85" spans="7:10" ht="13.5" customHeight="1" x14ac:dyDescent="0.2"/>
    <row r="86" spans="7:10" ht="13.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4.7" customHeight="1" x14ac:dyDescent="0.2"/>
    <row r="137" ht="12.2"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4.7" customHeight="1" x14ac:dyDescent="0.2"/>
    <row r="17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Lisle CUSD 202</v>
      </c>
      <c r="B1" s="2582"/>
      <c r="C1" s="2582"/>
      <c r="D1" s="2582"/>
      <c r="E1" s="2582"/>
      <c r="F1" s="2582"/>
    </row>
    <row r="2" spans="1:7" ht="13.5" customHeight="1" x14ac:dyDescent="0.2">
      <c r="A2" s="2578">
        <f>'Single Audit Cover'!E7</f>
        <v>19022202026</v>
      </c>
      <c r="B2" s="2578"/>
      <c r="C2" s="2578"/>
      <c r="D2" s="2578"/>
      <c r="E2" s="2578"/>
      <c r="F2" s="2578"/>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2151</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2152</v>
      </c>
      <c r="B13" s="2581"/>
      <c r="C13" s="2581"/>
      <c r="D13" s="2581"/>
      <c r="E13" s="2581"/>
      <c r="F13" s="2581"/>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c r="C17" s="1061"/>
      <c r="D17" s="2585"/>
      <c r="E17" s="2585"/>
      <c r="F17" s="2585"/>
    </row>
    <row r="18" spans="1:6" ht="20.65" customHeight="1" x14ac:dyDescent="0.2">
      <c r="A18" s="1059"/>
      <c r="B18" s="1060"/>
      <c r="C18" s="1061"/>
      <c r="D18" s="2585"/>
      <c r="E18" s="2585"/>
      <c r="F18" s="2585"/>
    </row>
    <row r="19" spans="1:6" ht="20.65" customHeight="1" x14ac:dyDescent="0.2">
      <c r="A19" s="1059"/>
      <c r="B19" s="1060"/>
      <c r="C19" s="1061"/>
      <c r="D19" s="2585"/>
      <c r="E19" s="2585"/>
      <c r="F19" s="2585"/>
    </row>
    <row r="20" spans="1:6" ht="20.65" customHeight="1" x14ac:dyDescent="0.2">
      <c r="A20" s="1059"/>
      <c r="B20" s="1060"/>
      <c r="C20" s="1061"/>
      <c r="D20" s="2585"/>
      <c r="E20" s="2585"/>
      <c r="F20" s="2585"/>
    </row>
    <row r="21" spans="1:6" ht="20.65" customHeight="1" x14ac:dyDescent="0.2">
      <c r="A21" s="1059"/>
      <c r="B21" s="1060"/>
      <c r="C21" s="1061"/>
      <c r="D21" s="2585"/>
      <c r="E21" s="2585"/>
      <c r="F21" s="2585"/>
    </row>
    <row r="22" spans="1:6" ht="20.65" customHeight="1" x14ac:dyDescent="0.2">
      <c r="A22" s="1059"/>
      <c r="B22" s="1060"/>
      <c r="C22" s="1061"/>
      <c r="D22" s="2585"/>
      <c r="E22" s="2585"/>
      <c r="F22" s="2585"/>
    </row>
    <row r="23" spans="1:6" ht="20.65" customHeight="1" x14ac:dyDescent="0.2">
      <c r="A23" s="1059"/>
      <c r="B23" s="1060"/>
      <c r="C23" s="1061"/>
      <c r="D23" s="2585"/>
      <c r="E23" s="2585"/>
      <c r="F23" s="2585"/>
    </row>
    <row r="24" spans="1:6" ht="20.65" customHeight="1" x14ac:dyDescent="0.2">
      <c r="A24" s="1059"/>
      <c r="B24" s="1060"/>
      <c r="C24" s="1061"/>
      <c r="D24" s="2585"/>
      <c r="E24" s="2585"/>
      <c r="F24" s="2585"/>
    </row>
    <row r="25" spans="1:6" ht="20.65" customHeight="1" x14ac:dyDescent="0.2">
      <c r="A25" s="1059"/>
      <c r="B25" s="1060"/>
      <c r="C25" s="1061"/>
      <c r="D25" s="2585"/>
      <c r="E25" s="2585"/>
      <c r="F25" s="2585"/>
    </row>
    <row r="26" spans="1:6" ht="20.65" customHeight="1" x14ac:dyDescent="0.2">
      <c r="A26" s="1059"/>
      <c r="B26" s="1060"/>
      <c r="C26" s="1061"/>
      <c r="D26" s="2585"/>
      <c r="E26" s="2585"/>
      <c r="F26" s="2585"/>
    </row>
    <row r="27" spans="1:6" ht="20.65" customHeight="1" x14ac:dyDescent="0.2">
      <c r="A27" s="1059"/>
      <c r="B27" s="1060"/>
      <c r="C27" s="1061"/>
      <c r="D27" s="2585"/>
      <c r="E27" s="2585"/>
      <c r="F27" s="2585"/>
    </row>
    <row r="28" spans="1:6" ht="20.65" customHeight="1" x14ac:dyDescent="0.2">
      <c r="A28" s="1059"/>
      <c r="B28" s="1060"/>
      <c r="C28" s="1061"/>
      <c r="D28" s="2585"/>
      <c r="E28" s="2585"/>
      <c r="F28" s="2585"/>
    </row>
    <row r="29" spans="1:6" ht="20.65" customHeight="1" x14ac:dyDescent="0.2">
      <c r="A29" s="1059"/>
      <c r="B29" s="1060"/>
      <c r="C29" s="1061"/>
      <c r="D29" s="2585"/>
      <c r="E29" s="2585"/>
      <c r="F29" s="258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9" t="s">
        <v>2153</v>
      </c>
      <c r="B32" s="2589"/>
      <c r="C32" s="2589"/>
      <c r="D32" s="2589"/>
      <c r="E32" s="2589"/>
      <c r="F32" s="2589"/>
    </row>
    <row r="33" spans="1:6" ht="13.5" customHeight="1" x14ac:dyDescent="0.2">
      <c r="A33" s="306" t="s">
        <v>1417</v>
      </c>
      <c r="B33" s="306"/>
      <c r="C33" s="1064">
        <f>' SEFA'!F17</f>
        <v>18625</v>
      </c>
      <c r="D33" s="1526"/>
      <c r="E33" s="1062"/>
    </row>
    <row r="34" spans="1:6" ht="13.5" customHeight="1" x14ac:dyDescent="0.2">
      <c r="A34" s="306" t="s">
        <v>1808</v>
      </c>
      <c r="B34" s="306"/>
      <c r="C34" s="1065">
        <f>' SEFA'!F18</f>
        <v>4983</v>
      </c>
      <c r="D34" s="1526" t="s">
        <v>1572</v>
      </c>
      <c r="E34" s="2590">
        <f>+C33+C34</f>
        <v>23608</v>
      </c>
      <c r="F34" s="259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2" t="s">
        <v>1573</v>
      </c>
      <c r="C49" s="2592"/>
      <c r="D49" s="2592"/>
      <c r="E49" s="1168"/>
    </row>
    <row r="50" spans="1:5" s="1076" customFormat="1" ht="3.75" customHeight="1" x14ac:dyDescent="0.2">
      <c r="A50" s="1075"/>
      <c r="B50" s="1475"/>
      <c r="C50" s="1475"/>
      <c r="D50" s="1475"/>
      <c r="E50" s="1168"/>
    </row>
    <row r="51" spans="1:5" s="1076" customFormat="1" ht="20.25" customHeight="1" x14ac:dyDescent="0.2">
      <c r="A51" s="1077">
        <v>6</v>
      </c>
      <c r="B51" s="2588" t="s">
        <v>1534</v>
      </c>
      <c r="C51" s="2588"/>
      <c r="D51" s="2588"/>
    </row>
    <row r="52" spans="1:5" ht="14.25" customHeight="1" x14ac:dyDescent="0.2">
      <c r="A52" s="1077"/>
      <c r="B52" s="2588"/>
      <c r="C52" s="2588"/>
      <c r="D52" s="25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5" colorId="8" zoomScaleNormal="100" workbookViewId="0">
      <selection activeCell="H86" sqref="H8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1986</v>
      </c>
      <c r="B85" s="2195"/>
      <c r="C85" s="2195"/>
      <c r="D85" s="2196"/>
      <c r="E85" s="1544">
        <v>58672</v>
      </c>
      <c r="F85" s="1544">
        <v>33083</v>
      </c>
      <c r="G85" s="1544">
        <v>87888</v>
      </c>
      <c r="H85" s="1544">
        <v>105296</v>
      </c>
      <c r="I85" s="1904"/>
      <c r="J85" s="1727">
        <f>SUM(E85:I85)</f>
        <v>284939</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7" t="s">
        <v>1986</v>
      </c>
      <c r="B88" s="2198"/>
      <c r="C88" s="2198"/>
      <c r="D88" s="2199"/>
      <c r="E88" s="1544"/>
      <c r="F88" s="1544">
        <v>33083</v>
      </c>
      <c r="G88" s="1544"/>
      <c r="H88" s="1544"/>
      <c r="I88" s="1904"/>
      <c r="J88" s="1727">
        <f>SUM(E88:I88)</f>
        <v>33083</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318022</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0"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Lisle CUSD 202</v>
      </c>
      <c r="C1" s="2598"/>
      <c r="D1" s="2598"/>
      <c r="E1" s="2598"/>
      <c r="F1" s="2598"/>
      <c r="G1" s="2598"/>
      <c r="H1" s="2598"/>
      <c r="I1" s="2598"/>
      <c r="J1" s="1178"/>
    </row>
    <row r="2" spans="2:10" s="295" customFormat="1" ht="12.75" customHeight="1" x14ac:dyDescent="0.2">
      <c r="B2" s="2599">
        <f>'Single Audit Cover'!E7</f>
        <v>19022202026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t="s">
        <v>2154</v>
      </c>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t="s">
        <v>2154</v>
      </c>
      <c r="E29" s="2604"/>
      <c r="F29" s="2604"/>
      <c r="G29" s="2604"/>
      <c r="H29" s="2604"/>
      <c r="I29" s="260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5" t="s">
        <v>1725</v>
      </c>
      <c r="D37" s="2606"/>
      <c r="E37" s="2606"/>
      <c r="F37" s="2607"/>
      <c r="G37" s="2605" t="s">
        <v>1575</v>
      </c>
      <c r="H37" s="2606"/>
      <c r="I37" s="2607"/>
    </row>
    <row r="38" spans="2:9" ht="16.5" customHeight="1" x14ac:dyDescent="0.2">
      <c r="B38" s="1200" t="s">
        <v>2155</v>
      </c>
      <c r="C38" s="2593" t="s">
        <v>2122</v>
      </c>
      <c r="D38" s="2594"/>
      <c r="E38" s="2594"/>
      <c r="F38" s="2595"/>
      <c r="G38" s="2608">
        <f>' SEFA'!I29</f>
        <v>545755</v>
      </c>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611" t="s">
        <v>1576</v>
      </c>
      <c r="D43" s="2612"/>
      <c r="E43" s="2612"/>
      <c r="F43" s="2613"/>
      <c r="G43" s="2614">
        <f>SUM(G38:I42)</f>
        <v>545755</v>
      </c>
      <c r="H43" s="2614"/>
      <c r="I43" s="2614"/>
    </row>
    <row r="44" spans="2:9" ht="12.75" customHeight="1" x14ac:dyDescent="0.2"/>
    <row r="45" spans="2:9" ht="12.75" customHeight="1" x14ac:dyDescent="0.2">
      <c r="B45" s="1919" t="str">
        <f>"Total Federal Expenditures for 7/1/"&amp;MID('AFR20'!E2,3,2)-1&amp;"-6/30/"&amp;MID('AFR20'!E2,3,2)</f>
        <v>Total Federal Expenditures for 7/1/19-6/30/20</v>
      </c>
      <c r="C45" s="1920"/>
      <c r="D45" s="2615">
        <f>' SEFA'!I51</f>
        <v>938625</v>
      </c>
      <c r="E45" s="2616"/>
    </row>
    <row r="46" spans="2:9" ht="5.25" customHeight="1" x14ac:dyDescent="0.2">
      <c r="B46" s="1201"/>
      <c r="D46" s="1202"/>
      <c r="E46" s="1203"/>
    </row>
    <row r="47" spans="2:9" ht="12.75" customHeight="1" x14ac:dyDescent="0.2">
      <c r="B47" s="1076" t="s">
        <v>1577</v>
      </c>
      <c r="C47" s="1076"/>
      <c r="D47" s="1204">
        <f>+G43/D45</f>
        <v>0.58144093754161674</v>
      </c>
      <c r="E47" s="1205"/>
      <c r="F47" s="1206"/>
      <c r="I47" s="1207"/>
    </row>
    <row r="48" spans="2:9" ht="9.9499999999999993" customHeight="1" x14ac:dyDescent="0.2"/>
    <row r="49" spans="1:9" x14ac:dyDescent="0.2">
      <c r="B49" s="1138" t="s">
        <v>1262</v>
      </c>
      <c r="C49" s="1058"/>
      <c r="D49" s="1058"/>
      <c r="E49" s="2617">
        <v>750000</v>
      </c>
      <c r="F49" s="2617"/>
      <c r="G49" s="2617"/>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Lisle CUSD 202</v>
      </c>
      <c r="C1" s="2597"/>
      <c r="D1" s="2597"/>
      <c r="E1" s="2597"/>
      <c r="F1" s="2597"/>
      <c r="G1" s="2597"/>
      <c r="H1" s="2597"/>
      <c r="I1" s="2597"/>
      <c r="J1" s="2597"/>
      <c r="K1" s="2597"/>
      <c r="L1" s="1144"/>
      <c r="M1" s="1144"/>
    </row>
    <row r="2" spans="1:13" ht="12" customHeight="1" x14ac:dyDescent="0.2">
      <c r="B2" s="2599">
        <f>'Single Audit Cover'!E7</f>
        <v>19022202026</v>
      </c>
      <c r="C2" s="2599"/>
      <c r="D2" s="2599"/>
      <c r="E2" s="2599"/>
      <c r="F2" s="2599"/>
      <c r="G2" s="2599"/>
      <c r="H2" s="2599"/>
      <c r="I2" s="2599"/>
      <c r="J2" s="2599"/>
      <c r="K2" s="2599"/>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Lisle CUSD 202</v>
      </c>
      <c r="C1" s="2624"/>
      <c r="D1" s="2624"/>
      <c r="E1" s="2624"/>
      <c r="F1" s="2624"/>
      <c r="G1" s="2624"/>
      <c r="H1" s="2624"/>
      <c r="I1" s="2624"/>
      <c r="J1" s="2624"/>
      <c r="K1" s="2624"/>
      <c r="L1" s="1221"/>
    </row>
    <row r="2" spans="1:12" ht="12.75" customHeight="1" x14ac:dyDescent="0.2">
      <c r="B2" s="2625">
        <f>'Single Audit Cover'!E7</f>
        <v>19022202026</v>
      </c>
      <c r="C2" s="2625"/>
      <c r="D2" s="2625"/>
      <c r="E2" s="2625"/>
      <c r="F2" s="2625"/>
      <c r="G2" s="2625"/>
      <c r="H2" s="2625"/>
      <c r="I2" s="2625"/>
      <c r="J2" s="2625"/>
      <c r="K2" s="2625"/>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Lisle CUSD 202</v>
      </c>
      <c r="C1" s="2597"/>
      <c r="D1" s="2597"/>
      <c r="E1" s="1240"/>
    </row>
    <row r="2" spans="2:5" s="1058" customFormat="1" ht="12.75" customHeight="1" x14ac:dyDescent="0.2">
      <c r="B2" s="2599">
        <f>'Single Audit Cover'!E7</f>
        <v>19022202026</v>
      </c>
      <c r="C2" s="2599"/>
      <c r="D2" s="2599"/>
      <c r="E2" s="1241"/>
    </row>
    <row r="3" spans="2:5" ht="12.75" customHeight="1" x14ac:dyDescent="0.2">
      <c r="B3" s="2620" t="s">
        <v>1740</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631727771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3.0889E-2</v>
      </c>
      <c r="E10" s="333" t="s">
        <v>998</v>
      </c>
      <c r="F10" s="332">
        <v>6.2360000000000002E-3</v>
      </c>
      <c r="G10" s="333" t="s">
        <v>998</v>
      </c>
      <c r="H10" s="332">
        <v>1.5989999999999999E-3</v>
      </c>
      <c r="I10" s="333" t="s">
        <v>999</v>
      </c>
      <c r="J10" s="1424">
        <f>ROUND(D10+F10+H10,5)</f>
        <v>3.8719999999999997E-2</v>
      </c>
      <c r="K10" s="217"/>
      <c r="L10" s="332">
        <v>6.9999999999999999E-6</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33340634</v>
      </c>
      <c r="E16" s="1547"/>
      <c r="F16" s="1546">
        <f>SUM('Acct Summary 7-8'!C17,'Acct Summary 7-8'!D17,'Acct Summary 7-8'!F17)</f>
        <v>30033283</v>
      </c>
      <c r="G16" s="1547"/>
      <c r="H16" s="1546">
        <f>SUM(D16-F16)</f>
        <v>3307351</v>
      </c>
      <c r="I16" s="1548"/>
      <c r="J16" s="1546">
        <f>SUM('Acct Summary 7-8'!C81,'Acct Summary 7-8'!D81,'Acct Summary 7-8'!F81,'Acct Summary 7-8'!I81)</f>
        <v>14737603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87178432.398000002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12470000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Lisle CUSD 202</v>
      </c>
      <c r="E7" s="368"/>
      <c r="G7" s="247"/>
      <c r="H7" s="364"/>
      <c r="I7" s="364"/>
      <c r="J7" s="364"/>
      <c r="K7" s="364"/>
      <c r="L7" s="307"/>
      <c r="M7" s="307"/>
      <c r="N7" s="307"/>
      <c r="O7" s="307"/>
      <c r="P7" s="307"/>
    </row>
    <row r="8" spans="1:18" ht="12.75" x14ac:dyDescent="0.2">
      <c r="A8" s="307"/>
      <c r="B8" s="307"/>
      <c r="C8" s="366" t="s">
        <v>1115</v>
      </c>
      <c r="D8" s="369">
        <f>COVER!A13</f>
        <v>19022202026</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14737603</v>
      </c>
      <c r="I12" s="380"/>
      <c r="J12" s="380"/>
      <c r="K12" s="1559">
        <f>TRUNC((H12/H13*100000),5)/100000</f>
        <v>0.4462958776</v>
      </c>
      <c r="L12" s="381"/>
      <c r="M12" s="337" t="s">
        <v>1134</v>
      </c>
      <c r="N12" s="337"/>
      <c r="O12" s="1562">
        <v>0.35</v>
      </c>
      <c r="P12" s="213"/>
      <c r="Q12" s="213"/>
    </row>
    <row r="13" spans="1:18" s="382" customFormat="1" ht="12.75" x14ac:dyDescent="0.2">
      <c r="A13" s="213"/>
      <c r="B13" s="377"/>
      <c r="C13" s="2217" t="s">
        <v>1313</v>
      </c>
      <c r="D13" s="2218"/>
      <c r="E13" s="213"/>
      <c r="F13" s="383" t="s">
        <v>788</v>
      </c>
      <c r="G13" s="378"/>
      <c r="H13" s="1551">
        <f>SUM('Acct Summary 7-8'!C8+'Acct Summary 7-8'!D8+'Acct Summary 7-8'!F8+'Acct Summary 7-8'!I8)+H14</f>
        <v>33022046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-318588</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30033283</v>
      </c>
      <c r="I17" s="380"/>
      <c r="J17" s="389"/>
      <c r="K17" s="1559">
        <f>TRUNC((H17/H18*100000),5)/100000</f>
        <v>0.90949188910000001</v>
      </c>
      <c r="L17" s="381"/>
      <c r="M17" s="390" t="s">
        <v>1161</v>
      </c>
      <c r="O17" s="1565" t="str">
        <f>IF(AND(O16="2", J20 &gt; 2),"1",IF(AND(O16 = "1", J20 &gt; 2),"2",IF(AND(O16="1", J20 &gt;1),"1","0")))</f>
        <v>0</v>
      </c>
      <c r="P17" s="213"/>
    </row>
    <row r="18" spans="1:18" s="382" customFormat="1" ht="11.25" x14ac:dyDescent="0.2">
      <c r="A18" s="213"/>
      <c r="B18" s="377"/>
      <c r="C18" s="2217" t="s">
        <v>1306</v>
      </c>
      <c r="D18" s="2218"/>
      <c r="E18" s="213"/>
      <c r="F18" s="391" t="s">
        <v>789</v>
      </c>
      <c r="G18" s="378"/>
      <c r="H18" s="1551">
        <f>SUM('Acct Summary 7-8'!C8+'Acct Summary 7-8'!D8+'Acct Summary 7-8'!F8+'Acct Summary 7-8'!I8)+H19</f>
        <v>33022046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-318588</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4" t="s">
        <v>1395</v>
      </c>
      <c r="D24" s="2214"/>
      <c r="E24" s="213"/>
      <c r="F24" s="213" t="s">
        <v>442</v>
      </c>
      <c r="G24" s="378"/>
      <c r="H24" s="1551">
        <f>SUM('Assets-Liab 5-6'!C4+'Assets-Liab 5-6'!D4+'Assets-Liab 5-6'!F4+'Assets-Liab 5-6'!I4+'Assets-Liab 5-6'!C5+'Assets-Liab 5-6'!D5+'Assets-Liab 5-6'!F5+'Assets-Liab 5-6'!I5)</f>
        <v>31442841</v>
      </c>
      <c r="I24" s="394"/>
      <c r="J24" s="394"/>
      <c r="K24" s="1555">
        <f>TRUNC(((H24/H25*100000)/100000),2)</f>
        <v>376.89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83425.786110000001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20791424.399149999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12470000</v>
      </c>
      <c r="I32" s="392"/>
      <c r="J32" s="392"/>
      <c r="K32" s="1555">
        <f>TRUNC(100-((((H32/H33*100))*100)/100),2)</f>
        <v>85.69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87178432.398000002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3" activePane="bottomLeft" state="frozen"/>
      <selection pane="bottomLeft" activeCell="H13" sqref="H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6"/>
      <c r="D3" s="1307"/>
      <c r="E3" s="1307"/>
      <c r="F3" s="1307"/>
      <c r="G3" s="1307"/>
      <c r="H3" s="1307"/>
      <c r="I3" s="1307"/>
      <c r="J3" s="1307"/>
      <c r="K3" s="1307"/>
      <c r="L3" s="1307"/>
      <c r="M3" s="1308"/>
      <c r="N3" s="1309"/>
    </row>
    <row r="4" spans="1:14" ht="13.5" customHeight="1" x14ac:dyDescent="0.2">
      <c r="A4" s="427" t="s">
        <v>1632</v>
      </c>
      <c r="B4" s="428"/>
      <c r="C4" s="1572">
        <v>13581163</v>
      </c>
      <c r="D4" s="1573">
        <v>1388727</v>
      </c>
      <c r="E4" s="1573">
        <v>427058</v>
      </c>
      <c r="F4" s="1573">
        <v>1396016</v>
      </c>
      <c r="G4" s="1573">
        <v>499652</v>
      </c>
      <c r="H4" s="1573">
        <v>1400660</v>
      </c>
      <c r="I4" s="1573">
        <v>430966</v>
      </c>
      <c r="J4" s="1574">
        <v>2255</v>
      </c>
      <c r="K4" s="1573"/>
      <c r="L4" s="1573">
        <v>95806</v>
      </c>
      <c r="M4" s="1575"/>
      <c r="N4" s="1576"/>
    </row>
    <row r="5" spans="1:14" x14ac:dyDescent="0.2">
      <c r="A5" s="427" t="s">
        <v>985</v>
      </c>
      <c r="B5" s="429">
        <v>120</v>
      </c>
      <c r="C5" s="1572">
        <v>11840480</v>
      </c>
      <c r="D5" s="1573">
        <v>1211436</v>
      </c>
      <c r="E5" s="1573">
        <v>372671</v>
      </c>
      <c r="F5" s="1573">
        <v>1217971</v>
      </c>
      <c r="G5" s="1573">
        <f>213985+222035</f>
        <v>436020</v>
      </c>
      <c r="H5" s="1573">
        <v>1222285</v>
      </c>
      <c r="I5" s="1573">
        <v>376082</v>
      </c>
      <c r="J5" s="1574"/>
      <c r="K5" s="1577"/>
      <c r="L5" s="1578"/>
      <c r="M5" s="1575"/>
      <c r="N5" s="1576"/>
    </row>
    <row r="6" spans="1:14" ht="13.5" customHeight="1" x14ac:dyDescent="0.2">
      <c r="A6" s="430" t="s">
        <v>414</v>
      </c>
      <c r="B6" s="429">
        <v>130</v>
      </c>
      <c r="C6" s="1572">
        <v>11903891</v>
      </c>
      <c r="D6" s="1573">
        <v>1909217</v>
      </c>
      <c r="E6" s="1573">
        <v>592548</v>
      </c>
      <c r="F6" s="1573">
        <v>489455</v>
      </c>
      <c r="G6" s="1577">
        <f>244883+210518</f>
        <v>455401</v>
      </c>
      <c r="H6" s="1577"/>
      <c r="I6" s="1573">
        <v>2167</v>
      </c>
      <c r="J6" s="1579">
        <v>2167</v>
      </c>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304699</v>
      </c>
      <c r="D8" s="1574"/>
      <c r="E8" s="1574"/>
      <c r="F8" s="1574">
        <v>193184</v>
      </c>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v>50677</v>
      </c>
      <c r="I12" s="1573"/>
      <c r="J12" s="1574"/>
      <c r="K12" s="1573"/>
      <c r="L12" s="1573"/>
      <c r="M12" s="1576"/>
      <c r="N12" s="1576"/>
    </row>
    <row r="13" spans="1:14" ht="13.5" customHeight="1" thickBot="1" x14ac:dyDescent="0.25">
      <c r="A13" s="1426" t="s">
        <v>639</v>
      </c>
      <c r="B13" s="1407"/>
      <c r="C13" s="1587">
        <f>SUM(C4:C12)</f>
        <v>37630233</v>
      </c>
      <c r="D13" s="1587">
        <f t="shared" ref="D13:L13" si="0">SUM(D4:D12)</f>
        <v>4509380</v>
      </c>
      <c r="E13" s="1587">
        <f t="shared" si="0"/>
        <v>1392277</v>
      </c>
      <c r="F13" s="1587">
        <f t="shared" si="0"/>
        <v>3296626</v>
      </c>
      <c r="G13" s="1587">
        <f t="shared" si="0"/>
        <v>1391073</v>
      </c>
      <c r="H13" s="1587">
        <f t="shared" si="0"/>
        <v>2673622</v>
      </c>
      <c r="I13" s="1587">
        <f t="shared" si="0"/>
        <v>809215</v>
      </c>
      <c r="J13" s="1587">
        <f t="shared" si="0"/>
        <v>4422</v>
      </c>
      <c r="K13" s="1587">
        <f t="shared" si="0"/>
        <v>0</v>
      </c>
      <c r="L13" s="1587">
        <f t="shared" si="0"/>
        <v>95806</v>
      </c>
      <c r="M13" s="1575"/>
      <c r="N13" s="1576"/>
    </row>
    <row r="14" spans="1:14" ht="18" customHeight="1" thickTop="1" x14ac:dyDescent="0.2">
      <c r="A14" s="2226" t="s">
        <v>146</v>
      </c>
      <c r="B14" s="222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f>'Cap Outlay Deprec 26'!L5</f>
        <v>1272506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'Cap Outlay Deprec 26'!L8</f>
        <v>54419661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'Cap Outlay Deprec 26'!L10</f>
        <v>1368586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'Cap Outlay Deprec 26'!L12</f>
        <v>2145903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12470000</v>
      </c>
    </row>
    <row r="23" spans="1:14" ht="13.5" customHeight="1" thickBot="1" x14ac:dyDescent="0.25">
      <c r="A23" s="1426" t="s">
        <v>638</v>
      </c>
      <c r="B23" s="1429"/>
      <c r="C23" s="1575"/>
      <c r="D23" s="1575"/>
      <c r="E23" s="1575"/>
      <c r="F23" s="1575"/>
      <c r="G23" s="1575"/>
      <c r="H23" s="1575"/>
      <c r="I23" s="1575"/>
      <c r="J23" s="1575"/>
      <c r="K23" s="1575"/>
      <c r="L23" s="1575"/>
      <c r="M23" s="1594">
        <f>SUM(M15:M22)</f>
        <v>59206656</v>
      </c>
      <c r="N23" s="1594">
        <f>SUM(N21:N22)</f>
        <v>12470000</v>
      </c>
    </row>
    <row r="24" spans="1:14" ht="18" customHeight="1" thickTop="1" x14ac:dyDescent="0.2">
      <c r="A24" s="2228" t="s">
        <v>594</v>
      </c>
      <c r="B24" s="222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57634</f>
        <v>57634</v>
      </c>
      <c r="D27" s="1574">
        <f>30628</f>
        <v>30628</v>
      </c>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2117181</v>
      </c>
      <c r="D30" s="1579">
        <v>2187</v>
      </c>
      <c r="E30" s="1574"/>
      <c r="F30" s="1574">
        <v>6065</v>
      </c>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f>24328988+6020</f>
        <v>24335008</v>
      </c>
      <c r="D32" s="1599">
        <f>3895865+60100</f>
        <v>3955965</v>
      </c>
      <c r="E32" s="1579">
        <v>1209127</v>
      </c>
      <c r="F32" s="1579">
        <v>998761</v>
      </c>
      <c r="G32" s="1579">
        <v>929272</v>
      </c>
      <c r="H32" s="1579"/>
      <c r="I32" s="1579">
        <v>4422</v>
      </c>
      <c r="J32" s="1579">
        <v>4422</v>
      </c>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95806</v>
      </c>
      <c r="M33" s="1575"/>
      <c r="N33" s="1576"/>
    </row>
    <row r="34" spans="1:14" ht="13.5" customHeight="1" thickBot="1" x14ac:dyDescent="0.25">
      <c r="A34" s="1427" t="s">
        <v>649</v>
      </c>
      <c r="B34" s="1428"/>
      <c r="C34" s="1600">
        <f>SUM(C25:C33)</f>
        <v>26509823</v>
      </c>
      <c r="D34" s="1600">
        <f t="shared" ref="D34:K34" si="1">SUM(D25:D33)</f>
        <v>3988780</v>
      </c>
      <c r="E34" s="1600">
        <f t="shared" si="1"/>
        <v>1209127</v>
      </c>
      <c r="F34" s="1600">
        <f t="shared" si="1"/>
        <v>1004826</v>
      </c>
      <c r="G34" s="1600">
        <f t="shared" si="1"/>
        <v>929272</v>
      </c>
      <c r="H34" s="1600">
        <f t="shared" si="1"/>
        <v>0</v>
      </c>
      <c r="I34" s="1600">
        <f t="shared" si="1"/>
        <v>4422</v>
      </c>
      <c r="J34" s="1600">
        <f t="shared" si="1"/>
        <v>4422</v>
      </c>
      <c r="K34" s="1600">
        <f t="shared" si="1"/>
        <v>0</v>
      </c>
      <c r="L34" s="1601">
        <f>SUM(L33)</f>
        <v>95806</v>
      </c>
      <c r="M34" s="1575"/>
      <c r="N34" s="1585"/>
    </row>
    <row r="35" spans="1:14" ht="18" customHeight="1" thickTop="1" x14ac:dyDescent="0.2">
      <c r="A35" s="2230" t="s">
        <v>526</v>
      </c>
      <c r="B35" s="223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12470000</v>
      </c>
    </row>
    <row r="37" spans="1:14" ht="13.5" thickBot="1" x14ac:dyDescent="0.25">
      <c r="A37" s="1426" t="s">
        <v>648</v>
      </c>
      <c r="B37" s="1429"/>
      <c r="C37" s="1582"/>
      <c r="D37" s="1582"/>
      <c r="E37" s="1582"/>
      <c r="F37" s="1582"/>
      <c r="G37" s="1582"/>
      <c r="H37" s="1582"/>
      <c r="I37" s="1582"/>
      <c r="J37" s="1582"/>
      <c r="K37" s="1582"/>
      <c r="L37" s="1585"/>
      <c r="M37" s="1575"/>
      <c r="N37" s="1594">
        <f>SUM(N36:N36)</f>
        <v>12470000</v>
      </c>
    </row>
    <row r="38" spans="1:14" s="307" customFormat="1" ht="13.5" customHeight="1" thickTop="1" x14ac:dyDescent="0.2">
      <c r="A38" s="438" t="s">
        <v>417</v>
      </c>
      <c r="B38" s="432">
        <v>714</v>
      </c>
      <c r="C38" s="1573"/>
      <c r="D38" s="1573">
        <v>520600</v>
      </c>
      <c r="E38" s="1573">
        <v>183150</v>
      </c>
      <c r="F38" s="1573">
        <v>2291800</v>
      </c>
      <c r="G38" s="1573">
        <v>461801</v>
      </c>
      <c r="H38" s="1573">
        <v>2673622</v>
      </c>
      <c r="I38" s="1573">
        <v>804793</v>
      </c>
      <c r="J38" s="1574"/>
      <c r="K38" s="1573"/>
      <c r="L38" s="1586"/>
      <c r="M38" s="1604"/>
      <c r="N38" s="1604"/>
    </row>
    <row r="39" spans="1:14" s="307" customFormat="1" ht="13.5" customHeight="1" x14ac:dyDescent="0.2">
      <c r="A39" s="438" t="s">
        <v>339</v>
      </c>
      <c r="B39" s="432">
        <v>730</v>
      </c>
      <c r="C39" s="1573">
        <v>11120410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59206656</v>
      </c>
      <c r="N40" s="1604"/>
    </row>
    <row r="41" spans="1:14" ht="13.5" customHeight="1" thickBot="1" x14ac:dyDescent="0.25">
      <c r="A41" s="1426" t="s">
        <v>650</v>
      </c>
      <c r="B41" s="1405"/>
      <c r="C41" s="1594">
        <f>(SUM(C34,C37,C38,C39))</f>
        <v>37630233</v>
      </c>
      <c r="D41" s="1594">
        <f t="shared" ref="D41:L41" si="2">SUM(D34,D37,D38:D39)</f>
        <v>4509380</v>
      </c>
      <c r="E41" s="1594">
        <f t="shared" si="2"/>
        <v>1392277</v>
      </c>
      <c r="F41" s="1594">
        <f t="shared" si="2"/>
        <v>3296626</v>
      </c>
      <c r="G41" s="1594">
        <f t="shared" si="2"/>
        <v>1391073</v>
      </c>
      <c r="H41" s="1594">
        <f t="shared" si="2"/>
        <v>2673622</v>
      </c>
      <c r="I41" s="1594">
        <f t="shared" si="2"/>
        <v>809215</v>
      </c>
      <c r="J41" s="1594">
        <f t="shared" si="2"/>
        <v>4422</v>
      </c>
      <c r="K41" s="1594">
        <f t="shared" si="2"/>
        <v>0</v>
      </c>
      <c r="L41" s="1594">
        <f t="shared" si="2"/>
        <v>95806</v>
      </c>
      <c r="M41" s="1594">
        <f>SUM(M40)</f>
        <v>59206656</v>
      </c>
      <c r="N41" s="1594">
        <f>SUM(N37)</f>
        <v>12470000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H13" sqref="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11"/>
      <c r="D3" s="1312"/>
      <c r="E3" s="1312"/>
      <c r="F3" s="1312"/>
      <c r="G3" s="1312"/>
      <c r="H3" s="1312"/>
      <c r="I3" s="1312"/>
      <c r="J3" s="1312"/>
      <c r="K3" s="1313"/>
      <c r="L3" s="446"/>
    </row>
    <row r="4" spans="1:13" ht="15.75" customHeight="1" x14ac:dyDescent="0.2">
      <c r="A4" s="1537" t="s">
        <v>1482</v>
      </c>
      <c r="B4" s="1538">
        <v>1000</v>
      </c>
      <c r="C4" s="1606">
        <f>'Revenues 9-14'!C109</f>
        <v>24609803</v>
      </c>
      <c r="D4" s="1606">
        <f>'Revenues 9-14'!D109</f>
        <v>3262145</v>
      </c>
      <c r="E4" s="1606">
        <f>'Revenues 9-14'!E109</f>
        <v>767964</v>
      </c>
      <c r="F4" s="1606">
        <f>'Revenues 9-14'!F109</f>
        <v>1895498</v>
      </c>
      <c r="G4" s="1606">
        <f>'Revenues 9-14'!G109</f>
        <v>1203456</v>
      </c>
      <c r="H4" s="1606">
        <f>'Revenues 9-14'!H109</f>
        <v>71408</v>
      </c>
      <c r="I4" s="1606">
        <f>'Revenues 9-14'!I109</f>
        <v>24677</v>
      </c>
      <c r="J4" s="1606">
        <f>'Revenues 9-14'!J109</f>
        <v>4304</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1689957</v>
      </c>
      <c r="D6" s="1607">
        <f>'Revenues 9-14'!D170</f>
        <v>50000</v>
      </c>
      <c r="E6" s="1607">
        <f>'Revenues 9-14'!E170</f>
        <v>0</v>
      </c>
      <c r="F6" s="1607">
        <f>'Revenues 9-14'!F170</f>
        <v>805362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1003192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27302952</v>
      </c>
      <c r="D8" s="1594">
        <f t="shared" ref="D8:K8" si="0">SUM(D4:D7)</f>
        <v>3312145</v>
      </c>
      <c r="E8" s="1594">
        <f t="shared" si="0"/>
        <v>767964</v>
      </c>
      <c r="F8" s="1594">
        <f t="shared" si="0"/>
        <v>2700860</v>
      </c>
      <c r="G8" s="1594">
        <f t="shared" si="0"/>
        <v>1203456</v>
      </c>
      <c r="H8" s="1594">
        <f t="shared" si="0"/>
        <v>71408</v>
      </c>
      <c r="I8" s="1594">
        <f t="shared" si="0"/>
        <v>24677</v>
      </c>
      <c r="J8" s="1594">
        <f t="shared" si="0"/>
        <v>4304</v>
      </c>
      <c r="K8" s="1594">
        <f t="shared" si="0"/>
        <v>0</v>
      </c>
      <c r="L8" s="325"/>
    </row>
    <row r="9" spans="1:13" ht="15.75" thickTop="1" x14ac:dyDescent="0.2">
      <c r="A9" s="449" t="s">
        <v>1634</v>
      </c>
      <c r="B9" s="450">
        <v>3998</v>
      </c>
      <c r="C9" s="1586">
        <v>12276265</v>
      </c>
      <c r="D9" s="1613"/>
      <c r="E9" s="1586"/>
      <c r="F9" s="1586"/>
      <c r="G9" s="1614"/>
      <c r="H9" s="1586"/>
      <c r="I9" s="1609" t="s">
        <v>1159</v>
      </c>
      <c r="J9" s="1583"/>
      <c r="K9" s="1586"/>
      <c r="L9" s="325"/>
    </row>
    <row r="10" spans="1:13" s="452" customFormat="1" ht="13.5" thickBot="1" x14ac:dyDescent="0.25">
      <c r="A10" s="1426" t="s">
        <v>1163</v>
      </c>
      <c r="B10" s="1407"/>
      <c r="C10" s="1594">
        <f>SUM(C8:C9)</f>
        <v>39579217</v>
      </c>
      <c r="D10" s="1594">
        <f t="shared" ref="D10:K10" si="1">SUM(D8:D9)</f>
        <v>3312145</v>
      </c>
      <c r="E10" s="1594">
        <f t="shared" si="1"/>
        <v>767964</v>
      </c>
      <c r="F10" s="1594">
        <f t="shared" si="1"/>
        <v>2700860</v>
      </c>
      <c r="G10" s="1594">
        <f t="shared" si="1"/>
        <v>1203456</v>
      </c>
      <c r="H10" s="1594">
        <f t="shared" si="1"/>
        <v>71408</v>
      </c>
      <c r="I10" s="1594">
        <f t="shared" si="1"/>
        <v>24677</v>
      </c>
      <c r="J10" s="1594">
        <f t="shared" si="1"/>
        <v>4304</v>
      </c>
      <c r="K10" s="1594">
        <f t="shared" si="1"/>
        <v>0</v>
      </c>
      <c r="L10" s="451"/>
    </row>
    <row r="11" spans="1:13" s="452" customFormat="1" ht="16.7" customHeight="1" thickTop="1" x14ac:dyDescent="0.2">
      <c r="A11" s="2226" t="s">
        <v>1166</v>
      </c>
      <c r="B11" s="2227"/>
      <c r="C11" s="1602"/>
      <c r="D11" s="1603"/>
      <c r="E11" s="1603"/>
      <c r="F11" s="1603"/>
      <c r="G11" s="1603"/>
      <c r="H11" s="1603"/>
      <c r="I11" s="1603"/>
      <c r="J11" s="1603"/>
      <c r="K11" s="1615"/>
      <c r="L11" s="451"/>
    </row>
    <row r="12" spans="1:13" ht="15.75" customHeight="1" x14ac:dyDescent="0.2">
      <c r="A12" s="1314" t="s">
        <v>453</v>
      </c>
      <c r="B12" s="1316">
        <v>1000</v>
      </c>
      <c r="C12" s="1606">
        <f>'Expenditures 15-22'!K33</f>
        <v>16769718</v>
      </c>
      <c r="D12" s="1616" t="s">
        <v>1159</v>
      </c>
      <c r="E12" s="1575" t="s">
        <v>1159</v>
      </c>
      <c r="F12" s="1575" t="s">
        <v>1159</v>
      </c>
      <c r="G12" s="1606">
        <f>'Expenditures 15-22'!K229</f>
        <v>348205</v>
      </c>
      <c r="H12" s="1617"/>
      <c r="I12" s="1575" t="s">
        <v>1159</v>
      </c>
      <c r="J12" s="1575" t="s">
        <v>1159</v>
      </c>
      <c r="K12" s="1617" t="s">
        <v>1159</v>
      </c>
      <c r="L12" s="325"/>
    </row>
    <row r="13" spans="1:13" ht="15.75" customHeight="1" x14ac:dyDescent="0.2">
      <c r="A13" s="1314" t="s">
        <v>454</v>
      </c>
      <c r="B13" s="1316">
        <v>2000</v>
      </c>
      <c r="C13" s="1607">
        <f>'Expenditures 15-22'!K74</f>
        <v>7743889</v>
      </c>
      <c r="D13" s="1607">
        <f>'Expenditures 15-22'!K129</f>
        <v>2495666</v>
      </c>
      <c r="E13" s="1576" t="s">
        <v>1159</v>
      </c>
      <c r="F13" s="1607">
        <f>'Expenditures 15-22'!K184</f>
        <v>1503885</v>
      </c>
      <c r="G13" s="1607">
        <f>'Expenditures 15-22'!K279</f>
        <v>512842</v>
      </c>
      <c r="H13" s="1607">
        <f>'Expenditures 15-22'!K303</f>
        <v>6078031</v>
      </c>
      <c r="I13" s="1575" t="s">
        <v>1159</v>
      </c>
      <c r="J13" s="1607">
        <f>'Expenditures 15-22'!K330</f>
        <v>2180</v>
      </c>
      <c r="K13" s="1618">
        <f>'Expenditures 15-22'!K352</f>
        <v>0</v>
      </c>
      <c r="L13" s="325"/>
    </row>
    <row r="14" spans="1:13" ht="15.75" customHeight="1" x14ac:dyDescent="0.2">
      <c r="A14" s="1314" t="s">
        <v>446</v>
      </c>
      <c r="B14" s="1316">
        <v>3000</v>
      </c>
      <c r="C14" s="1607">
        <f>'Expenditures 15-22'!K75</f>
        <v>98076</v>
      </c>
      <c r="D14" s="1607">
        <f>'Expenditures 15-22'!K130</f>
        <v>0</v>
      </c>
      <c r="E14" s="1616" t="s">
        <v>1159</v>
      </c>
      <c r="F14" s="1607">
        <f>'Expenditures 15-22'!K185</f>
        <v>129655</v>
      </c>
      <c r="G14" s="1607">
        <f>'Expenditures 15-22'!K280</f>
        <v>5</v>
      </c>
      <c r="H14" s="1612"/>
      <c r="I14" s="1575" t="s">
        <v>1159</v>
      </c>
      <c r="J14" s="1575" t="s">
        <v>1159</v>
      </c>
      <c r="K14" s="1612" t="s">
        <v>1159</v>
      </c>
      <c r="L14" s="325"/>
    </row>
    <row r="15" spans="1:13" ht="15.75" customHeight="1" x14ac:dyDescent="0.2">
      <c r="A15" s="1314" t="s">
        <v>107</v>
      </c>
      <c r="B15" s="1316">
        <v>4000</v>
      </c>
      <c r="C15" s="1607">
        <f>'Expenditures 15-22'!K102</f>
        <v>1292394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2059602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25904077</v>
      </c>
      <c r="D17" s="1594">
        <f t="shared" si="2"/>
        <v>2495666</v>
      </c>
      <c r="E17" s="1594">
        <f t="shared" si="2"/>
        <v>2059602</v>
      </c>
      <c r="F17" s="1594">
        <f t="shared" si="2"/>
        <v>1633540</v>
      </c>
      <c r="G17" s="1594">
        <f t="shared" si="2"/>
        <v>861052</v>
      </c>
      <c r="H17" s="1594">
        <f t="shared" si="2"/>
        <v>6078031</v>
      </c>
      <c r="I17" s="1575"/>
      <c r="J17" s="1594">
        <f>SUM(J12:J16)</f>
        <v>2180</v>
      </c>
      <c r="K17" s="1594">
        <f>SUM(K12:K16)</f>
        <v>0</v>
      </c>
      <c r="L17" s="325"/>
    </row>
    <row r="18" spans="1:12" ht="15" customHeight="1" thickTop="1" x14ac:dyDescent="0.2">
      <c r="A18" s="1430" t="s">
        <v>1635</v>
      </c>
      <c r="B18" s="1431">
        <v>4180</v>
      </c>
      <c r="C18" s="1606">
        <f t="shared" ref="C18:H18" si="3">C9</f>
        <v>12276265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38180342</v>
      </c>
      <c r="D19" s="1594">
        <f t="shared" si="4"/>
        <v>2495666</v>
      </c>
      <c r="E19" s="1594">
        <f t="shared" si="4"/>
        <v>2059602</v>
      </c>
      <c r="F19" s="1594">
        <f t="shared" si="4"/>
        <v>1633540</v>
      </c>
      <c r="G19" s="1594">
        <f t="shared" si="4"/>
        <v>861052</v>
      </c>
      <c r="H19" s="1594">
        <f t="shared" si="4"/>
        <v>6078031</v>
      </c>
      <c r="I19" s="1575"/>
      <c r="J19" s="1594">
        <f>SUM(J17:J18)</f>
        <v>2180</v>
      </c>
      <c r="K19" s="1594">
        <f>SUM(K17:K18)</f>
        <v>0</v>
      </c>
      <c r="L19" s="325"/>
    </row>
    <row r="20" spans="1:12" ht="16.5" thickTop="1" thickBot="1" x14ac:dyDescent="0.25">
      <c r="A20" s="2242" t="s">
        <v>1636</v>
      </c>
      <c r="B20" s="2243"/>
      <c r="C20" s="1622">
        <f>C8-C17</f>
        <v>1398875</v>
      </c>
      <c r="D20" s="1622">
        <f t="shared" ref="D20:K20" si="5">D8-D17</f>
        <v>816479</v>
      </c>
      <c r="E20" s="1622">
        <f t="shared" si="5"/>
        <v>-1291638</v>
      </c>
      <c r="F20" s="1622">
        <f t="shared" si="5"/>
        <v>1067320</v>
      </c>
      <c r="G20" s="1622">
        <f t="shared" si="5"/>
        <v>342404</v>
      </c>
      <c r="H20" s="1622">
        <f t="shared" si="5"/>
        <v>-6006623</v>
      </c>
      <c r="I20" s="1622">
        <f t="shared" si="5"/>
        <v>24677</v>
      </c>
      <c r="J20" s="1622">
        <f t="shared" si="5"/>
        <v>2124</v>
      </c>
      <c r="K20" s="1622">
        <f t="shared" si="5"/>
        <v>0</v>
      </c>
      <c r="L20" s="325"/>
    </row>
    <row r="21" spans="1:12" ht="16.7" customHeight="1" thickTop="1" x14ac:dyDescent="0.2">
      <c r="A21" s="2254" t="s">
        <v>591</v>
      </c>
      <c r="B21" s="2255"/>
      <c r="C21" s="1602"/>
      <c r="D21" s="1603"/>
      <c r="E21" s="1603"/>
      <c r="F21" s="1603"/>
      <c r="G21" s="1603"/>
      <c r="H21" s="1603"/>
      <c r="I21" s="1603"/>
      <c r="J21" s="1603"/>
      <c r="K21" s="1615"/>
      <c r="L21" s="453"/>
    </row>
    <row r="22" spans="1:12" ht="15.75" customHeight="1" collapsed="1" x14ac:dyDescent="0.2">
      <c r="A22" s="2250" t="s">
        <v>592</v>
      </c>
      <c r="B22" s="2251"/>
      <c r="C22" s="1582"/>
      <c r="D22" s="1582"/>
      <c r="E22" s="1582"/>
      <c r="F22" s="1582"/>
      <c r="G22" s="1582"/>
      <c r="H22" s="1582"/>
      <c r="I22" s="1582"/>
      <c r="J22" s="1582"/>
      <c r="K22" s="1582"/>
      <c r="L22" s="325"/>
    </row>
    <row r="23" spans="1:12" s="433" customFormat="1" ht="15.75" customHeight="1" x14ac:dyDescent="0.2">
      <c r="A23" s="2246" t="s">
        <v>290</v>
      </c>
      <c r="B23" s="224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20375</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8" t="s">
        <v>974</v>
      </c>
      <c r="B32" s="224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17957</v>
      </c>
      <c r="F37" s="1580"/>
      <c r="G37" s="1580"/>
      <c r="H37" s="1580"/>
      <c r="I37" s="1582"/>
      <c r="J37" s="1580"/>
      <c r="K37" s="1580"/>
      <c r="L37" s="453"/>
    </row>
    <row r="38" spans="1:12" s="433" customFormat="1" x14ac:dyDescent="0.2">
      <c r="A38" s="1260" t="s">
        <v>439</v>
      </c>
      <c r="B38" s="454">
        <v>7500</v>
      </c>
      <c r="C38" s="1582"/>
      <c r="D38" s="1582"/>
      <c r="E38" s="1607">
        <f>SUM(C58:D61,H58:H61)</f>
        <v>631</v>
      </c>
      <c r="F38" s="1582"/>
      <c r="G38" s="1582"/>
      <c r="H38" s="1582"/>
      <c r="I38" s="1582"/>
      <c r="J38" s="1582"/>
      <c r="K38" s="1582"/>
      <c r="L38" s="453"/>
    </row>
    <row r="39" spans="1:12" s="433" customFormat="1" x14ac:dyDescent="0.2">
      <c r="A39" s="1260" t="s">
        <v>440</v>
      </c>
      <c r="B39" s="454">
        <v>7600</v>
      </c>
      <c r="C39" s="1582"/>
      <c r="D39" s="1582"/>
      <c r="E39" s="1607">
        <f>SUM(C62:D65)</f>
        <v>300000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2500000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6" t="s">
        <v>371</v>
      </c>
      <c r="B44" s="2257"/>
      <c r="C44" s="1624">
        <f>SUM(C24:C43)</f>
        <v>20375</v>
      </c>
      <c r="D44" s="1624">
        <f t="shared" ref="D44:K44" si="6">SUM(D24:D43)</f>
        <v>0</v>
      </c>
      <c r="E44" s="1624">
        <f t="shared" si="6"/>
        <v>318588</v>
      </c>
      <c r="F44" s="1624">
        <f t="shared" si="6"/>
        <v>0</v>
      </c>
      <c r="G44" s="1624">
        <f t="shared" si="6"/>
        <v>0</v>
      </c>
      <c r="H44" s="1624">
        <f t="shared" si="6"/>
        <v>2500000</v>
      </c>
      <c r="I44" s="1624">
        <f t="shared" si="6"/>
        <v>0</v>
      </c>
      <c r="J44" s="1624">
        <f t="shared" si="6"/>
        <v>0</v>
      </c>
      <c r="K44" s="1624">
        <f t="shared" si="6"/>
        <v>0</v>
      </c>
      <c r="L44" s="453"/>
    </row>
    <row r="45" spans="1:12" ht="15.75" customHeight="1" thickTop="1" x14ac:dyDescent="0.2">
      <c r="A45" s="2250" t="s">
        <v>108</v>
      </c>
      <c r="B45" s="2251"/>
      <c r="C45" s="1625"/>
      <c r="D45" s="1625"/>
      <c r="E45" s="1625"/>
      <c r="F45" s="1625"/>
      <c r="G45" s="1625"/>
      <c r="H45" s="1625"/>
      <c r="I45" s="1625"/>
      <c r="J45" s="1625"/>
      <c r="K45" s="1625"/>
      <c r="L45" s="325"/>
    </row>
    <row r="46" spans="1:12" s="433" customFormat="1" ht="15.75" customHeight="1" x14ac:dyDescent="0.2">
      <c r="A46" s="2258" t="s">
        <v>109</v>
      </c>
      <c r="B46" s="225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20375</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17957</v>
      </c>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v>631</v>
      </c>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v>300000</v>
      </c>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v>1500000</v>
      </c>
      <c r="D73" s="1627">
        <v>1000000</v>
      </c>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2" t="s">
        <v>437</v>
      </c>
      <c r="B76" s="2233"/>
      <c r="C76" s="1624">
        <f t="shared" ref="C76:K76" si="7">SUM(C47:C75)</f>
        <v>1818588</v>
      </c>
      <c r="D76" s="1624">
        <f t="shared" si="7"/>
        <v>1000000</v>
      </c>
      <c r="E76" s="1624">
        <f t="shared" si="7"/>
        <v>0</v>
      </c>
      <c r="F76" s="1624">
        <f t="shared" si="7"/>
        <v>0</v>
      </c>
      <c r="G76" s="1624">
        <f t="shared" si="7"/>
        <v>0</v>
      </c>
      <c r="H76" s="1624">
        <f t="shared" si="7"/>
        <v>0</v>
      </c>
      <c r="I76" s="1624">
        <f t="shared" si="7"/>
        <v>20375</v>
      </c>
      <c r="J76" s="1624">
        <f t="shared" si="7"/>
        <v>0</v>
      </c>
      <c r="K76" s="1624">
        <f t="shared" si="7"/>
        <v>0</v>
      </c>
      <c r="L76" s="453"/>
    </row>
    <row r="77" spans="1:12" ht="14.25" thickTop="1" thickBot="1" x14ac:dyDescent="0.25">
      <c r="A77" s="2234" t="s">
        <v>1167</v>
      </c>
      <c r="B77" s="2235"/>
      <c r="C77" s="1624">
        <f t="shared" ref="C77:K77" si="8">C44-C76</f>
        <v>-1798213</v>
      </c>
      <c r="D77" s="1624">
        <f t="shared" si="8"/>
        <v>-1000000</v>
      </c>
      <c r="E77" s="1624">
        <f t="shared" si="8"/>
        <v>318588</v>
      </c>
      <c r="F77" s="1624">
        <f t="shared" si="8"/>
        <v>0</v>
      </c>
      <c r="G77" s="1624">
        <f t="shared" si="8"/>
        <v>0</v>
      </c>
      <c r="H77" s="1624">
        <f t="shared" si="8"/>
        <v>2500000</v>
      </c>
      <c r="I77" s="1624">
        <f t="shared" si="8"/>
        <v>-20375</v>
      </c>
      <c r="J77" s="1624">
        <f t="shared" si="8"/>
        <v>0</v>
      </c>
      <c r="K77" s="1624">
        <f t="shared" si="8"/>
        <v>0</v>
      </c>
      <c r="L77" s="325"/>
    </row>
    <row r="78" spans="1:12" ht="21.75" customHeight="1" thickTop="1" thickBot="1" x14ac:dyDescent="0.25">
      <c r="A78" s="2238" t="s">
        <v>593</v>
      </c>
      <c r="B78" s="2239"/>
      <c r="C78" s="1629">
        <f t="shared" ref="C78:K78" si="9">C20+C77</f>
        <v>-399338</v>
      </c>
      <c r="D78" s="1629">
        <f t="shared" si="9"/>
        <v>-183521</v>
      </c>
      <c r="E78" s="1629">
        <f t="shared" si="9"/>
        <v>-973050</v>
      </c>
      <c r="F78" s="1629">
        <f t="shared" si="9"/>
        <v>1067320</v>
      </c>
      <c r="G78" s="1629">
        <f t="shared" si="9"/>
        <v>342404</v>
      </c>
      <c r="H78" s="1629">
        <f t="shared" si="9"/>
        <v>-3506623</v>
      </c>
      <c r="I78" s="1629">
        <f t="shared" si="9"/>
        <v>4302</v>
      </c>
      <c r="J78" s="1629">
        <f t="shared" si="9"/>
        <v>2124</v>
      </c>
      <c r="K78" s="1629">
        <f t="shared" si="9"/>
        <v>0</v>
      </c>
      <c r="L78" s="457"/>
    </row>
    <row r="79" spans="1:12" ht="13.5" thickTop="1" x14ac:dyDescent="0.2">
      <c r="A79" s="1844" t="str">
        <f>"Fund Balances - July 1, "&amp;'AFR20'!E2-1</f>
        <v>Fund Balances - July 1, 2019</v>
      </c>
      <c r="B79" s="458"/>
      <c r="C79" s="1583">
        <v>11519748</v>
      </c>
      <c r="D79" s="1630">
        <v>704121</v>
      </c>
      <c r="E79" s="1630">
        <v>1156200</v>
      </c>
      <c r="F79" s="1630">
        <v>1224480</v>
      </c>
      <c r="G79" s="1630">
        <v>119397</v>
      </c>
      <c r="H79" s="1630">
        <v>6180245</v>
      </c>
      <c r="I79" s="1630">
        <v>800491</v>
      </c>
      <c r="J79" s="1630">
        <v>-2124</v>
      </c>
      <c r="K79" s="1630"/>
      <c r="L79" s="325"/>
    </row>
    <row r="80" spans="1:12" x14ac:dyDescent="0.2">
      <c r="A80" s="2244" t="s">
        <v>1769</v>
      </c>
      <c r="B80" s="2245"/>
      <c r="C80" s="1574"/>
      <c r="D80" s="1574"/>
      <c r="E80" s="1574"/>
      <c r="F80" s="1574"/>
      <c r="G80" s="1574"/>
      <c r="H80" s="1574"/>
      <c r="I80" s="1574"/>
      <c r="J80" s="1574"/>
      <c r="K80" s="1574"/>
      <c r="L80" s="325"/>
    </row>
    <row r="81" spans="1:12" ht="13.5" thickBot="1" x14ac:dyDescent="0.25">
      <c r="A81" s="2236" t="str">
        <f>"Fund Balances - June 30, "&amp;'AFR20'!E2</f>
        <v>Fund Balances - June 30, 2020</v>
      </c>
      <c r="B81" s="2237"/>
      <c r="C81" s="1594">
        <f>(SUM(C78:C80))</f>
        <v>11120410</v>
      </c>
      <c r="D81" s="1594">
        <f>SUM(D78:D80)</f>
        <v>520600</v>
      </c>
      <c r="E81" s="1594">
        <f t="shared" ref="E81:K81" si="10">SUM(E78:E80)</f>
        <v>183150</v>
      </c>
      <c r="F81" s="1594">
        <f t="shared" si="10"/>
        <v>2291800</v>
      </c>
      <c r="G81" s="1594">
        <f t="shared" si="10"/>
        <v>461801</v>
      </c>
      <c r="H81" s="1594">
        <f t="shared" si="10"/>
        <v>2673622</v>
      </c>
      <c r="I81" s="1594">
        <f t="shared" si="10"/>
        <v>804793</v>
      </c>
      <c r="J81" s="1594">
        <f t="shared" si="10"/>
        <v>0</v>
      </c>
      <c r="K81" s="1594">
        <f t="shared" si="10"/>
        <v>0</v>
      </c>
      <c r="L81" s="325"/>
    </row>
    <row r="82" spans="1:12" ht="0.75" customHeight="1" thickTop="1" thickBot="1" x14ac:dyDescent="0.25">
      <c r="A82" s="459" t="s">
        <v>340</v>
      </c>
      <c r="B82" s="460"/>
      <c r="C82" s="461">
        <f>(C81-C79)</f>
        <v>-399338</v>
      </c>
      <c r="D82" s="461">
        <f t="shared" ref="D82:K82" si="11">(D81-D79)</f>
        <v>-183521</v>
      </c>
      <c r="E82" s="461">
        <f t="shared" si="11"/>
        <v>-973050</v>
      </c>
      <c r="F82" s="461">
        <f t="shared" si="11"/>
        <v>1067320</v>
      </c>
      <c r="G82" s="461">
        <f t="shared" si="11"/>
        <v>342404</v>
      </c>
      <c r="H82" s="461">
        <f t="shared" si="11"/>
        <v>-3506623</v>
      </c>
      <c r="I82" s="461">
        <f t="shared" si="11"/>
        <v>4302</v>
      </c>
      <c r="J82" s="461">
        <f t="shared" si="11"/>
        <v>2124</v>
      </c>
      <c r="K82" s="461">
        <f t="shared" si="11"/>
        <v>0</v>
      </c>
    </row>
    <row r="83" spans="1:12" ht="14.25" hidden="1" thickTop="1" thickBot="1" x14ac:dyDescent="0.25">
      <c r="A83" s="462" t="s">
        <v>341</v>
      </c>
      <c r="B83" s="428"/>
      <c r="C83" s="463">
        <f>C82/C81</f>
        <v>-3.5910366614180594E-2</v>
      </c>
      <c r="D83" s="463">
        <f t="shared" ref="D83:K83" si="12">D82/D81</f>
        <v>-0.35251824817518246</v>
      </c>
      <c r="E83" s="463">
        <f t="shared" si="12"/>
        <v>-5.3128583128583129</v>
      </c>
      <c r="F83" s="463">
        <f t="shared" si="12"/>
        <v>0.46571254036128806</v>
      </c>
      <c r="G83" s="463">
        <f t="shared" si="12"/>
        <v>0.74145356982769639</v>
      </c>
      <c r="H83" s="463">
        <f t="shared" si="12"/>
        <v>-1.3115627414795361</v>
      </c>
      <c r="I83" s="463">
        <f t="shared" si="12"/>
        <v>5.345473929320956E-3</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3"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1776</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18274083</v>
      </c>
      <c r="D5" s="1586">
        <v>3094542</v>
      </c>
      <c r="E5" s="1573">
        <v>738757</v>
      </c>
      <c r="F5" s="1631">
        <v>1796494</v>
      </c>
      <c r="G5" s="1573">
        <v>359545</v>
      </c>
      <c r="H5" s="1573"/>
      <c r="I5" s="1573">
        <v>4302</v>
      </c>
      <c r="J5" s="1574">
        <v>4302</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4867680</v>
      </c>
      <c r="D7" s="1573"/>
      <c r="E7" s="1575"/>
      <c r="F7" s="1574"/>
      <c r="G7" s="1574"/>
      <c r="H7" s="1574"/>
      <c r="I7" s="1575"/>
      <c r="J7" s="1575"/>
      <c r="K7" s="1575"/>
    </row>
    <row r="8" spans="1:12" x14ac:dyDescent="0.2">
      <c r="A8" s="427" t="s">
        <v>410</v>
      </c>
      <c r="B8" s="429">
        <v>1150</v>
      </c>
      <c r="C8" s="1580"/>
      <c r="D8" s="1580"/>
      <c r="E8" s="1582"/>
      <c r="F8" s="1582"/>
      <c r="G8" s="1586">
        <v>798988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23141763</v>
      </c>
      <c r="D12" s="1633">
        <f t="shared" si="0"/>
        <v>3094542</v>
      </c>
      <c r="E12" s="1633">
        <f t="shared" si="0"/>
        <v>738757</v>
      </c>
      <c r="F12" s="1633">
        <f t="shared" si="0"/>
        <v>1796494</v>
      </c>
      <c r="G12" s="1633">
        <f t="shared" si="0"/>
        <v>1158533</v>
      </c>
      <c r="H12" s="1633">
        <f t="shared" si="0"/>
        <v>0</v>
      </c>
      <c r="I12" s="1633">
        <f t="shared" si="0"/>
        <v>4302</v>
      </c>
      <c r="J12" s="1633">
        <f t="shared" si="0"/>
        <v>4302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350817</v>
      </c>
      <c r="D16" s="1573"/>
      <c r="E16" s="1573"/>
      <c r="F16" s="1573"/>
      <c r="G16" s="1573">
        <v>25156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350817</v>
      </c>
      <c r="D18" s="1635">
        <f t="shared" ref="D18:K18" si="1">SUM(D14:D17)</f>
        <v>0</v>
      </c>
      <c r="E18" s="1635">
        <f t="shared" si="1"/>
        <v>0</v>
      </c>
      <c r="F18" s="1635">
        <f t="shared" si="1"/>
        <v>0</v>
      </c>
      <c r="G18" s="1635">
        <f t="shared" si="1"/>
        <v>25156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33494</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6659</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40153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584411</v>
      </c>
      <c r="D65" s="1573">
        <v>43554</v>
      </c>
      <c r="E65" s="1573">
        <v>29207</v>
      </c>
      <c r="F65" s="1574">
        <v>58851</v>
      </c>
      <c r="G65" s="1573">
        <v>19767</v>
      </c>
      <c r="H65" s="1573">
        <v>71408</v>
      </c>
      <c r="I65" s="1573">
        <v>20375</v>
      </c>
      <c r="J65" s="1574">
        <v>2</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584411</v>
      </c>
      <c r="D67" s="1594">
        <f t="shared" ref="D67:K67" si="2">SUM(D65:D66)</f>
        <v>43554</v>
      </c>
      <c r="E67" s="1594">
        <f t="shared" si="2"/>
        <v>29207</v>
      </c>
      <c r="F67" s="1594">
        <f t="shared" si="2"/>
        <v>58851</v>
      </c>
      <c r="G67" s="1594">
        <f t="shared" si="2"/>
        <v>19767</v>
      </c>
      <c r="H67" s="1594">
        <f t="shared" si="2"/>
        <v>71408</v>
      </c>
      <c r="I67" s="1594">
        <f t="shared" si="2"/>
        <v>20375</v>
      </c>
      <c r="J67" s="1594">
        <f t="shared" si="2"/>
        <v>2</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111334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89823</v>
      </c>
      <c r="D71" s="1575"/>
      <c r="E71" s="1575"/>
      <c r="F71" s="1575"/>
      <c r="G71" s="1575"/>
      <c r="H71" s="1575"/>
      <c r="I71" s="1575"/>
      <c r="J71" s="1575"/>
      <c r="K71" s="1575"/>
    </row>
    <row r="72" spans="1:11" ht="12.75" customHeight="1" x14ac:dyDescent="0.2">
      <c r="A72" s="427" t="s">
        <v>24</v>
      </c>
      <c r="B72" s="429">
        <v>1614</v>
      </c>
      <c r="C72" s="1632">
        <v>1987</v>
      </c>
      <c r="D72" s="1575"/>
      <c r="E72" s="1575"/>
      <c r="F72" s="1575"/>
      <c r="G72" s="1575"/>
      <c r="H72" s="1575"/>
      <c r="I72" s="1575"/>
      <c r="J72" s="1575"/>
      <c r="K72" s="1575"/>
    </row>
    <row r="73" spans="1:11" ht="12.75" customHeight="1" x14ac:dyDescent="0.2">
      <c r="A73" s="427" t="s">
        <v>991</v>
      </c>
      <c r="B73" s="429">
        <v>1620</v>
      </c>
      <c r="C73" s="1632">
        <v>1373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204517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15595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63014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78609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182978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50</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183028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113470</v>
      </c>
      <c r="E95" s="1617"/>
      <c r="F95" s="1617"/>
      <c r="G95" s="1617"/>
      <c r="H95" s="1617"/>
      <c r="I95" s="1617"/>
      <c r="J95" s="1617"/>
      <c r="K95" s="1617"/>
    </row>
    <row r="96" spans="1:11" ht="12.75" customHeight="1" x14ac:dyDescent="0.2">
      <c r="A96" s="427" t="s">
        <v>388</v>
      </c>
      <c r="B96" s="429">
        <v>1920</v>
      </c>
      <c r="C96" s="1632">
        <v>15466</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23592</v>
      </c>
      <c r="D99" s="1573">
        <v>10579</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14994</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12515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91</v>
      </c>
      <c r="D107" s="1573"/>
      <c r="E107" s="1573"/>
      <c r="F107" s="1573"/>
      <c r="G107" s="1573"/>
      <c r="H107" s="1573"/>
      <c r="I107" s="1573"/>
      <c r="J107" s="1574"/>
      <c r="K107" s="1573"/>
    </row>
    <row r="108" spans="1:12" ht="12.75" customHeight="1" thickBot="1" x14ac:dyDescent="0.25">
      <c r="A108" s="1406" t="s">
        <v>484</v>
      </c>
      <c r="B108" s="1408"/>
      <c r="C108" s="1633">
        <f>SUM(C95:C107)</f>
        <v>66658</v>
      </c>
      <c r="D108" s="1633">
        <f t="shared" ref="D108:K108" si="3">SUM(D95:D107)</f>
        <v>124049</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24609803</v>
      </c>
      <c r="D109" s="1641">
        <f t="shared" si="4"/>
        <v>3262145</v>
      </c>
      <c r="E109" s="1641">
        <f t="shared" si="4"/>
        <v>767964</v>
      </c>
      <c r="F109" s="1641">
        <f t="shared" si="4"/>
        <v>1895498</v>
      </c>
      <c r="G109" s="1641">
        <f t="shared" si="4"/>
        <v>1203456</v>
      </c>
      <c r="H109" s="1641">
        <f t="shared" si="4"/>
        <v>71408</v>
      </c>
      <c r="I109" s="1641">
        <f t="shared" si="4"/>
        <v>24677</v>
      </c>
      <c r="J109" s="1641">
        <f t="shared" si="4"/>
        <v>4304</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1254018</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1254018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235525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166955</v>
      </c>
      <c r="D128" s="1640"/>
      <c r="E128" s="1575"/>
      <c r="F128" s="1573">
        <v>29705</v>
      </c>
      <c r="G128" s="1575"/>
      <c r="H128" s="1575"/>
      <c r="I128" s="1575"/>
      <c r="J128" s="1575"/>
      <c r="K128" s="1575"/>
    </row>
    <row r="129" spans="1:11" ht="12.75" customHeight="1" x14ac:dyDescent="0.2">
      <c r="A129" s="427" t="s">
        <v>1430</v>
      </c>
      <c r="B129" s="478">
        <v>3130</v>
      </c>
      <c r="C129" s="1573">
        <v>4405</v>
      </c>
      <c r="D129" s="1640"/>
      <c r="E129" s="1575"/>
      <c r="F129" s="1573">
        <v>952</v>
      </c>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406885</v>
      </c>
      <c r="D132" s="1633">
        <f>SUM(D125:D131)</f>
        <v>0</v>
      </c>
      <c r="E132" s="1576" t="s">
        <v>1159</v>
      </c>
      <c r="F132" s="1633">
        <f>SUM(F125:F131)</f>
        <v>30657</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6298</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6298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1435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20274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348574</v>
      </c>
      <c r="G152" s="1574"/>
      <c r="H152" s="1575"/>
      <c r="I152" s="1575"/>
      <c r="J152" s="1575"/>
      <c r="K152" s="1575"/>
    </row>
    <row r="153" spans="1:11" ht="12.75" customHeight="1" x14ac:dyDescent="0.2">
      <c r="A153" s="427" t="s">
        <v>1048</v>
      </c>
      <c r="B153" s="478">
        <v>3510</v>
      </c>
      <c r="C153" s="1632"/>
      <c r="D153" s="1573"/>
      <c r="E153" s="1640"/>
      <c r="F153" s="1573">
        <v>426131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774705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1047</v>
      </c>
      <c r="D168" s="1655"/>
      <c r="E168" s="1655"/>
      <c r="F168" s="1655"/>
      <c r="G168" s="1656"/>
      <c r="H168" s="1657"/>
      <c r="I168" s="1656"/>
      <c r="J168" s="1656"/>
      <c r="K168" s="1657"/>
    </row>
    <row r="169" spans="1:11" ht="12.75" customHeight="1" thickTop="1" thickBot="1" x14ac:dyDescent="0.25">
      <c r="A169" s="2260" t="s">
        <v>395</v>
      </c>
      <c r="B169" s="2261"/>
      <c r="C169" s="1658">
        <f t="shared" ref="C169:K169" si="6">SUM(C132,C141,C145,C146:C150,C155,C156:C167,C168)</f>
        <v>435939</v>
      </c>
      <c r="D169" s="1658">
        <f t="shared" si="6"/>
        <v>50000</v>
      </c>
      <c r="E169" s="1658">
        <f t="shared" si="6"/>
        <v>0</v>
      </c>
      <c r="F169" s="1658">
        <f t="shared" si="6"/>
        <v>805362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1689957</v>
      </c>
      <c r="D170" s="1641">
        <f t="shared" si="7"/>
        <v>50000</v>
      </c>
      <c r="E170" s="1641">
        <f t="shared" si="7"/>
        <v>0</v>
      </c>
      <c r="F170" s="1641">
        <f t="shared" si="7"/>
        <v>805362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2" t="s">
        <v>1475</v>
      </c>
      <c r="B172" s="226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6" t="s">
        <v>1646</v>
      </c>
      <c r="B175" s="22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0" t="s">
        <v>1645</v>
      </c>
      <c r="B176" s="227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8" t="s">
        <v>780</v>
      </c>
      <c r="B181" s="226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4" t="s">
        <v>1777</v>
      </c>
      <c r="B182" s="226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121382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20891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142273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143743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143743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3939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3939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12792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529434</v>
      </c>
      <c r="D213" s="1573"/>
      <c r="E213" s="1575"/>
      <c r="F213" s="1573"/>
      <c r="G213" s="1573"/>
      <c r="H213" s="1575"/>
      <c r="I213" s="1575"/>
      <c r="J213" s="1575"/>
      <c r="K213" s="1575"/>
    </row>
    <row r="214" spans="1:11" ht="12.75" customHeight="1" x14ac:dyDescent="0.2">
      <c r="A214" s="427" t="s">
        <v>1045</v>
      </c>
      <c r="B214" s="429">
        <v>4625</v>
      </c>
      <c r="C214" s="1632">
        <v>3529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545755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5780</v>
      </c>
      <c r="D220" s="1573"/>
      <c r="E220" s="1575"/>
      <c r="F220" s="1575"/>
      <c r="G220" s="1573"/>
      <c r="H220" s="1575"/>
      <c r="I220" s="1575"/>
      <c r="J220" s="1575"/>
      <c r="K220" s="1575"/>
    </row>
    <row r="221" spans="1:11" ht="12.75" customHeight="1" thickBot="1" x14ac:dyDescent="0.25">
      <c r="A221" s="1415" t="s">
        <v>1076</v>
      </c>
      <c r="B221" s="1416"/>
      <c r="C221" s="1633">
        <f>SUM(C219:C220)</f>
        <v>5780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v>4701</v>
      </c>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34298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31314</v>
      </c>
      <c r="D263" s="1651"/>
      <c r="E263" s="1575"/>
      <c r="F263" s="1651"/>
      <c r="G263" s="1651"/>
      <c r="H263" s="1575"/>
      <c r="I263" s="1575"/>
      <c r="J263" s="1575"/>
      <c r="K263" s="1575"/>
    </row>
    <row r="264" spans="1:11" ht="12.75" customHeight="1" thickTop="1" thickBot="1" x14ac:dyDescent="0.25">
      <c r="A264" s="427" t="s">
        <v>374</v>
      </c>
      <c r="B264" s="429">
        <v>4992</v>
      </c>
      <c r="C264" s="1650">
        <v>88175</v>
      </c>
      <c r="D264" s="1651"/>
      <c r="E264" s="1575"/>
      <c r="F264" s="1651"/>
      <c r="G264" s="1651"/>
      <c r="H264" s="1575"/>
      <c r="I264" s="1575"/>
      <c r="J264" s="1575"/>
      <c r="K264" s="1575"/>
    </row>
    <row r="265" spans="1:11" s="489" customFormat="1" ht="12.75" customHeight="1" thickTop="1" thickBot="1" x14ac:dyDescent="0.25">
      <c r="A265" s="479" t="s">
        <v>75</v>
      </c>
      <c r="B265" s="475">
        <v>4998</v>
      </c>
      <c r="C265" s="1650">
        <v>3214</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1003192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1003192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27302952</v>
      </c>
      <c r="D268" s="1641">
        <f t="shared" si="12"/>
        <v>3312145</v>
      </c>
      <c r="E268" s="1641">
        <f t="shared" si="12"/>
        <v>767964</v>
      </c>
      <c r="F268" s="1641">
        <f t="shared" si="12"/>
        <v>2700860</v>
      </c>
      <c r="G268" s="1641">
        <f t="shared" si="12"/>
        <v>1203456</v>
      </c>
      <c r="H268" s="1641">
        <f t="shared" si="12"/>
        <v>71408</v>
      </c>
      <c r="I268" s="1641">
        <f t="shared" si="12"/>
        <v>24677</v>
      </c>
      <c r="J268" s="1641">
        <f t="shared" si="12"/>
        <v>4304</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4" activePane="bottomLeft" state="frozen"/>
      <selection pane="bottomLeft" activeCell="K63" sqref="K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0" t="s">
        <v>294</v>
      </c>
      <c r="B3" s="228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8058466</v>
      </c>
      <c r="D5" s="1573">
        <v>2343453</v>
      </c>
      <c r="E5" s="1573">
        <v>134050</v>
      </c>
      <c r="F5" s="1573">
        <v>254594</v>
      </c>
      <c r="G5" s="1573"/>
      <c r="H5" s="1573">
        <v>12368</v>
      </c>
      <c r="I5" s="1574">
        <v>13043</v>
      </c>
      <c r="J5" s="1574"/>
      <c r="K5" s="1672">
        <f>SUM(C5:J5)</f>
        <v>10815974</v>
      </c>
      <c r="L5" s="1573">
        <v>11203580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160977</v>
      </c>
      <c r="D7" s="1574">
        <v>49803</v>
      </c>
      <c r="E7" s="1574">
        <v>1557</v>
      </c>
      <c r="F7" s="1574">
        <v>617</v>
      </c>
      <c r="G7" s="1574"/>
      <c r="H7" s="1574"/>
      <c r="I7" s="1574"/>
      <c r="J7" s="1574"/>
      <c r="K7" s="1672">
        <f t="shared" ref="K7:K32" si="0">SUM(C7:J7)</f>
        <v>212954</v>
      </c>
      <c r="L7" s="1573">
        <v>218500</v>
      </c>
    </row>
    <row r="8" spans="1:14" x14ac:dyDescent="0.2">
      <c r="A8" s="1274" t="s">
        <v>163</v>
      </c>
      <c r="B8" s="503">
        <v>1200</v>
      </c>
      <c r="C8" s="1573">
        <v>1890596</v>
      </c>
      <c r="D8" s="1573">
        <v>720512</v>
      </c>
      <c r="E8" s="1573">
        <v>33102</v>
      </c>
      <c r="F8" s="1573">
        <v>12742</v>
      </c>
      <c r="G8" s="1573"/>
      <c r="H8" s="1573"/>
      <c r="I8" s="1574"/>
      <c r="J8" s="1574"/>
      <c r="K8" s="1672">
        <f t="shared" si="0"/>
        <v>2656952</v>
      </c>
      <c r="L8" s="1573">
        <v>2640600</v>
      </c>
    </row>
    <row r="9" spans="1:14" x14ac:dyDescent="0.2">
      <c r="A9" s="1274" t="s">
        <v>716</v>
      </c>
      <c r="B9" s="503" t="s">
        <v>962</v>
      </c>
      <c r="C9" s="1574">
        <v>64201</v>
      </c>
      <c r="D9" s="1574">
        <v>26631</v>
      </c>
      <c r="E9" s="1574"/>
      <c r="F9" s="1574"/>
      <c r="G9" s="1574"/>
      <c r="H9" s="1574"/>
      <c r="I9" s="1574"/>
      <c r="J9" s="1574"/>
      <c r="K9" s="1672">
        <f t="shared" si="0"/>
        <v>90832</v>
      </c>
      <c r="L9" s="1573">
        <v>91677</v>
      </c>
    </row>
    <row r="10" spans="1:14" x14ac:dyDescent="0.2">
      <c r="A10" s="1274" t="s">
        <v>717</v>
      </c>
      <c r="B10" s="503">
        <v>1250</v>
      </c>
      <c r="C10" s="1573">
        <v>322185</v>
      </c>
      <c r="D10" s="1573">
        <v>116096</v>
      </c>
      <c r="E10" s="1573"/>
      <c r="F10" s="1573">
        <v>24353</v>
      </c>
      <c r="G10" s="1573"/>
      <c r="H10" s="1573"/>
      <c r="I10" s="1574"/>
      <c r="J10" s="1574"/>
      <c r="K10" s="1672">
        <f t="shared" si="0"/>
        <v>462634</v>
      </c>
      <c r="L10" s="1573">
        <v>496071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246990</v>
      </c>
      <c r="D13" s="1573">
        <v>72804</v>
      </c>
      <c r="E13" s="1573">
        <v>12030</v>
      </c>
      <c r="F13" s="1573">
        <v>15441</v>
      </c>
      <c r="G13" s="1573"/>
      <c r="H13" s="1573"/>
      <c r="I13" s="1574">
        <v>568</v>
      </c>
      <c r="J13" s="1574"/>
      <c r="K13" s="1672">
        <f t="shared" si="0"/>
        <v>347833</v>
      </c>
      <c r="L13" s="1573">
        <v>365983</v>
      </c>
    </row>
    <row r="14" spans="1:14" x14ac:dyDescent="0.2">
      <c r="A14" s="1274" t="s">
        <v>957</v>
      </c>
      <c r="B14" s="503">
        <v>1500</v>
      </c>
      <c r="C14" s="1573">
        <v>521239</v>
      </c>
      <c r="D14" s="1573">
        <v>54580</v>
      </c>
      <c r="E14" s="1573">
        <v>100574</v>
      </c>
      <c r="F14" s="1573">
        <v>57628</v>
      </c>
      <c r="G14" s="1573"/>
      <c r="H14" s="1573">
        <v>21718</v>
      </c>
      <c r="I14" s="1574">
        <v>6720</v>
      </c>
      <c r="J14" s="1574"/>
      <c r="K14" s="1672">
        <f t="shared" si="0"/>
        <v>762459</v>
      </c>
      <c r="L14" s="1573">
        <v>828260</v>
      </c>
    </row>
    <row r="15" spans="1:14" x14ac:dyDescent="0.2">
      <c r="A15" s="1274" t="s">
        <v>958</v>
      </c>
      <c r="B15" s="503">
        <v>1600</v>
      </c>
      <c r="C15" s="1573">
        <v>14940</v>
      </c>
      <c r="D15" s="1573">
        <v>2633</v>
      </c>
      <c r="E15" s="1573">
        <v>2289</v>
      </c>
      <c r="F15" s="1573"/>
      <c r="G15" s="1573"/>
      <c r="H15" s="1573"/>
      <c r="I15" s="1574"/>
      <c r="J15" s="1574"/>
      <c r="K15" s="1672">
        <f t="shared" si="0"/>
        <v>19862</v>
      </c>
      <c r="L15" s="1573">
        <v>29830</v>
      </c>
    </row>
    <row r="16" spans="1:14" x14ac:dyDescent="0.2">
      <c r="A16" s="1274" t="s">
        <v>980</v>
      </c>
      <c r="B16" s="503" t="s">
        <v>421</v>
      </c>
      <c r="C16" s="1573">
        <v>48344</v>
      </c>
      <c r="D16" s="1573">
        <v>5799</v>
      </c>
      <c r="E16" s="1573"/>
      <c r="F16" s="1573">
        <v>1273</v>
      </c>
      <c r="G16" s="1573"/>
      <c r="H16" s="1573"/>
      <c r="I16" s="1574"/>
      <c r="J16" s="1574"/>
      <c r="K16" s="1672">
        <f t="shared" si="0"/>
        <v>55416</v>
      </c>
      <c r="L16" s="1573">
        <v>55320</v>
      </c>
    </row>
    <row r="17" spans="1:12" x14ac:dyDescent="0.2">
      <c r="A17" s="1274" t="s">
        <v>719</v>
      </c>
      <c r="B17" s="503" t="s">
        <v>161</v>
      </c>
      <c r="C17" s="1574">
        <v>79381</v>
      </c>
      <c r="D17" s="1574">
        <v>24453</v>
      </c>
      <c r="E17" s="1574">
        <v>890</v>
      </c>
      <c r="F17" s="1574">
        <v>2152</v>
      </c>
      <c r="G17" s="1574"/>
      <c r="H17" s="1574"/>
      <c r="I17" s="1574"/>
      <c r="J17" s="1574"/>
      <c r="K17" s="1672">
        <f t="shared" si="0"/>
        <v>106876</v>
      </c>
      <c r="L17" s="1573">
        <v>116960</v>
      </c>
    </row>
    <row r="18" spans="1:12" x14ac:dyDescent="0.2">
      <c r="A18" s="1274" t="s">
        <v>1078</v>
      </c>
      <c r="B18" s="503">
        <v>1800</v>
      </c>
      <c r="C18" s="1573">
        <v>241149</v>
      </c>
      <c r="D18" s="1573">
        <v>78240</v>
      </c>
      <c r="E18" s="1573">
        <v>5157</v>
      </c>
      <c r="F18" s="1573">
        <v>1003</v>
      </c>
      <c r="G18" s="1573"/>
      <c r="H18" s="1573"/>
      <c r="I18" s="1574"/>
      <c r="J18" s="1574"/>
      <c r="K18" s="1672">
        <f t="shared" si="0"/>
        <v>325549</v>
      </c>
      <c r="L18" s="1573">
        <v>314540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896257</v>
      </c>
      <c r="I22" s="1673"/>
      <c r="J22" s="1582"/>
      <c r="K22" s="1672">
        <f t="shared" si="0"/>
        <v>896257</v>
      </c>
      <c r="L22" s="1577">
        <v>910000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v>16120</v>
      </c>
      <c r="I32" s="1673"/>
      <c r="J32" s="1585"/>
      <c r="K32" s="1672">
        <f t="shared" si="0"/>
        <v>16120</v>
      </c>
      <c r="L32" s="1577">
        <v>9000</v>
      </c>
    </row>
    <row r="33" spans="1:14" ht="12.75" customHeight="1" thickBot="1" x14ac:dyDescent="0.25">
      <c r="A33" s="1380" t="s">
        <v>1649</v>
      </c>
      <c r="B33" s="1381" t="s">
        <v>566</v>
      </c>
      <c r="C33" s="1674">
        <f>SUM(C5:C32)</f>
        <v>11648468</v>
      </c>
      <c r="D33" s="1674">
        <f t="shared" ref="D33:L33" si="1">SUM(D5:D32)</f>
        <v>3495004</v>
      </c>
      <c r="E33" s="1674">
        <f t="shared" si="1"/>
        <v>289649</v>
      </c>
      <c r="F33" s="1674">
        <f t="shared" si="1"/>
        <v>369803</v>
      </c>
      <c r="G33" s="1674">
        <f t="shared" si="1"/>
        <v>0</v>
      </c>
      <c r="H33" s="1674">
        <f t="shared" si="1"/>
        <v>946463</v>
      </c>
      <c r="I33" s="1674">
        <f t="shared" si="1"/>
        <v>20331</v>
      </c>
      <c r="J33" s="1674">
        <f t="shared" si="1"/>
        <v>0</v>
      </c>
      <c r="K33" s="1674">
        <f t="shared" si="1"/>
        <v>16769718</v>
      </c>
      <c r="L33" s="1674">
        <f t="shared" si="1"/>
        <v>17280321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303607</v>
      </c>
      <c r="D36" s="1586">
        <v>104323</v>
      </c>
      <c r="E36" s="1586">
        <v>10148</v>
      </c>
      <c r="F36" s="1586">
        <v>184</v>
      </c>
      <c r="G36" s="1586"/>
      <c r="H36" s="1586"/>
      <c r="I36" s="1574"/>
      <c r="J36" s="1574"/>
      <c r="K36" s="1672">
        <f t="shared" ref="K36:K41" si="2">SUM(C36:J36)</f>
        <v>418262</v>
      </c>
      <c r="L36" s="1573">
        <v>421520</v>
      </c>
    </row>
    <row r="37" spans="1:14" x14ac:dyDescent="0.2">
      <c r="A37" s="1274" t="s">
        <v>1081</v>
      </c>
      <c r="B37" s="503">
        <v>2120</v>
      </c>
      <c r="C37" s="1573">
        <v>253351</v>
      </c>
      <c r="D37" s="1573">
        <v>53373</v>
      </c>
      <c r="E37" s="1573">
        <v>3930</v>
      </c>
      <c r="F37" s="1573">
        <v>1249</v>
      </c>
      <c r="G37" s="1573"/>
      <c r="H37" s="1573">
        <v>80</v>
      </c>
      <c r="I37" s="1574"/>
      <c r="J37" s="1574"/>
      <c r="K37" s="1672">
        <f t="shared" si="2"/>
        <v>311983</v>
      </c>
      <c r="L37" s="1573">
        <v>318870</v>
      </c>
    </row>
    <row r="38" spans="1:14" x14ac:dyDescent="0.2">
      <c r="A38" s="1274" t="s">
        <v>196</v>
      </c>
      <c r="B38" s="503">
        <v>2130</v>
      </c>
      <c r="C38" s="1573">
        <v>332592</v>
      </c>
      <c r="D38" s="1573">
        <v>72688</v>
      </c>
      <c r="E38" s="1573">
        <v>1207</v>
      </c>
      <c r="F38" s="1573">
        <v>3786</v>
      </c>
      <c r="G38" s="1573"/>
      <c r="H38" s="1573"/>
      <c r="I38" s="1574"/>
      <c r="J38" s="1574"/>
      <c r="K38" s="1672">
        <f t="shared" si="2"/>
        <v>410273</v>
      </c>
      <c r="L38" s="1573">
        <v>395870</v>
      </c>
    </row>
    <row r="39" spans="1:14" x14ac:dyDescent="0.2">
      <c r="A39" s="1274" t="s">
        <v>197</v>
      </c>
      <c r="B39" s="503">
        <v>2140</v>
      </c>
      <c r="C39" s="1573">
        <v>258748</v>
      </c>
      <c r="D39" s="1573">
        <v>74729</v>
      </c>
      <c r="E39" s="1573">
        <v>3115</v>
      </c>
      <c r="F39" s="1573">
        <v>2564</v>
      </c>
      <c r="G39" s="1573"/>
      <c r="H39" s="1573"/>
      <c r="I39" s="1574"/>
      <c r="J39" s="1574"/>
      <c r="K39" s="1672">
        <f t="shared" si="2"/>
        <v>339156</v>
      </c>
      <c r="L39" s="1573">
        <v>338730</v>
      </c>
    </row>
    <row r="40" spans="1:14" x14ac:dyDescent="0.2">
      <c r="A40" s="1274" t="s">
        <v>198</v>
      </c>
      <c r="B40" s="503">
        <v>2150</v>
      </c>
      <c r="C40" s="1573">
        <v>258273</v>
      </c>
      <c r="D40" s="1573">
        <v>80155</v>
      </c>
      <c r="E40" s="1573">
        <v>58815</v>
      </c>
      <c r="F40" s="1573">
        <v>1270</v>
      </c>
      <c r="G40" s="1573"/>
      <c r="H40" s="1573"/>
      <c r="I40" s="1574"/>
      <c r="J40" s="1574"/>
      <c r="K40" s="1672">
        <f t="shared" si="2"/>
        <v>398513</v>
      </c>
      <c r="L40" s="1573">
        <v>389090</v>
      </c>
    </row>
    <row r="41" spans="1:14" x14ac:dyDescent="0.2">
      <c r="A41" s="1274" t="s">
        <v>1650</v>
      </c>
      <c r="B41" s="503">
        <v>2190</v>
      </c>
      <c r="C41" s="1573">
        <v>160122</v>
      </c>
      <c r="D41" s="1573">
        <v>27150</v>
      </c>
      <c r="E41" s="1573"/>
      <c r="F41" s="1573">
        <v>760</v>
      </c>
      <c r="G41" s="1573"/>
      <c r="H41" s="1573"/>
      <c r="I41" s="1574"/>
      <c r="J41" s="1574"/>
      <c r="K41" s="1672">
        <f t="shared" si="2"/>
        <v>188032</v>
      </c>
      <c r="L41" s="1573">
        <v>185590</v>
      </c>
    </row>
    <row r="42" spans="1:14" ht="12.75" customHeight="1" thickBot="1" x14ac:dyDescent="0.25">
      <c r="A42" s="1380" t="s">
        <v>556</v>
      </c>
      <c r="B42" s="1381" t="s">
        <v>711</v>
      </c>
      <c r="C42" s="1674">
        <f>SUM(C36:C41)</f>
        <v>1566693</v>
      </c>
      <c r="D42" s="1674">
        <f t="shared" ref="D42:L42" si="3">SUM(D36:D41)</f>
        <v>412418</v>
      </c>
      <c r="E42" s="1674">
        <f t="shared" si="3"/>
        <v>77215</v>
      </c>
      <c r="F42" s="1674">
        <f t="shared" si="3"/>
        <v>9813</v>
      </c>
      <c r="G42" s="1674">
        <f t="shared" si="3"/>
        <v>0</v>
      </c>
      <c r="H42" s="1674">
        <f t="shared" si="3"/>
        <v>80</v>
      </c>
      <c r="I42" s="1674">
        <f t="shared" si="3"/>
        <v>0</v>
      </c>
      <c r="J42" s="1674">
        <f t="shared" si="3"/>
        <v>0</v>
      </c>
      <c r="K42" s="1674">
        <f t="shared" si="3"/>
        <v>2066219</v>
      </c>
      <c r="L42" s="1674">
        <f t="shared" si="3"/>
        <v>2049670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267643</v>
      </c>
      <c r="D44" s="1586">
        <v>82124</v>
      </c>
      <c r="E44" s="1586">
        <v>32134</v>
      </c>
      <c r="F44" s="1586">
        <v>2182</v>
      </c>
      <c r="G44" s="1586"/>
      <c r="H44" s="1586"/>
      <c r="I44" s="1574"/>
      <c r="J44" s="1574"/>
      <c r="K44" s="1678">
        <f>SUM(C44:J44)</f>
        <v>384083</v>
      </c>
      <c r="L44" s="1586">
        <v>491741</v>
      </c>
    </row>
    <row r="45" spans="1:14" x14ac:dyDescent="0.2">
      <c r="A45" s="1274" t="s">
        <v>810</v>
      </c>
      <c r="B45" s="503">
        <v>2220</v>
      </c>
      <c r="C45" s="1573">
        <v>271629</v>
      </c>
      <c r="D45" s="1573">
        <v>88992</v>
      </c>
      <c r="E45" s="1573">
        <v>38041</v>
      </c>
      <c r="F45" s="1573">
        <v>50219</v>
      </c>
      <c r="G45" s="1573"/>
      <c r="H45" s="1573">
        <v>274</v>
      </c>
      <c r="I45" s="1574"/>
      <c r="J45" s="1574"/>
      <c r="K45" s="1678">
        <f>SUM(C45:J45)</f>
        <v>449155</v>
      </c>
      <c r="L45" s="1573">
        <v>461001</v>
      </c>
    </row>
    <row r="46" spans="1:14" x14ac:dyDescent="0.2">
      <c r="A46" s="1274" t="s">
        <v>811</v>
      </c>
      <c r="B46" s="503">
        <v>2230</v>
      </c>
      <c r="C46" s="1573"/>
      <c r="D46" s="1573"/>
      <c r="E46" s="1573">
        <v>18455</v>
      </c>
      <c r="F46" s="1573">
        <v>2559</v>
      </c>
      <c r="G46" s="1573"/>
      <c r="H46" s="1573"/>
      <c r="I46" s="1574"/>
      <c r="J46" s="1574"/>
      <c r="K46" s="1678">
        <f>SUM(C46:J46)</f>
        <v>21014</v>
      </c>
      <c r="L46" s="1573">
        <v>39500</v>
      </c>
    </row>
    <row r="47" spans="1:14" ht="12.75" customHeight="1" thickBot="1" x14ac:dyDescent="0.25">
      <c r="A47" s="1380" t="s">
        <v>557</v>
      </c>
      <c r="B47" s="1381" t="s">
        <v>32</v>
      </c>
      <c r="C47" s="1674">
        <f>SUM(C44:C46)</f>
        <v>539272</v>
      </c>
      <c r="D47" s="1674">
        <f t="shared" ref="D47:K47" si="4">SUM(D44:D46)</f>
        <v>171116</v>
      </c>
      <c r="E47" s="1674">
        <f t="shared" si="4"/>
        <v>88630</v>
      </c>
      <c r="F47" s="1674">
        <f t="shared" si="4"/>
        <v>54960</v>
      </c>
      <c r="G47" s="1674">
        <f t="shared" si="4"/>
        <v>0</v>
      </c>
      <c r="H47" s="1674">
        <f t="shared" si="4"/>
        <v>274</v>
      </c>
      <c r="I47" s="1674">
        <f t="shared" si="4"/>
        <v>0</v>
      </c>
      <c r="J47" s="1674">
        <f t="shared" si="4"/>
        <v>0</v>
      </c>
      <c r="K47" s="1674">
        <f t="shared" si="4"/>
        <v>854252</v>
      </c>
      <c r="L47" s="1674">
        <f>SUM(L44:L46)</f>
        <v>992242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33625</v>
      </c>
      <c r="D49" s="1586">
        <v>8028</v>
      </c>
      <c r="E49" s="1586">
        <v>42530</v>
      </c>
      <c r="F49" s="1586">
        <v>1078</v>
      </c>
      <c r="G49" s="1586"/>
      <c r="H49" s="1586">
        <v>12198</v>
      </c>
      <c r="I49" s="1574"/>
      <c r="J49" s="1574"/>
      <c r="K49" s="1678">
        <f>SUM(C49:J49)</f>
        <v>97459</v>
      </c>
      <c r="L49" s="1586">
        <v>112260</v>
      </c>
    </row>
    <row r="50" spans="1:14" x14ac:dyDescent="0.2">
      <c r="A50" s="1274" t="s">
        <v>813</v>
      </c>
      <c r="B50" s="503">
        <v>2320</v>
      </c>
      <c r="C50" s="1573">
        <v>248197</v>
      </c>
      <c r="D50" s="1573">
        <v>72533</v>
      </c>
      <c r="E50" s="1573">
        <v>2311</v>
      </c>
      <c r="F50" s="1573">
        <v>6715</v>
      </c>
      <c r="G50" s="1573"/>
      <c r="H50" s="1573">
        <v>2056</v>
      </c>
      <c r="I50" s="1574"/>
      <c r="J50" s="1574"/>
      <c r="K50" s="1678">
        <f>SUM(C50:J50)</f>
        <v>331812</v>
      </c>
      <c r="L50" s="1573">
        <v>336690</v>
      </c>
    </row>
    <row r="51" spans="1:14" x14ac:dyDescent="0.2">
      <c r="A51" s="1274" t="s">
        <v>42</v>
      </c>
      <c r="B51" s="503">
        <v>2330</v>
      </c>
      <c r="C51" s="1573">
        <v>188966</v>
      </c>
      <c r="D51" s="1573">
        <v>69096</v>
      </c>
      <c r="E51" s="1573">
        <v>3185</v>
      </c>
      <c r="F51" s="1573">
        <v>738</v>
      </c>
      <c r="G51" s="1573"/>
      <c r="H51" s="1573">
        <v>410</v>
      </c>
      <c r="I51" s="1574"/>
      <c r="J51" s="1574">
        <v>2531</v>
      </c>
      <c r="K51" s="1678">
        <f>SUM(C51:J51)</f>
        <v>264926</v>
      </c>
      <c r="L51" s="1573">
        <v>271450</v>
      </c>
    </row>
    <row r="52" spans="1:14" ht="22.5" x14ac:dyDescent="0.2">
      <c r="A52" s="1275" t="s">
        <v>295</v>
      </c>
      <c r="B52" s="511" t="s">
        <v>363</v>
      </c>
      <c r="C52" s="1579"/>
      <c r="D52" s="1579"/>
      <c r="E52" s="1579">
        <v>236512</v>
      </c>
      <c r="F52" s="1579"/>
      <c r="G52" s="1579"/>
      <c r="H52" s="1579"/>
      <c r="I52" s="1579"/>
      <c r="J52" s="1579"/>
      <c r="K52" s="1678">
        <f>SUM(C52:J52)</f>
        <v>236512</v>
      </c>
      <c r="L52" s="1579">
        <v>253200</v>
      </c>
    </row>
    <row r="53" spans="1:14" ht="12.75" customHeight="1" thickBot="1" x14ac:dyDescent="0.25">
      <c r="A53" s="1380" t="s">
        <v>712</v>
      </c>
      <c r="B53" s="1381" t="s">
        <v>33</v>
      </c>
      <c r="C53" s="1674">
        <f>SUM(C49:C52)</f>
        <v>470788</v>
      </c>
      <c r="D53" s="1674">
        <f t="shared" ref="D53:L53" si="5">SUM(D49:D52)</f>
        <v>149657</v>
      </c>
      <c r="E53" s="1674">
        <f t="shared" si="5"/>
        <v>284538</v>
      </c>
      <c r="F53" s="1674">
        <f t="shared" si="5"/>
        <v>8531</v>
      </c>
      <c r="G53" s="1674">
        <f t="shared" si="5"/>
        <v>0</v>
      </c>
      <c r="H53" s="1674">
        <f t="shared" si="5"/>
        <v>14664</v>
      </c>
      <c r="I53" s="1674">
        <f t="shared" si="5"/>
        <v>0</v>
      </c>
      <c r="J53" s="1674">
        <f t="shared" si="5"/>
        <v>2531</v>
      </c>
      <c r="K53" s="1674">
        <f t="shared" si="5"/>
        <v>930709</v>
      </c>
      <c r="L53" s="1674">
        <f t="shared" si="5"/>
        <v>973600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1497245</v>
      </c>
      <c r="D55" s="1586">
        <v>587672</v>
      </c>
      <c r="E55" s="1586">
        <v>26340</v>
      </c>
      <c r="F55" s="1586">
        <v>19971</v>
      </c>
      <c r="G55" s="1586"/>
      <c r="H55" s="1586">
        <v>3067</v>
      </c>
      <c r="I55" s="1574">
        <v>12522</v>
      </c>
      <c r="J55" s="1574">
        <v>3642</v>
      </c>
      <c r="K55" s="1678">
        <f>SUM(C55:J55)</f>
        <v>2150459</v>
      </c>
      <c r="L55" s="1586">
        <v>2158490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1497245</v>
      </c>
      <c r="D57" s="1679">
        <f t="shared" ref="D57:K57" si="6">SUM(D55:D56)</f>
        <v>587672</v>
      </c>
      <c r="E57" s="1679">
        <f t="shared" si="6"/>
        <v>26340</v>
      </c>
      <c r="F57" s="1679">
        <f t="shared" si="6"/>
        <v>19971</v>
      </c>
      <c r="G57" s="1679">
        <f t="shared" si="6"/>
        <v>0</v>
      </c>
      <c r="H57" s="1679">
        <f t="shared" si="6"/>
        <v>3067</v>
      </c>
      <c r="I57" s="1679">
        <f t="shared" si="6"/>
        <v>12522</v>
      </c>
      <c r="J57" s="1679">
        <f t="shared" si="6"/>
        <v>3642</v>
      </c>
      <c r="K57" s="1679">
        <f t="shared" si="6"/>
        <v>2150459</v>
      </c>
      <c r="L57" s="1674">
        <f>SUM(L55:L56)</f>
        <v>2158490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117349</v>
      </c>
      <c r="D59" s="1586">
        <v>20857</v>
      </c>
      <c r="E59" s="1586">
        <v>1498</v>
      </c>
      <c r="F59" s="1586">
        <v>55</v>
      </c>
      <c r="G59" s="1586"/>
      <c r="H59" s="1586">
        <v>570</v>
      </c>
      <c r="I59" s="1574"/>
      <c r="J59" s="1574"/>
      <c r="K59" s="1678">
        <f t="shared" ref="K59:K64" si="7">SUM(C59:J59)</f>
        <v>140329</v>
      </c>
      <c r="L59" s="1586">
        <v>143630</v>
      </c>
      <c r="M59" s="501"/>
      <c r="N59" s="501"/>
    </row>
    <row r="60" spans="1:14" s="321" customFormat="1" x14ac:dyDescent="0.2">
      <c r="A60" s="1274" t="s">
        <v>460</v>
      </c>
      <c r="B60" s="503">
        <v>2520</v>
      </c>
      <c r="C60" s="1573">
        <v>176150</v>
      </c>
      <c r="D60" s="1573">
        <v>52178</v>
      </c>
      <c r="E60" s="1573">
        <v>28831</v>
      </c>
      <c r="F60" s="1573">
        <v>4287</v>
      </c>
      <c r="G60" s="1573"/>
      <c r="H60" s="1573">
        <v>150</v>
      </c>
      <c r="I60" s="1574"/>
      <c r="J60" s="1574">
        <v>3139</v>
      </c>
      <c r="K60" s="1678">
        <f t="shared" si="7"/>
        <v>264735</v>
      </c>
      <c r="L60" s="1573">
        <v>274970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286459</v>
      </c>
      <c r="F63" s="1573">
        <v>3990</v>
      </c>
      <c r="G63" s="1573"/>
      <c r="H63" s="1573"/>
      <c r="I63" s="1574">
        <v>6654</v>
      </c>
      <c r="J63" s="1574"/>
      <c r="K63" s="1678">
        <f t="shared" si="7"/>
        <v>297103</v>
      </c>
      <c r="L63" s="1573">
        <v>367700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293499</v>
      </c>
      <c r="D65" s="1674">
        <f t="shared" ref="D65:L65" si="8">SUM(D59:D64)</f>
        <v>73035</v>
      </c>
      <c r="E65" s="1674">
        <f t="shared" si="8"/>
        <v>316788</v>
      </c>
      <c r="F65" s="1674">
        <f t="shared" si="8"/>
        <v>8332</v>
      </c>
      <c r="G65" s="1674">
        <f t="shared" si="8"/>
        <v>0</v>
      </c>
      <c r="H65" s="1674">
        <f t="shared" si="8"/>
        <v>720</v>
      </c>
      <c r="I65" s="1674">
        <f t="shared" si="8"/>
        <v>6654</v>
      </c>
      <c r="J65" s="1674">
        <f t="shared" si="8"/>
        <v>3139</v>
      </c>
      <c r="K65" s="1674">
        <f t="shared" si="8"/>
        <v>702167</v>
      </c>
      <c r="L65" s="1674">
        <f t="shared" si="8"/>
        <v>786300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86482</v>
      </c>
      <c r="D69" s="1573">
        <v>830</v>
      </c>
      <c r="E69" s="1573">
        <v>32288</v>
      </c>
      <c r="F69" s="1573">
        <v>716</v>
      </c>
      <c r="G69" s="1573"/>
      <c r="H69" s="1573">
        <v>320</v>
      </c>
      <c r="I69" s="1574"/>
      <c r="J69" s="1574"/>
      <c r="K69" s="1678">
        <f>SUM(C69:J69)</f>
        <v>120636</v>
      </c>
      <c r="L69" s="1573">
        <v>113540</v>
      </c>
      <c r="M69" s="501"/>
      <c r="N69" s="501"/>
    </row>
    <row r="70" spans="1:14" s="321" customFormat="1" x14ac:dyDescent="0.2">
      <c r="A70" s="1274" t="s">
        <v>400</v>
      </c>
      <c r="B70" s="503">
        <v>2640</v>
      </c>
      <c r="C70" s="1573">
        <v>136159</v>
      </c>
      <c r="D70" s="1573">
        <v>44355</v>
      </c>
      <c r="E70" s="1573">
        <v>21830</v>
      </c>
      <c r="F70" s="1573">
        <v>1784</v>
      </c>
      <c r="G70" s="1573"/>
      <c r="H70" s="1573">
        <v>675</v>
      </c>
      <c r="I70" s="1574"/>
      <c r="J70" s="1574"/>
      <c r="K70" s="1678">
        <f>SUM(C70:J70)</f>
        <v>204803</v>
      </c>
      <c r="L70" s="1573">
        <v>222930</v>
      </c>
      <c r="M70" s="501"/>
      <c r="N70" s="501"/>
    </row>
    <row r="71" spans="1:14" s="321" customFormat="1" x14ac:dyDescent="0.2">
      <c r="A71" s="1274" t="s">
        <v>401</v>
      </c>
      <c r="B71" s="503">
        <v>2660</v>
      </c>
      <c r="C71" s="1573">
        <v>254129</v>
      </c>
      <c r="D71" s="1573">
        <v>82519</v>
      </c>
      <c r="E71" s="1573">
        <v>301038</v>
      </c>
      <c r="F71" s="1573">
        <v>22788</v>
      </c>
      <c r="G71" s="1573">
        <v>54170</v>
      </c>
      <c r="H71" s="1573"/>
      <c r="I71" s="1574"/>
      <c r="J71" s="1574"/>
      <c r="K71" s="1678">
        <f>SUM(C71:J71)</f>
        <v>714644</v>
      </c>
      <c r="L71" s="1573">
        <v>790410</v>
      </c>
      <c r="M71" s="501"/>
      <c r="N71" s="501"/>
    </row>
    <row r="72" spans="1:14" s="321" customFormat="1" ht="12.75" customHeight="1" thickBot="1" x14ac:dyDescent="0.25">
      <c r="A72" s="1380" t="s">
        <v>37</v>
      </c>
      <c r="B72" s="1383" t="s">
        <v>36</v>
      </c>
      <c r="C72" s="1674">
        <f>SUM(C67:C71)</f>
        <v>476770</v>
      </c>
      <c r="D72" s="1674">
        <f t="shared" ref="D72:K72" si="9">SUM(D67:D71)</f>
        <v>127704</v>
      </c>
      <c r="E72" s="1674">
        <f t="shared" si="9"/>
        <v>355156</v>
      </c>
      <c r="F72" s="1674">
        <f t="shared" si="9"/>
        <v>25288</v>
      </c>
      <c r="G72" s="1674">
        <f t="shared" si="9"/>
        <v>54170</v>
      </c>
      <c r="H72" s="1674">
        <f t="shared" si="9"/>
        <v>995</v>
      </c>
      <c r="I72" s="1674">
        <f t="shared" si="9"/>
        <v>0</v>
      </c>
      <c r="J72" s="1674">
        <f t="shared" si="9"/>
        <v>0</v>
      </c>
      <c r="K72" s="1674">
        <f t="shared" si="9"/>
        <v>1040083</v>
      </c>
      <c r="L72" s="1674">
        <f>SUM(L67:L71)</f>
        <v>1126880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4844267</v>
      </c>
      <c r="D74" s="1681">
        <f t="shared" ref="D74:K74" si="10">SUM(D42,D47,D53,D57,D65,D72,D73)</f>
        <v>1521602</v>
      </c>
      <c r="E74" s="1681">
        <f t="shared" si="10"/>
        <v>1148667</v>
      </c>
      <c r="F74" s="1681">
        <f t="shared" si="10"/>
        <v>126895</v>
      </c>
      <c r="G74" s="1681">
        <f t="shared" si="10"/>
        <v>54170</v>
      </c>
      <c r="H74" s="1681">
        <f t="shared" si="10"/>
        <v>19800</v>
      </c>
      <c r="I74" s="1681">
        <f t="shared" si="10"/>
        <v>19176</v>
      </c>
      <c r="J74" s="1681">
        <f t="shared" si="10"/>
        <v>9312</v>
      </c>
      <c r="K74" s="1681">
        <f t="shared" si="10"/>
        <v>7743889</v>
      </c>
      <c r="L74" s="1681">
        <f>SUM(L42,L47,L53,L57,L65,L72,L73)</f>
        <v>8087182</v>
      </c>
    </row>
    <row r="75" spans="1:14" s="254" customFormat="1" ht="15.75" customHeight="1" thickTop="1" thickBot="1" x14ac:dyDescent="0.25">
      <c r="A75" s="1348" t="s">
        <v>47</v>
      </c>
      <c r="B75" s="1349" t="s">
        <v>571</v>
      </c>
      <c r="C75" s="1649">
        <v>38269</v>
      </c>
      <c r="D75" s="1649">
        <v>9219</v>
      </c>
      <c r="E75" s="1649">
        <v>30975</v>
      </c>
      <c r="F75" s="1649">
        <v>19613</v>
      </c>
      <c r="G75" s="1649"/>
      <c r="H75" s="1649"/>
      <c r="I75" s="1627"/>
      <c r="J75" s="1627"/>
      <c r="K75" s="1674">
        <f>SUM(C75:J75)</f>
        <v>98076</v>
      </c>
      <c r="L75" s="1651">
        <v>47281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234229</v>
      </c>
      <c r="F79" s="1673"/>
      <c r="G79" s="1673"/>
      <c r="H79" s="1573"/>
      <c r="I79" s="1582"/>
      <c r="J79" s="1582"/>
      <c r="K79" s="1672">
        <f t="shared" si="11"/>
        <v>234229</v>
      </c>
      <c r="L79" s="1573">
        <v>241722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2793</v>
      </c>
      <c r="F81" s="1673"/>
      <c r="G81" s="1673"/>
      <c r="H81" s="1573">
        <v>1600</v>
      </c>
      <c r="I81" s="1582"/>
      <c r="J81" s="1582"/>
      <c r="K81" s="1672">
        <f t="shared" si="11"/>
        <v>4393</v>
      </c>
      <c r="L81" s="1573">
        <v>5300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237022</v>
      </c>
      <c r="F84" s="1673"/>
      <c r="G84" s="1673"/>
      <c r="H84" s="1674">
        <f>SUM(H78:H83)</f>
        <v>1600</v>
      </c>
      <c r="I84" s="1582"/>
      <c r="J84" s="1582"/>
      <c r="K84" s="1674">
        <f>SUM(K78:K83)</f>
        <v>238622</v>
      </c>
      <c r="L84" s="1674">
        <f>SUM(L78:L83)</f>
        <v>247022</v>
      </c>
    </row>
    <row r="85" spans="1:12" ht="12.75" customHeight="1" thickTop="1" thickBot="1" x14ac:dyDescent="0.25">
      <c r="A85" s="1281" t="s">
        <v>253</v>
      </c>
      <c r="B85" s="517">
        <v>4210</v>
      </c>
      <c r="C85" s="1673"/>
      <c r="D85" s="1673"/>
      <c r="E85" s="1683"/>
      <c r="F85" s="1673"/>
      <c r="G85" s="1673"/>
      <c r="H85" s="1630">
        <v>29090</v>
      </c>
      <c r="I85" s="1582"/>
      <c r="J85" s="1582"/>
      <c r="K85" s="1681">
        <f>H85</f>
        <v>29090</v>
      </c>
      <c r="L85" s="1626">
        <v>22000</v>
      </c>
    </row>
    <row r="86" spans="1:12" ht="12.75" customHeight="1" thickTop="1" thickBot="1" x14ac:dyDescent="0.25">
      <c r="A86" s="1282" t="s">
        <v>694</v>
      </c>
      <c r="B86" s="518">
        <v>4220</v>
      </c>
      <c r="C86" s="1673"/>
      <c r="D86" s="1673"/>
      <c r="E86" s="1684"/>
      <c r="F86" s="1673"/>
      <c r="G86" s="1673"/>
      <c r="H86" s="1574">
        <v>935798</v>
      </c>
      <c r="I86" s="1582"/>
      <c r="J86" s="1582"/>
      <c r="K86" s="1681">
        <f t="shared" ref="K86:K98" si="12">H86</f>
        <v>935798</v>
      </c>
      <c r="L86" s="1626">
        <v>1339492</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88884</v>
      </c>
      <c r="I88" s="1582"/>
      <c r="J88" s="1582"/>
      <c r="K88" s="1681">
        <f t="shared" si="12"/>
        <v>88884</v>
      </c>
      <c r="L88" s="1626">
        <v>90000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1053772</v>
      </c>
      <c r="I92" s="1582"/>
      <c r="J92" s="1582"/>
      <c r="K92" s="1681">
        <f t="shared" si="12"/>
        <v>1053772</v>
      </c>
      <c r="L92" s="1674">
        <f>SUM(L85:L91)</f>
        <v>1451492</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237022</v>
      </c>
      <c r="F102" s="1673"/>
      <c r="G102" s="1673"/>
      <c r="H102" s="1681">
        <f>SUM(H84,H92,H100,H101)</f>
        <v>1055372</v>
      </c>
      <c r="I102" s="1582"/>
      <c r="J102" s="1582"/>
      <c r="K102" s="1681">
        <f>SUM(K84,K92,K100,K101)</f>
        <v>1292394</v>
      </c>
      <c r="L102" s="1681">
        <f>SUM(L84,L92,L100,L101)</f>
        <v>1698514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16531004</v>
      </c>
      <c r="D114" s="1674">
        <f t="shared" ref="D114:K114" si="13">SUM(D33,D74,D75,D102,D112,D113)</f>
        <v>5025825</v>
      </c>
      <c r="E114" s="1674">
        <f t="shared" si="13"/>
        <v>1706313</v>
      </c>
      <c r="F114" s="1674">
        <f t="shared" si="13"/>
        <v>516311</v>
      </c>
      <c r="G114" s="1674">
        <f t="shared" si="13"/>
        <v>54170</v>
      </c>
      <c r="H114" s="1674">
        <f>SUM(H33,H74,H75,H102,H112,H113)</f>
        <v>2021635</v>
      </c>
      <c r="I114" s="1674">
        <f t="shared" si="13"/>
        <v>39507</v>
      </c>
      <c r="J114" s="1674">
        <f t="shared" si="13"/>
        <v>9312</v>
      </c>
      <c r="K114" s="1674">
        <f t="shared" si="13"/>
        <v>25904077</v>
      </c>
      <c r="L114" s="1674">
        <f>SUM(L33,L74,L75,L102,L112,L113)</f>
        <v>27113298</v>
      </c>
    </row>
    <row r="115" spans="1:14" ht="13.5" thickTop="1" x14ac:dyDescent="0.2">
      <c r="A115" s="2272" t="s">
        <v>989</v>
      </c>
      <c r="B115" s="2273"/>
      <c r="C115" s="1675"/>
      <c r="D115" s="1675"/>
      <c r="E115" s="1675"/>
      <c r="F115" s="1675"/>
      <c r="G115" s="1675"/>
      <c r="H115" s="1675"/>
      <c r="I115" s="1675"/>
      <c r="J115" s="1675"/>
      <c r="K115" s="1689">
        <f>'Revenues 9-14'!C268-'Expenditures 15-22'!K114</f>
        <v>1398875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7" t="s">
        <v>293</v>
      </c>
      <c r="B117" s="227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1021745</v>
      </c>
      <c r="D124" s="1573">
        <v>204636</v>
      </c>
      <c r="E124" s="1573">
        <v>420455</v>
      </c>
      <c r="F124" s="1573">
        <v>625684</v>
      </c>
      <c r="G124" s="1573">
        <v>95593</v>
      </c>
      <c r="H124" s="1573"/>
      <c r="I124" s="1574">
        <v>120369</v>
      </c>
      <c r="J124" s="1574">
        <v>7184</v>
      </c>
      <c r="K124" s="1674">
        <f>SUM(C124:J124)</f>
        <v>2495666</v>
      </c>
      <c r="L124" s="1573">
        <v>2681390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1021745</v>
      </c>
      <c r="D127" s="1674">
        <f t="shared" ref="D127:L127" si="14">SUM(D122:D126)</f>
        <v>204636</v>
      </c>
      <c r="E127" s="1674">
        <f t="shared" si="14"/>
        <v>420455</v>
      </c>
      <c r="F127" s="1674">
        <f t="shared" si="14"/>
        <v>625684</v>
      </c>
      <c r="G127" s="1674">
        <f t="shared" si="14"/>
        <v>95593</v>
      </c>
      <c r="H127" s="1674">
        <f t="shared" si="14"/>
        <v>0</v>
      </c>
      <c r="I127" s="1674">
        <f t="shared" si="14"/>
        <v>120369</v>
      </c>
      <c r="J127" s="1674">
        <f t="shared" si="14"/>
        <v>7184</v>
      </c>
      <c r="K127" s="1674">
        <f t="shared" si="14"/>
        <v>2495666</v>
      </c>
      <c r="L127" s="1674">
        <f t="shared" si="14"/>
        <v>2681390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1021745</v>
      </c>
      <c r="D129" s="1681">
        <f t="shared" ref="D129:L129" si="15">SUM(D120,D127,D128)</f>
        <v>204636</v>
      </c>
      <c r="E129" s="1681">
        <f t="shared" si="15"/>
        <v>420455</v>
      </c>
      <c r="F129" s="1681">
        <f t="shared" si="15"/>
        <v>625684</v>
      </c>
      <c r="G129" s="1681">
        <f t="shared" si="15"/>
        <v>95593</v>
      </c>
      <c r="H129" s="1681">
        <f t="shared" si="15"/>
        <v>0</v>
      </c>
      <c r="I129" s="1681">
        <f t="shared" si="15"/>
        <v>120369</v>
      </c>
      <c r="J129" s="1681">
        <f t="shared" si="15"/>
        <v>7184</v>
      </c>
      <c r="K129" s="1681">
        <f t="shared" si="15"/>
        <v>2495666</v>
      </c>
      <c r="L129" s="1681">
        <f t="shared" si="15"/>
        <v>2681390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9" t="s">
        <v>616</v>
      </c>
      <c r="B151" s="2269"/>
      <c r="C151" s="1674">
        <f>SUM(C129,C130,C139,C149,C150)</f>
        <v>1021745</v>
      </c>
      <c r="D151" s="1674">
        <f t="shared" ref="D151:K151" si="16">SUM(D129,D130,D139,D149,D150)</f>
        <v>204636</v>
      </c>
      <c r="E151" s="1674">
        <f t="shared" si="16"/>
        <v>420455</v>
      </c>
      <c r="F151" s="1674">
        <f t="shared" si="16"/>
        <v>625684</v>
      </c>
      <c r="G151" s="1674">
        <f t="shared" si="16"/>
        <v>95593</v>
      </c>
      <c r="H151" s="1674">
        <f t="shared" si="16"/>
        <v>0</v>
      </c>
      <c r="I151" s="1674">
        <f t="shared" si="16"/>
        <v>120369</v>
      </c>
      <c r="J151" s="1674">
        <f t="shared" si="16"/>
        <v>7184</v>
      </c>
      <c r="K151" s="1674">
        <f t="shared" si="16"/>
        <v>2495666</v>
      </c>
      <c r="L151" s="1674">
        <f>SUM(L129,L130,L139,L149,L150)</f>
        <v>2681390</v>
      </c>
    </row>
    <row r="152" spans="1:14" ht="12.75" customHeight="1" thickTop="1" x14ac:dyDescent="0.2">
      <c r="A152" s="2292" t="s">
        <v>1168</v>
      </c>
      <c r="B152" s="2293"/>
      <c r="C152" s="1675"/>
      <c r="D152" s="1675"/>
      <c r="E152" s="1675"/>
      <c r="F152" s="1675"/>
      <c r="G152" s="1675"/>
      <c r="H152" s="1675"/>
      <c r="I152" s="1675"/>
      <c r="J152" s="1673"/>
      <c r="K152" s="1689">
        <f>'Revenues 9-14'!D268-'Expenditures 15-22'!K151</f>
        <v>816479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7" t="s">
        <v>617</v>
      </c>
      <c r="B154" s="227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585394</v>
      </c>
      <c r="I169" s="1673"/>
      <c r="J169" s="1673"/>
      <c r="K169" s="1672">
        <f>SUM(C169:H169)</f>
        <v>585394</v>
      </c>
      <c r="L169" s="1695">
        <v>592500</v>
      </c>
    </row>
    <row r="170" spans="1:14" ht="33.75" customHeight="1" x14ac:dyDescent="0.2">
      <c r="A170" s="543" t="s">
        <v>1651</v>
      </c>
      <c r="B170" s="545" t="s">
        <v>31</v>
      </c>
      <c r="C170" s="1673"/>
      <c r="D170" s="1673"/>
      <c r="E170" s="1673"/>
      <c r="F170" s="1673"/>
      <c r="G170" s="1673"/>
      <c r="H170" s="1646">
        <v>1472958</v>
      </c>
      <c r="I170" s="1673"/>
      <c r="J170" s="1673"/>
      <c r="K170" s="1672">
        <f>SUM(C170:J170)</f>
        <v>1472958</v>
      </c>
      <c r="L170" s="1646">
        <v>1475000</v>
      </c>
    </row>
    <row r="171" spans="1:14" ht="15.75" customHeight="1" x14ac:dyDescent="0.2">
      <c r="A171" s="507" t="s">
        <v>761</v>
      </c>
      <c r="B171" s="546" t="s">
        <v>84</v>
      </c>
      <c r="C171" s="1673"/>
      <c r="D171" s="1673"/>
      <c r="E171" s="1573"/>
      <c r="F171" s="1673"/>
      <c r="G171" s="1673"/>
      <c r="H171" s="1646">
        <v>1250</v>
      </c>
      <c r="I171" s="1582"/>
      <c r="J171" s="1673"/>
      <c r="K171" s="1672">
        <f>SUM(C171:J171)</f>
        <v>1250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2059602</v>
      </c>
      <c r="I172" s="1684"/>
      <c r="J172" s="1673"/>
      <c r="K172" s="1681">
        <f>SUM(K168,K169,K170,K171)</f>
        <v>2059602</v>
      </c>
      <c r="L172" s="1681">
        <f>SUM(L168,L169,L170,L171)</f>
        <v>2068500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2059602</v>
      </c>
      <c r="I174" s="1684"/>
      <c r="J174" s="1673"/>
      <c r="K174" s="1681">
        <f>SUM(K160,K172,K173)</f>
        <v>2059602</v>
      </c>
      <c r="L174" s="1681">
        <f>SUM(L160,L172,L173)</f>
        <v>2068500</v>
      </c>
    </row>
    <row r="175" spans="1:14" ht="13.5" thickTop="1" x14ac:dyDescent="0.2">
      <c r="A175" s="2272" t="s">
        <v>989</v>
      </c>
      <c r="B175" s="2273"/>
      <c r="C175" s="1673"/>
      <c r="D175" s="1673"/>
      <c r="E175" s="1673"/>
      <c r="F175" s="1673"/>
      <c r="G175" s="1673"/>
      <c r="H175" s="1675"/>
      <c r="I175" s="1673"/>
      <c r="J175" s="1673"/>
      <c r="K175" s="1689">
        <f>'Revenues 9-14'!E268-'Expenditures 15-22'!K174</f>
        <v>-1291638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45584</v>
      </c>
      <c r="D182" s="1573">
        <v>956</v>
      </c>
      <c r="E182" s="1573">
        <v>1454654</v>
      </c>
      <c r="F182" s="1573">
        <v>2691</v>
      </c>
      <c r="G182" s="1573"/>
      <c r="H182" s="1573"/>
      <c r="I182" s="1574"/>
      <c r="J182" s="1574"/>
      <c r="K182" s="1672">
        <f>SUM(C182:J182)</f>
        <v>1503885</v>
      </c>
      <c r="L182" s="1573">
        <v>2198630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45584</v>
      </c>
      <c r="D184" s="1681">
        <f t="shared" ref="D184:J184" si="17">SUM(D180,D182,D183)</f>
        <v>956</v>
      </c>
      <c r="E184" s="1681">
        <f t="shared" si="17"/>
        <v>1454654</v>
      </c>
      <c r="F184" s="1681">
        <f t="shared" si="17"/>
        <v>2691</v>
      </c>
      <c r="G184" s="1681">
        <f t="shared" si="17"/>
        <v>0</v>
      </c>
      <c r="H184" s="1681">
        <f t="shared" si="17"/>
        <v>0</v>
      </c>
      <c r="I184" s="1681">
        <f t="shared" si="17"/>
        <v>0</v>
      </c>
      <c r="J184" s="1681">
        <f t="shared" si="17"/>
        <v>0</v>
      </c>
      <c r="K184" s="1681">
        <f>SUM(K180,K182,K183)</f>
        <v>1503885</v>
      </c>
      <c r="L184" s="1681">
        <f>SUM(L180, L182:L183)</f>
        <v>2198630</v>
      </c>
    </row>
    <row r="185" spans="1:14" ht="15.75" customHeight="1" thickTop="1" thickBot="1" x14ac:dyDescent="0.25">
      <c r="A185" s="1360" t="s">
        <v>933</v>
      </c>
      <c r="B185" s="1349">
        <v>3000</v>
      </c>
      <c r="C185" s="1651"/>
      <c r="D185" s="1651"/>
      <c r="E185" s="1651">
        <v>129655</v>
      </c>
      <c r="F185" s="1651"/>
      <c r="G185" s="1651"/>
      <c r="H185" s="1651"/>
      <c r="I185" s="1627"/>
      <c r="J185" s="1627"/>
      <c r="K185" s="1674">
        <f>SUM(C185:J185)</f>
        <v>129655</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45584</v>
      </c>
      <c r="D210" s="1674">
        <f>SUM(D184,D185)</f>
        <v>956</v>
      </c>
      <c r="E210" s="1674">
        <f>SUM(E184,E185,E196)</f>
        <v>1584309</v>
      </c>
      <c r="F210" s="1674">
        <f>SUM(F184,F185)</f>
        <v>2691</v>
      </c>
      <c r="G210" s="1674">
        <f>SUM(G184,G185)</f>
        <v>0</v>
      </c>
      <c r="H210" s="1674">
        <f>SUM(H184,H185,H196,H208,H209)</f>
        <v>0</v>
      </c>
      <c r="I210" s="1674">
        <f>SUM(I184,I185)</f>
        <v>0</v>
      </c>
      <c r="J210" s="1674">
        <f>SUM(J184,J185)</f>
        <v>0</v>
      </c>
      <c r="K210" s="1672">
        <f>SUM(K184,K185,K196,K208,K209)</f>
        <v>1633540</v>
      </c>
      <c r="L210" s="1674">
        <f>SUM(L184,L185,L196,L208,L209)</f>
        <v>2198630</v>
      </c>
    </row>
    <row r="211" spans="1:14" ht="13.5" thickTop="1" x14ac:dyDescent="0.2">
      <c r="A211" s="2272" t="s">
        <v>989</v>
      </c>
      <c r="B211" s="2273"/>
      <c r="C211" s="1675"/>
      <c r="D211" s="1675"/>
      <c r="E211" s="1675"/>
      <c r="F211" s="1675"/>
      <c r="G211" s="1675"/>
      <c r="H211" s="1675"/>
      <c r="I211" s="1673"/>
      <c r="J211" s="1673"/>
      <c r="K211" s="1689">
        <f>'Revenues 9-14'!F268-'Expenditures 15-22'!K210</f>
        <v>1067320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4" t="s">
        <v>959</v>
      </c>
      <c r="B213" s="229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131968</v>
      </c>
      <c r="E215" s="1673"/>
      <c r="F215" s="1673"/>
      <c r="G215" s="1673"/>
      <c r="H215" s="1673"/>
      <c r="I215" s="1673"/>
      <c r="J215" s="1673"/>
      <c r="K215" s="1672">
        <f>D215</f>
        <v>131968</v>
      </c>
      <c r="L215" s="1573">
        <v>138050</v>
      </c>
    </row>
    <row r="216" spans="1:14" x14ac:dyDescent="0.2">
      <c r="A216" s="1274" t="s">
        <v>162</v>
      </c>
      <c r="B216" s="503" t="s">
        <v>961</v>
      </c>
      <c r="C216" s="1673"/>
      <c r="D216" s="1574">
        <f>8232-1</f>
        <v>8231</v>
      </c>
      <c r="E216" s="1673"/>
      <c r="F216" s="1673"/>
      <c r="G216" s="1673"/>
      <c r="H216" s="1673"/>
      <c r="I216" s="1673"/>
      <c r="J216" s="1673"/>
      <c r="K216" s="1672">
        <f t="shared" ref="K216:K228" si="19">D216</f>
        <v>8231</v>
      </c>
      <c r="L216" s="1573">
        <v>9550</v>
      </c>
    </row>
    <row r="217" spans="1:14" x14ac:dyDescent="0.2">
      <c r="A217" s="1274" t="s">
        <v>163</v>
      </c>
      <c r="B217" s="503">
        <v>1200</v>
      </c>
      <c r="C217" s="1673"/>
      <c r="D217" s="1573">
        <v>142180</v>
      </c>
      <c r="E217" s="1673"/>
      <c r="F217" s="1673"/>
      <c r="G217" s="1673"/>
      <c r="H217" s="1673"/>
      <c r="I217" s="1673"/>
      <c r="J217" s="1673"/>
      <c r="K217" s="1672">
        <f t="shared" si="19"/>
        <v>142180</v>
      </c>
      <c r="L217" s="1573">
        <v>150540</v>
      </c>
    </row>
    <row r="218" spans="1:14" x14ac:dyDescent="0.2">
      <c r="A218" s="1274" t="s">
        <v>276</v>
      </c>
      <c r="B218" s="503" t="s">
        <v>962</v>
      </c>
      <c r="C218" s="1673"/>
      <c r="D218" s="1574">
        <v>3521</v>
      </c>
      <c r="E218" s="1673"/>
      <c r="F218" s="1673"/>
      <c r="G218" s="1673"/>
      <c r="H218" s="1673"/>
      <c r="I218" s="1673"/>
      <c r="J218" s="1673"/>
      <c r="K218" s="1672">
        <f t="shared" si="19"/>
        <v>3521</v>
      </c>
      <c r="L218" s="1573">
        <v>3520</v>
      </c>
    </row>
    <row r="219" spans="1:14" x14ac:dyDescent="0.2">
      <c r="A219" s="1274" t="s">
        <v>277</v>
      </c>
      <c r="B219" s="503">
        <v>1250</v>
      </c>
      <c r="C219" s="1673"/>
      <c r="D219" s="1573">
        <v>17963</v>
      </c>
      <c r="E219" s="1673"/>
      <c r="F219" s="1673"/>
      <c r="G219" s="1673"/>
      <c r="H219" s="1673"/>
      <c r="I219" s="1673"/>
      <c r="J219" s="1673"/>
      <c r="K219" s="1672">
        <f t="shared" si="19"/>
        <v>17963</v>
      </c>
      <c r="L219" s="1573">
        <v>20040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f>3409+1</f>
        <v>3410</v>
      </c>
      <c r="E222" s="1673"/>
      <c r="F222" s="1673"/>
      <c r="G222" s="1673"/>
      <c r="H222" s="1673"/>
      <c r="I222" s="1673"/>
      <c r="J222" s="1673"/>
      <c r="K222" s="1672">
        <f t="shared" si="19"/>
        <v>3410</v>
      </c>
      <c r="L222" s="1573">
        <v>3580</v>
      </c>
    </row>
    <row r="223" spans="1:14" x14ac:dyDescent="0.2">
      <c r="A223" s="1274" t="s">
        <v>957</v>
      </c>
      <c r="B223" s="503">
        <v>1500</v>
      </c>
      <c r="C223" s="1673"/>
      <c r="D223" s="1573">
        <f>35303+1</f>
        <v>35304</v>
      </c>
      <c r="E223" s="1673"/>
      <c r="F223" s="1673"/>
      <c r="G223" s="1673"/>
      <c r="H223" s="1673"/>
      <c r="I223" s="1673"/>
      <c r="J223" s="1673"/>
      <c r="K223" s="1672">
        <f t="shared" si="19"/>
        <v>35304</v>
      </c>
      <c r="L223" s="1573">
        <v>27250</v>
      </c>
    </row>
    <row r="224" spans="1:14" x14ac:dyDescent="0.2">
      <c r="A224" s="1274" t="s">
        <v>958</v>
      </c>
      <c r="B224" s="503">
        <v>1600</v>
      </c>
      <c r="C224" s="1673"/>
      <c r="D224" s="1573">
        <f>167+1</f>
        <v>168</v>
      </c>
      <c r="E224" s="1673"/>
      <c r="F224" s="1673"/>
      <c r="G224" s="1673"/>
      <c r="H224" s="1673"/>
      <c r="I224" s="1673"/>
      <c r="J224" s="1673"/>
      <c r="K224" s="1672">
        <f t="shared" si="19"/>
        <v>168</v>
      </c>
      <c r="L224" s="1573">
        <v>490</v>
      </c>
    </row>
    <row r="225" spans="1:12" x14ac:dyDescent="0.2">
      <c r="A225" s="1274" t="s">
        <v>980</v>
      </c>
      <c r="B225" s="503">
        <v>1650</v>
      </c>
      <c r="C225" s="1673"/>
      <c r="D225" s="1573">
        <f>807+1</f>
        <v>808</v>
      </c>
      <c r="E225" s="1673"/>
      <c r="F225" s="1673"/>
      <c r="G225" s="1673"/>
      <c r="H225" s="1673"/>
      <c r="I225" s="1673"/>
      <c r="J225" s="1673"/>
      <c r="K225" s="1672">
        <f t="shared" si="19"/>
        <v>808</v>
      </c>
      <c r="L225" s="1573">
        <v>770</v>
      </c>
    </row>
    <row r="226" spans="1:12" x14ac:dyDescent="0.2">
      <c r="A226" s="1274" t="s">
        <v>719</v>
      </c>
      <c r="B226" s="503" t="s">
        <v>161</v>
      </c>
      <c r="C226" s="1673"/>
      <c r="D226" s="1574">
        <v>1112</v>
      </c>
      <c r="E226" s="1673"/>
      <c r="F226" s="1673"/>
      <c r="G226" s="1673"/>
      <c r="H226" s="1673"/>
      <c r="I226" s="1673"/>
      <c r="J226" s="1673"/>
      <c r="K226" s="1672">
        <f t="shared" si="19"/>
        <v>1112</v>
      </c>
      <c r="L226" s="1573">
        <v>1250</v>
      </c>
    </row>
    <row r="227" spans="1:12" x14ac:dyDescent="0.2">
      <c r="A227" s="1274" t="s">
        <v>1078</v>
      </c>
      <c r="B227" s="503">
        <v>1800</v>
      </c>
      <c r="C227" s="1673"/>
      <c r="D227" s="1573">
        <f>3540</f>
        <v>3540</v>
      </c>
      <c r="E227" s="1673"/>
      <c r="F227" s="1673"/>
      <c r="G227" s="1673"/>
      <c r="H227" s="1673"/>
      <c r="I227" s="1673"/>
      <c r="J227" s="1673"/>
      <c r="K227" s="1672">
        <f t="shared" si="19"/>
        <v>3540</v>
      </c>
      <c r="L227" s="1573">
        <v>3570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348205</v>
      </c>
      <c r="E229" s="1673"/>
      <c r="F229" s="1673"/>
      <c r="G229" s="1673"/>
      <c r="H229" s="1673"/>
      <c r="I229" s="1673"/>
      <c r="J229" s="1673"/>
      <c r="K229" s="1674">
        <f>SUM(K215:K228)</f>
        <v>348205</v>
      </c>
      <c r="L229" s="1674">
        <f>SUM(L215:L228)</f>
        <v>358610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4628</v>
      </c>
      <c r="E232" s="1673"/>
      <c r="F232" s="1673"/>
      <c r="G232" s="1673"/>
      <c r="H232" s="1673"/>
      <c r="I232" s="1673"/>
      <c r="J232" s="1673"/>
      <c r="K232" s="1672">
        <f t="shared" ref="K232:K237" si="20">D232</f>
        <v>4628</v>
      </c>
      <c r="L232" s="1573">
        <v>5260</v>
      </c>
    </row>
    <row r="233" spans="1:12" x14ac:dyDescent="0.2">
      <c r="A233" s="1274" t="s">
        <v>1081</v>
      </c>
      <c r="B233" s="503">
        <v>2120</v>
      </c>
      <c r="C233" s="1673"/>
      <c r="D233" s="1573">
        <f>7688+6790</f>
        <v>14478</v>
      </c>
      <c r="E233" s="1673"/>
      <c r="F233" s="1673"/>
      <c r="G233" s="1673"/>
      <c r="H233" s="1673"/>
      <c r="I233" s="1673"/>
      <c r="J233" s="1673"/>
      <c r="K233" s="1672">
        <f t="shared" si="20"/>
        <v>14478</v>
      </c>
      <c r="L233" s="1573">
        <f>7790+7410</f>
        <v>15200</v>
      </c>
    </row>
    <row r="234" spans="1:12" x14ac:dyDescent="0.2">
      <c r="A234" s="1274" t="s">
        <v>196</v>
      </c>
      <c r="B234" s="503">
        <v>2130</v>
      </c>
      <c r="C234" s="1673"/>
      <c r="D234" s="1573">
        <f>2316+5840</f>
        <v>8156</v>
      </c>
      <c r="E234" s="1673"/>
      <c r="F234" s="1673"/>
      <c r="G234" s="1673"/>
      <c r="H234" s="1673"/>
      <c r="I234" s="1673"/>
      <c r="J234" s="1673"/>
      <c r="K234" s="1672">
        <f t="shared" si="20"/>
        <v>8156</v>
      </c>
      <c r="L234" s="1573">
        <f>2350+5860</f>
        <v>8210</v>
      </c>
    </row>
    <row r="235" spans="1:12" x14ac:dyDescent="0.2">
      <c r="A235" s="1274" t="s">
        <v>197</v>
      </c>
      <c r="B235" s="503">
        <v>2140</v>
      </c>
      <c r="C235" s="1673"/>
      <c r="D235" s="1573">
        <v>3607</v>
      </c>
      <c r="E235" s="1673"/>
      <c r="F235" s="1673"/>
      <c r="G235" s="1673"/>
      <c r="H235" s="1673"/>
      <c r="I235" s="1673"/>
      <c r="J235" s="1673"/>
      <c r="K235" s="1672">
        <f t="shared" si="20"/>
        <v>3607</v>
      </c>
      <c r="L235" s="1573">
        <v>3820</v>
      </c>
    </row>
    <row r="236" spans="1:12" x14ac:dyDescent="0.2">
      <c r="A236" s="1274" t="s">
        <v>198</v>
      </c>
      <c r="B236" s="503">
        <v>2150</v>
      </c>
      <c r="C236" s="1673"/>
      <c r="D236" s="1573">
        <v>4114</v>
      </c>
      <c r="E236" s="1673"/>
      <c r="F236" s="1673"/>
      <c r="G236" s="1673"/>
      <c r="H236" s="1673"/>
      <c r="I236" s="1673"/>
      <c r="J236" s="1673"/>
      <c r="K236" s="1672">
        <f t="shared" si="20"/>
        <v>4114</v>
      </c>
      <c r="L236" s="1573">
        <v>4450</v>
      </c>
    </row>
    <row r="237" spans="1:12" x14ac:dyDescent="0.2">
      <c r="A237" s="1274" t="s">
        <v>164</v>
      </c>
      <c r="B237" s="503">
        <v>2190</v>
      </c>
      <c r="C237" s="1673"/>
      <c r="D237" s="1573">
        <v>7264</v>
      </c>
      <c r="E237" s="1673"/>
      <c r="F237" s="1673"/>
      <c r="G237" s="1673"/>
      <c r="H237" s="1673"/>
      <c r="I237" s="1673"/>
      <c r="J237" s="1673"/>
      <c r="K237" s="1672">
        <f t="shared" si="20"/>
        <v>7264</v>
      </c>
      <c r="L237" s="1573">
        <f>50+6410</f>
        <v>6460</v>
      </c>
    </row>
    <row r="238" spans="1:12" ht="12.75" customHeight="1" thickBot="1" x14ac:dyDescent="0.25">
      <c r="A238" s="1380" t="s">
        <v>556</v>
      </c>
      <c r="B238" s="1383" t="s">
        <v>711</v>
      </c>
      <c r="C238" s="1673"/>
      <c r="D238" s="1674">
        <f>SUM(D232:D237)</f>
        <v>42247</v>
      </c>
      <c r="E238" s="1673"/>
      <c r="F238" s="1673"/>
      <c r="G238" s="1673"/>
      <c r="H238" s="1673"/>
      <c r="I238" s="1673"/>
      <c r="J238" s="1673"/>
      <c r="K238" s="1674">
        <f>SUM(K232:K237)</f>
        <v>42247</v>
      </c>
      <c r="L238" s="1674">
        <f>SUM(L232:L237)</f>
        <v>43400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3795-1</f>
        <v>3794</v>
      </c>
      <c r="E240" s="1673"/>
      <c r="F240" s="1673"/>
      <c r="G240" s="1673"/>
      <c r="H240" s="1673"/>
      <c r="I240" s="1673"/>
      <c r="J240" s="1673"/>
      <c r="K240" s="1678">
        <f>D240</f>
        <v>3794</v>
      </c>
      <c r="L240" s="1586">
        <v>4450</v>
      </c>
    </row>
    <row r="241" spans="1:12" x14ac:dyDescent="0.2">
      <c r="A241" s="1274" t="s">
        <v>810</v>
      </c>
      <c r="B241" s="503">
        <v>2220</v>
      </c>
      <c r="C241" s="1673"/>
      <c r="D241" s="1573">
        <v>14140</v>
      </c>
      <c r="E241" s="1673"/>
      <c r="F241" s="1673"/>
      <c r="G241" s="1673"/>
      <c r="H241" s="1673"/>
      <c r="I241" s="1673"/>
      <c r="J241" s="1673"/>
      <c r="K241" s="1678">
        <f>D241</f>
        <v>14140</v>
      </c>
      <c r="L241" s="1573">
        <f>7380+7510</f>
        <v>14890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17934</v>
      </c>
      <c r="E243" s="1673"/>
      <c r="F243" s="1673"/>
      <c r="G243" s="1673"/>
      <c r="H243" s="1673"/>
      <c r="I243" s="1673"/>
      <c r="J243" s="1673"/>
      <c r="K243" s="1674">
        <f>SUM(K240:K242)</f>
        <v>17934</v>
      </c>
      <c r="L243" s="1674">
        <f>SUM(L240:L242)</f>
        <v>19340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6541</v>
      </c>
      <c r="E245" s="1673"/>
      <c r="F245" s="1673"/>
      <c r="G245" s="1673"/>
      <c r="H245" s="1673"/>
      <c r="I245" s="1673"/>
      <c r="J245" s="1673"/>
      <c r="K245" s="1678">
        <f>D245</f>
        <v>6541</v>
      </c>
      <c r="L245" s="1586">
        <v>7200</v>
      </c>
    </row>
    <row r="246" spans="1:12" x14ac:dyDescent="0.2">
      <c r="A246" s="1274" t="s">
        <v>813</v>
      </c>
      <c r="B246" s="503">
        <v>2320</v>
      </c>
      <c r="C246" s="1673"/>
      <c r="D246" s="1573">
        <v>10526</v>
      </c>
      <c r="E246" s="1673"/>
      <c r="F246" s="1673"/>
      <c r="G246" s="1673"/>
      <c r="H246" s="1673"/>
      <c r="I246" s="1673"/>
      <c r="J246" s="1673"/>
      <c r="K246" s="1678">
        <f t="shared" ref="K246:K256" si="21">D246</f>
        <v>10526</v>
      </c>
      <c r="L246" s="1573">
        <v>10740</v>
      </c>
    </row>
    <row r="247" spans="1:12" x14ac:dyDescent="0.2">
      <c r="A247" s="1274" t="s">
        <v>814</v>
      </c>
      <c r="B247" s="503">
        <v>2330</v>
      </c>
      <c r="C247" s="1673"/>
      <c r="D247" s="1573">
        <v>9949</v>
      </c>
      <c r="E247" s="1673"/>
      <c r="F247" s="1673"/>
      <c r="G247" s="1673"/>
      <c r="H247" s="1673"/>
      <c r="I247" s="1673"/>
      <c r="J247" s="1673"/>
      <c r="K247" s="1678">
        <f t="shared" si="21"/>
        <v>9949</v>
      </c>
      <c r="L247" s="1573">
        <v>10570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27016</v>
      </c>
      <c r="E257" s="1673"/>
      <c r="F257" s="1673"/>
      <c r="G257" s="1673"/>
      <c r="H257" s="1673"/>
      <c r="I257" s="1673"/>
      <c r="J257" s="1673"/>
      <c r="K257" s="1674">
        <f>SUM(K245:K256)</f>
        <v>27016</v>
      </c>
      <c r="L257" s="1674">
        <f>SUM(L245:L256)</f>
        <v>28510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35639+37686</f>
        <v>73325</v>
      </c>
      <c r="E259" s="1673"/>
      <c r="F259" s="1673"/>
      <c r="G259" s="1673"/>
      <c r="H259" s="1673"/>
      <c r="I259" s="1673"/>
      <c r="J259" s="1673"/>
      <c r="K259" s="1678">
        <f>D259</f>
        <v>73325</v>
      </c>
      <c r="L259" s="1586">
        <f>34970+38100</f>
        <v>73070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73325</v>
      </c>
      <c r="E261" s="1673"/>
      <c r="F261" s="1673"/>
      <c r="G261" s="1673"/>
      <c r="H261" s="1673"/>
      <c r="I261" s="1673"/>
      <c r="J261" s="1673"/>
      <c r="K261" s="1674">
        <f>SUM(K259:K260)</f>
        <v>73325</v>
      </c>
      <c r="L261" s="1674">
        <f>SUM(L259:L260)</f>
        <v>73070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f>13925+9160</f>
        <v>23085</v>
      </c>
      <c r="E263" s="1673"/>
      <c r="F263" s="1673"/>
      <c r="G263" s="1673"/>
      <c r="H263" s="1673"/>
      <c r="I263" s="1673"/>
      <c r="J263" s="1673"/>
      <c r="K263" s="1678">
        <f>D263</f>
        <v>23085</v>
      </c>
      <c r="L263" s="1586">
        <f>16100+9260</f>
        <v>25360</v>
      </c>
    </row>
    <row r="264" spans="1:14" x14ac:dyDescent="0.2">
      <c r="A264" s="1274" t="s">
        <v>460</v>
      </c>
      <c r="B264" s="559">
        <v>2520</v>
      </c>
      <c r="C264" s="1673"/>
      <c r="D264" s="1573">
        <f>23711+13046</f>
        <v>36757</v>
      </c>
      <c r="E264" s="1673"/>
      <c r="F264" s="1673"/>
      <c r="G264" s="1673"/>
      <c r="H264" s="1673"/>
      <c r="I264" s="1673"/>
      <c r="J264" s="1673"/>
      <c r="K264" s="1678">
        <f t="shared" ref="K264:K269" si="22">D264</f>
        <v>36757</v>
      </c>
      <c r="L264" s="1573">
        <f>23030+13360</f>
        <v>36390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132234+76247</f>
        <v>208481</v>
      </c>
      <c r="E266" s="1673"/>
      <c r="F266" s="1673"/>
      <c r="G266" s="1673"/>
      <c r="H266" s="1673"/>
      <c r="I266" s="1673"/>
      <c r="J266" s="1673"/>
      <c r="K266" s="1678">
        <f t="shared" si="22"/>
        <v>208481</v>
      </c>
      <c r="L266" s="1573">
        <f>131090+78180</f>
        <v>209270</v>
      </c>
    </row>
    <row r="267" spans="1:14" x14ac:dyDescent="0.2">
      <c r="A267" s="1274" t="s">
        <v>947</v>
      </c>
      <c r="B267" s="503">
        <v>2550</v>
      </c>
      <c r="C267" s="1673"/>
      <c r="D267" s="1573">
        <f>4807+2982</f>
        <v>7789</v>
      </c>
      <c r="E267" s="1673"/>
      <c r="F267" s="1673"/>
      <c r="G267" s="1673"/>
      <c r="H267" s="1673"/>
      <c r="I267" s="1673"/>
      <c r="J267" s="1673"/>
      <c r="K267" s="1678">
        <f t="shared" si="22"/>
        <v>7789</v>
      </c>
      <c r="L267" s="1573">
        <f>5060+3070</f>
        <v>8130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276112</v>
      </c>
      <c r="E270" s="1673"/>
      <c r="F270" s="1673"/>
      <c r="G270" s="1673"/>
      <c r="H270" s="1673"/>
      <c r="I270" s="1673"/>
      <c r="J270" s="1673"/>
      <c r="K270" s="1674">
        <f>SUM(K263:K269)</f>
        <v>276112</v>
      </c>
      <c r="L270" s="1674">
        <f>SUM(L263:L269)</f>
        <v>279150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f>10470+6155</f>
        <v>16625</v>
      </c>
      <c r="E274" s="1673"/>
      <c r="F274" s="1673"/>
      <c r="G274" s="1673"/>
      <c r="H274" s="1673"/>
      <c r="I274" s="1673"/>
      <c r="J274" s="1673"/>
      <c r="K274" s="1678">
        <f>D274</f>
        <v>16625</v>
      </c>
      <c r="L274" s="1573">
        <f>9200+5460</f>
        <v>14660</v>
      </c>
    </row>
    <row r="275" spans="1:12" x14ac:dyDescent="0.2">
      <c r="A275" s="1274" t="s">
        <v>400</v>
      </c>
      <c r="B275" s="503">
        <v>2640</v>
      </c>
      <c r="C275" s="1673"/>
      <c r="D275" s="1573">
        <f>9099+6230</f>
        <v>15329</v>
      </c>
      <c r="E275" s="1673"/>
      <c r="F275" s="1673"/>
      <c r="G275" s="1673"/>
      <c r="H275" s="1673"/>
      <c r="I275" s="1673"/>
      <c r="J275" s="1673"/>
      <c r="K275" s="1678">
        <f>D275</f>
        <v>15329</v>
      </c>
      <c r="L275" s="1573">
        <f>9930+6770</f>
        <v>16700</v>
      </c>
    </row>
    <row r="276" spans="1:12" x14ac:dyDescent="0.2">
      <c r="A276" s="1274" t="s">
        <v>401</v>
      </c>
      <c r="B276" s="503">
        <v>2660</v>
      </c>
      <c r="C276" s="1673"/>
      <c r="D276" s="1573">
        <f>28001+16253</f>
        <v>44254</v>
      </c>
      <c r="E276" s="1673"/>
      <c r="F276" s="1673"/>
      <c r="G276" s="1673"/>
      <c r="H276" s="1673"/>
      <c r="I276" s="1673"/>
      <c r="J276" s="1673"/>
      <c r="K276" s="1678">
        <f>D276</f>
        <v>44254</v>
      </c>
      <c r="L276" s="1573">
        <f>26240+16000</f>
        <v>42240</v>
      </c>
    </row>
    <row r="277" spans="1:12" ht="12.75" customHeight="1" thickBot="1" x14ac:dyDescent="0.25">
      <c r="A277" s="1393" t="s">
        <v>37</v>
      </c>
      <c r="B277" s="1381" t="s">
        <v>36</v>
      </c>
      <c r="C277" s="1673"/>
      <c r="D277" s="1674">
        <f>SUM(D272:D276)</f>
        <v>76208</v>
      </c>
      <c r="E277" s="1673"/>
      <c r="F277" s="1673"/>
      <c r="G277" s="1673"/>
      <c r="H277" s="1673"/>
      <c r="I277" s="1673"/>
      <c r="J277" s="1673"/>
      <c r="K277" s="1674">
        <f>SUM(K272:K276)</f>
        <v>76208</v>
      </c>
      <c r="L277" s="1674">
        <f>SUM(L272:L276)</f>
        <v>73600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512842</v>
      </c>
      <c r="E279" s="1673"/>
      <c r="F279" s="1673"/>
      <c r="G279" s="1673"/>
      <c r="H279" s="1673"/>
      <c r="I279" s="1673"/>
      <c r="J279" s="1673"/>
      <c r="K279" s="1681">
        <f>SUM(K238,K243,K257,K261,K270,K277,K278)</f>
        <v>512842</v>
      </c>
      <c r="L279" s="1681">
        <f>SUM(L238,L243,L257,L261,L270,L277,L278)</f>
        <v>517070</v>
      </c>
    </row>
    <row r="280" spans="1:12" ht="15.75" customHeight="1" thickTop="1" thickBot="1" x14ac:dyDescent="0.25">
      <c r="A280" s="1362" t="s">
        <v>870</v>
      </c>
      <c r="B280" s="1351">
        <v>3000</v>
      </c>
      <c r="C280" s="1673"/>
      <c r="D280" s="1651">
        <v>5</v>
      </c>
      <c r="E280" s="1673"/>
      <c r="F280" s="1673"/>
      <c r="G280" s="1673"/>
      <c r="H280" s="1673"/>
      <c r="I280" s="1673"/>
      <c r="J280" s="1673"/>
      <c r="K280" s="1687">
        <f>D280</f>
        <v>5</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0" t="s">
        <v>502</v>
      </c>
      <c r="B295" s="2291"/>
      <c r="C295" s="1673"/>
      <c r="D295" s="1674">
        <f>SUM(D229,D279,D280,D285)</f>
        <v>861052</v>
      </c>
      <c r="E295" s="1673"/>
      <c r="F295" s="1673"/>
      <c r="G295" s="1673"/>
      <c r="H295" s="1674">
        <f>H293</f>
        <v>0</v>
      </c>
      <c r="I295" s="1673"/>
      <c r="J295" s="1673"/>
      <c r="K295" s="1674">
        <f>SUM(K229,K279,K280,K285,K293,K294)</f>
        <v>861052</v>
      </c>
      <c r="L295" s="1674">
        <f>SUM(L229,L279,L280,L285,L293,L294)</f>
        <v>875680</v>
      </c>
    </row>
    <row r="296" spans="1:14" ht="13.5" thickTop="1" x14ac:dyDescent="0.2">
      <c r="A296" s="2272" t="s">
        <v>989</v>
      </c>
      <c r="B296" s="2273"/>
      <c r="C296" s="1673"/>
      <c r="D296" s="1675"/>
      <c r="E296" s="1673"/>
      <c r="F296" s="1673"/>
      <c r="G296" s="1673"/>
      <c r="H296" s="1707"/>
      <c r="I296" s="1673"/>
      <c r="J296" s="1673"/>
      <c r="K296" s="1689">
        <f>'Revenues 9-14'!G268-'Expenditures 15-22'!K295</f>
        <v>342404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2" t="s">
        <v>142</v>
      </c>
      <c r="B298" s="227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70320</v>
      </c>
      <c r="F301" s="1573"/>
      <c r="G301" s="1573">
        <v>6007711</v>
      </c>
      <c r="H301" s="1573"/>
      <c r="I301" s="1574"/>
      <c r="J301" s="1574"/>
      <c r="K301" s="1672">
        <f>SUM(C301:J301)</f>
        <v>6078031</v>
      </c>
      <c r="L301" s="1574">
        <v>10643000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70320</v>
      </c>
      <c r="F303" s="1681">
        <f t="shared" si="23"/>
        <v>0</v>
      </c>
      <c r="G303" s="1681">
        <f t="shared" si="23"/>
        <v>6007711</v>
      </c>
      <c r="H303" s="1681">
        <f t="shared" si="23"/>
        <v>0</v>
      </c>
      <c r="I303" s="1681">
        <f t="shared" si="23"/>
        <v>0</v>
      </c>
      <c r="J303" s="1681">
        <f t="shared" si="23"/>
        <v>0</v>
      </c>
      <c r="K303" s="1681">
        <f t="shared" si="23"/>
        <v>6078031</v>
      </c>
      <c r="L303" s="1681">
        <f t="shared" si="23"/>
        <v>10643000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7" t="s">
        <v>275</v>
      </c>
      <c r="B312" s="2288"/>
      <c r="C312" s="1674">
        <f>SUM(C303)</f>
        <v>0</v>
      </c>
      <c r="D312" s="1674">
        <f>SUM(D303)</f>
        <v>0</v>
      </c>
      <c r="E312" s="1674">
        <f>SUM(E303,E310)</f>
        <v>70320</v>
      </c>
      <c r="F312" s="1674">
        <f>SUM(F303)</f>
        <v>0</v>
      </c>
      <c r="G312" s="1674">
        <f>SUM(G303)</f>
        <v>6007711</v>
      </c>
      <c r="H312" s="1674">
        <f>SUM(H303,H310)</f>
        <v>0</v>
      </c>
      <c r="I312" s="1674">
        <f>SUM(I303)</f>
        <v>0</v>
      </c>
      <c r="J312" s="1674">
        <f>SUM(J303)</f>
        <v>0</v>
      </c>
      <c r="K312" s="1674">
        <f>SUM(K303,K310,K311)</f>
        <v>6078031</v>
      </c>
      <c r="L312" s="1674">
        <f>SUM(L303,L310,L311)</f>
        <v>10643000</v>
      </c>
      <c r="M312" s="539"/>
      <c r="N312" s="539"/>
    </row>
    <row r="313" spans="1:14" ht="13.5" thickTop="1" x14ac:dyDescent="0.2">
      <c r="A313" s="2283" t="s">
        <v>989</v>
      </c>
      <c r="B313" s="2284"/>
      <c r="C313" s="1677"/>
      <c r="D313" s="1677"/>
      <c r="E313" s="1677"/>
      <c r="F313" s="1677"/>
      <c r="G313" s="1677"/>
      <c r="H313" s="1677"/>
      <c r="I313" s="1677"/>
      <c r="J313" s="1677"/>
      <c r="K313" s="1696">
        <f>'Revenues 9-14'!H268-'Expenditures 15-22'!K312</f>
        <v>-6006623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6" t="s">
        <v>148</v>
      </c>
      <c r="B315" s="229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8" t="s">
        <v>892</v>
      </c>
      <c r="B317" s="229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2180</v>
      </c>
      <c r="F322" s="1574"/>
      <c r="G322" s="1574"/>
      <c r="H322" s="1574"/>
      <c r="I322" s="1574"/>
      <c r="J322" s="1574"/>
      <c r="K322" s="1672">
        <f t="shared" si="24"/>
        <v>2180</v>
      </c>
      <c r="L322" s="1574">
        <v>4000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2180</v>
      </c>
      <c r="F330" s="1674">
        <f t="shared" si="25"/>
        <v>0</v>
      </c>
      <c r="G330" s="1674">
        <f t="shared" si="25"/>
        <v>0</v>
      </c>
      <c r="H330" s="1674">
        <f t="shared" si="25"/>
        <v>0</v>
      </c>
      <c r="I330" s="1674">
        <f t="shared" si="25"/>
        <v>0</v>
      </c>
      <c r="J330" s="1674">
        <f t="shared" si="25"/>
        <v>0</v>
      </c>
      <c r="K330" s="1674">
        <f>SUM(K319:K329)</f>
        <v>2180</v>
      </c>
      <c r="L330" s="1674">
        <f>SUM(L319:L329)</f>
        <v>4000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2180</v>
      </c>
      <c r="F342" s="1674">
        <f>SUM(F330)</f>
        <v>0</v>
      </c>
      <c r="G342" s="1674">
        <f>SUM(G330)</f>
        <v>0</v>
      </c>
      <c r="H342" s="1674">
        <f>SUM(H330,H334,H340)</f>
        <v>0</v>
      </c>
      <c r="I342" s="1674">
        <f>SUM(I330)</f>
        <v>0</v>
      </c>
      <c r="J342" s="1674">
        <f>SUM(J330)</f>
        <v>0</v>
      </c>
      <c r="K342" s="1674">
        <f>SUM(K330,K334,K340)</f>
        <v>2180</v>
      </c>
      <c r="L342" s="1681">
        <f>SUM(L330,L334,L340,L341)</f>
        <v>4000</v>
      </c>
    </row>
    <row r="343" spans="1:14" ht="12.75" customHeight="1" thickTop="1" x14ac:dyDescent="0.2">
      <c r="A343" s="2285" t="s">
        <v>989</v>
      </c>
      <c r="B343" s="2286"/>
      <c r="C343" s="1673"/>
      <c r="D343" s="1673"/>
      <c r="E343" s="1673"/>
      <c r="F343" s="1673"/>
      <c r="G343" s="1673"/>
      <c r="H343" s="1673"/>
      <c r="I343" s="1673"/>
      <c r="J343" s="1673"/>
      <c r="K343" s="1689">
        <f>'Revenues 9-14'!J268-'Expenditures 15-22'!K342</f>
        <v>2124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5" t="s">
        <v>960</v>
      </c>
      <c r="B345" s="227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2" t="s">
        <v>989</v>
      </c>
      <c r="B368" s="227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microsoft.com/office/2006/documentManagement/types"/>
    <ds:schemaRef ds:uri="http://purl.org/dc/dcmitype/"/>
    <ds:schemaRef ds:uri="http://purl.org/dc/elements/1.1/"/>
    <ds:schemaRef ds:uri="http://schemas.microsoft.com/office/infopath/2007/PartnerControls"/>
    <ds:schemaRef ds:uri="http://www.w3.org/XML/1998/namespace"/>
    <ds:schemaRef ds:uri="http://schemas.openxmlformats.org/package/2006/metadata/core-properties"/>
    <ds:schemaRef ds:uri="http://purl.org/dc/term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2020-12-08T21:02:22Z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