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54D83D1-EE6C-451B-9E72-48329691D07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 - 001" sheetId="175" r:id="rId31"/>
    <sheet name="SF&amp;QC Sec-3" sheetId="176" r:id="rId32"/>
    <sheet name="SSPAF" sheetId="177" r:id="rId33"/>
    <sheet name="CAP 2020 - 001" sheetId="185" r:id="rId34"/>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6" i="8" l="1"/>
  <c r="G34" i="8" l="1"/>
  <c r="J33" i="8" l="1"/>
  <c r="J32" i="8"/>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F34" i="183" s="1"/>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85" s="1"/>
  <c r="A2" i="170"/>
  <c r="B2" i="174"/>
  <c r="A2" i="173"/>
  <c r="A1" i="171"/>
  <c r="B1" i="179"/>
  <c r="B2" i="176"/>
  <c r="B1" i="175"/>
  <c r="B1" i="177"/>
  <c r="B1" i="185" s="1"/>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L22" i="37"/>
  <c r="B7047" i="106" l="1"/>
  <c r="D7047" i="106" s="1"/>
  <c r="J49" i="8"/>
  <c r="B4172" i="106" s="1"/>
  <c r="D4172" i="106" s="1"/>
  <c r="H33" i="118"/>
  <c r="F56" i="34"/>
  <c r="B7832" i="106" s="1"/>
  <c r="D7832" i="106" s="1"/>
  <c r="H365" i="29"/>
  <c r="B7242" i="106" s="1"/>
  <c r="D7242" i="106" s="1"/>
  <c r="D36" i="108"/>
  <c r="B7078" i="106"/>
  <c r="D7078" i="106" s="1"/>
  <c r="D14" i="4"/>
  <c r="B2570" i="106" s="1"/>
  <c r="D2570" i="106" s="1"/>
  <c r="G35" i="108"/>
  <c r="D24" i="37"/>
  <c r="B4270" i="106" s="1"/>
  <c r="D4270" i="106" s="1"/>
  <c r="D22" i="37"/>
  <c r="F50" i="34"/>
  <c r="F42" i="34"/>
  <c r="B2724" i="106"/>
  <c r="D2724" i="106" s="1"/>
  <c r="C129" i="29"/>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C367" i="29"/>
  <c r="B3622" i="106" s="1"/>
  <c r="D3622" i="106" s="1"/>
  <c r="J16" i="4"/>
  <c r="B6226" i="106" s="1"/>
  <c r="D6226"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H24" i="118"/>
  <c r="K24" i="118" s="1"/>
  <c r="O23" i="118" s="1"/>
  <c r="O25" i="118" s="1"/>
  <c r="D36" i="36"/>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O11" i="118" l="1"/>
  <c r="O13" i="118" s="1"/>
  <c r="J20" i="118"/>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K20" i="118" l="1"/>
  <c r="O17" i="118"/>
  <c r="O20" i="118" s="1"/>
  <c r="O35" i="118" s="1"/>
  <c r="O37" i="118" s="1"/>
  <c r="B282" i="106"/>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<sst xmlns="http://schemas.openxmlformats.org/spreadsheetml/2006/main" count="5214" uniqueCount="2130">
  <si>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</si>
  <si>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</si>
  <si>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</si>
  <si>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</si>
  <si>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</si>
  <si>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</si>
  <si>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</si>
  <si>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</si>
  <si>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</si>
  <si>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</si>
  <si>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</si>
  <si>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</si>
  <si>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</si>
  <si>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</si>
  <si>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</si>
  <si>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</si>
  <si>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</si>
  <si>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</si>
  <si>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</si>
  <si>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</si>
  <si>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</si>
  <si>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</si>
  <si>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</si>
  <si>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</si>
  <si>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</si>
  <si>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</si>
  <si>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</si>
  <si>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</si>
  <si>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</si>
  <si>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</si>
  <si>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</si>
  <si>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</si>
  <si>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</si>
  <si>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</si>
  <si>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</si>
  <si>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</si>
  <si>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</si>
  <si>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</si>
  <si>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</si>
  <si>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</si>
  <si>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</si>
  <si>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</si>
  <si>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</si>
  <si>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</si>
  <si>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</si>
  <si>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</si>
  <si>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</si>
  <si>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</si>
  <si>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</si>
  <si>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</si>
  <si>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</si>
  <si>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</si>
  <si>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</si>
  <si>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</si>
  <si>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</si>
  <si>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</si>
  <si>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</si>
  <si>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</si>
  <si>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</si>
  <si>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</si>
  <si>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</si>
  <si>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</si>
  <si>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</si>
  <si>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</si>
  <si>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</si>
  <si>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</si>
  <si>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</si>
  <si>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</si>
  <si>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</si>
  <si>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</si>
  <si>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</si>
  <si>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</si>
  <si>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</si>
  <si>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</si>
  <si>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</si>
  <si>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</si>
  <si>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</si>
  <si>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</si>
  <si>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</si>
  <si>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</si>
  <si>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</si>
  <si>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</si>
  <si>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</si>
  <si>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</si>
  <si>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</si>
  <si>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</si>
  <si>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</si>
  <si>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</si>
  <si>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</si>
  <si>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</si>
  <si>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</si>
  <si>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</si>
  <si>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</si>
  <si>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</si>
  <si>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</si>
  <si>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</si>
  <si>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</si>
  <si>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</si>
  <si>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</si>
  <si>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</si>
  <si>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</si>
  <si>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</si>
  <si>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</si>
  <si>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</si>
  <si>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</si>
  <si>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</si>
  <si>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</si>
  <si>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</si>
  <si>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</si>
  <si>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</si>
  <si>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</si>
  <si>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</si>
  <si>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</si>
  <si>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</si>
  <si>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</si>
  <si>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</si>
  <si>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</si>
  <si>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</si>
  <si>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</si>
  <si>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</si>
  <si>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</si>
  <si>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</si>
  <si>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</si>
  <si>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</si>
  <si>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</si>
  <si>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</si>
  <si>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</si>
  <si>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</si>
  <si>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</si>
  <si>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</si>
  <si>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</si>
  <si>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</si>
  <si>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</si>
  <si>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</si>
  <si>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</si>
  <si>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</si>
  <si>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</si>
  <si>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</si>
  <si>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</si>
  <si>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</si>
  <si>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</si>
  <si>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</si>
  <si>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</si>
  <si>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</si>
  <si>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</si>
  <si>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</si>
  <si>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</si>
  <si>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</si>
  <si>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</si>
  <si>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</si>
  <si>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</si>
  <si>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</si>
  <si>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</si>
  <si>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</si>
  <si>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</si>
  <si>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</si>
  <si>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</si>
  <si>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</si>
  <si>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</si>
  <si>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</si>
  <si>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</si>
  <si>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</si>
  <si>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</si>
  <si>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</si>
  <si>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</si>
  <si>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</si>
  <si>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</si>
  <si>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</si>
  <si>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</si>
  <si>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</si>
  <si>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</si>
  <si>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</si>
  <si>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</si>
  <si>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</si>
  <si>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</si>
  <si>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</si>
  <si>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</si>
  <si>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</si>
  <si>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</si>
  <si>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</si>
  <si>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</si>
  <si>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</si>
  <si>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</si>
  <si>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</si>
  <si>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</si>
  <si>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</si>
  <si>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</si>
  <si>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</si>
  <si>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</si>
  <si>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</si>
  <si>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</si>
  <si>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</si>
  <si>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</si>
  <si>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</si>
  <si>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</si>
  <si>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</si>
  <si>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</si>
  <si>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</si>
  <si>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</si>
  <si>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</si>
  <si>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</si>
  <si>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</si>
  <si>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</si>
  <si>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</si>
  <si>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</si>
  <si>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</si>
  <si>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</si>
  <si>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</si>
  <si>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</si>
  <si>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</si>
  <si>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</si>
  <si>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</si>
  <si>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</si>
  <si>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</si>
  <si>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</si>
  <si>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</si>
  <si>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</si>
  <si>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</si>
  <si>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</si>
  <si>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</si>
  <si>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</si>
  <si>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</si>
  <si>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</si>
  <si>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</si>
  <si>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</si>
  <si>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</si>
  <si>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</si>
  <si>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</si>
  <si>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</si>
  <si>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</si>
  <si>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</si>
  <si>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</si>
  <si>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</si>
  <si>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</si>
  <si>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</si>
  <si>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</si>
  <si>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</si>
  <si>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</si>
  <si>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</si>
  <si>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</si>
  <si>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</si>
  <si>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</si>
  <si>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</si>
  <si>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</si>
  <si>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</si>
  <si>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</si>
  <si>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</si>
  <si>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</si>
  <si>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</si>
  <si>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</si>
  <si>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</si>
  <si>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</si>
  <si>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</si>
  <si>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</si>
  <si>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</si>
  <si>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</si>
  <si>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</si>
  <si>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</si>
  <si>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</si>
  <si>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</si>
  <si>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</si>
  <si>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</si>
  <si>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</si>
  <si>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</si>
  <si>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</si>
  <si>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</si>
  <si>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</si>
  <si>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</si>
  <si>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</si>
  <si>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</si>
  <si>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</si>
  <si>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</si>
  <si>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</si>
  <si>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</si>
  <si>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</si>
  <si>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</si>
  <si>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</si>
  <si>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</si>
  <si>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</si>
  <si>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</si>
  <si>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</si>
  <si>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</si>
  <si>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</si>
  <si>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</si>
  <si>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</si>
  <si>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</si>
  <si>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</si>
  <si>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</si>
  <si>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</si>
  <si>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</si>
  <si>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</si>
  <si>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</si>
  <si>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</si>
  <si>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</si>
  <si>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</si>
  <si>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</si>
  <si>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</si>
  <si>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</si>
  <si>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</si>
  <si>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</si>
  <si>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</si>
  <si>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</si>
  <si>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</si>
  <si>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</si>
  <si>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</si>
  <si>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</si>
  <si>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</si>
  <si>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</si>
  <si>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</si>
  <si>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</si>
  <si>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</si>
  <si>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</si>
  <si>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</si>
  <si>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</si>
  <si>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</si>
  <si>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</si>
  <si>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</si>
  <si>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</si>
  <si>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</si>
  <si>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</si>
  <si>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</si>
  <si>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</si>
  <si>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</si>
  <si>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</si>
  <si>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</si>
  <si>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</si>
  <si>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</si>
  <si>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</si>
  <si>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</si>
  <si>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</si>
  <si>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</si>
  <si>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</si>
  <si>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</si>
  <si>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</si>
  <si>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</si>
  <si>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</si>
  <si>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</si>
  <si>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</si>
  <si>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</si>
  <si>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</si>
  <si>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</si>
  <si>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</si>
  <si>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</si>
  <si>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</si>
  <si>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</si>
  <si>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</si>
  <si>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</si>
  <si>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</si>
  <si>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</si>
  <si>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</si>
  <si>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</si>
  <si>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</si>
  <si>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</si>
  <si>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</si>
  <si>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</si>
  <si>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</si>
  <si>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</si>
  <si>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</si>
  <si>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</si>
  <si>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</si>
  <si>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</si>
  <si>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</si>
  <si>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</si>
  <si>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</si>
  <si>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</si>
  <si>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</si>
  <si>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</si>
  <si>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</si>
  <si>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</si>
  <si>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</si>
  <si>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</si>
  <si>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</si>
  <si>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</si>
  <si>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</si>
  <si>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</si>
  <si>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</si>
  <si>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</si>
  <si>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</si>
  <si>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</si>
  <si>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</si>
  <si>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</si>
  <si>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</si>
  <si>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</si>
  <si>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</si>
  <si>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</si>
  <si>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</si>
  <si>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</si>
  <si>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</si>
  <si>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</si>
  <si>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</si>
  <si>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</si>
  <si>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</si>
  <si>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</si>
  <si>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</si>
  <si>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</si>
  <si>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</si>
  <si>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</si>
  <si>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</si>
  <si>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</si>
  <si>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</si>
  <si>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</si>
  <si>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</si>
  <si>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</si>
  <si>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</si>
  <si>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</si>
  <si>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</si>
  <si>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</si>
  <si>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</si>
  <si>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</si>
  <si>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</si>
  <si>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</si>
  <si>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</si>
  <si>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</si>
  <si>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</si>
  <si>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</si>
  <si>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</si>
  <si>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</si>
  <si>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</si>
  <si>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</si>
  <si>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</si>
  <si>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</si>
  <si>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</si>
  <si>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</si>
  <si>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</si>
  <si>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</si>
  <si>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</si>
  <si>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</si>
  <si>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</si>
  <si>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</si>
  <si>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</si>
  <si>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</si>
  <si>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</si>
  <si>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</si>
  <si>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</si>
  <si>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</si>
  <si>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</si>
  <si>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</si>
  <si>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</si>
  <si>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</si>
  <si>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</si>
  <si>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</si>
  <si>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</si>
  <si>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</si>
  <si>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</si>
  <si>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</si>
  <si>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</si>
  <si>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</si>
  <si>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</si>
  <si>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</si>
  <si>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</si>
  <si>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</si>
  <si>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</si>
  <si>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</si>
  <si>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</si>
  <si>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</si>
  <si>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</si>
  <si>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</si>
  <si>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</si>
  <si>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</si>
  <si>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</si>
  <si>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</si>
  <si>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</si>
  <si>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</si>
  <si>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</si>
  <si>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</si>
  <si>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</si>
  <si>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</si>
  <si>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</si>
  <si>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</si>
  <si>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</si>
  <si>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</si>
  <si>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</si>
  <si>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</si>
  <si>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</si>
  <si>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</si>
  <si>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</si>
  <si>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</si>
  <si>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</si>
  <si>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</si>
  <si>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</si>
  <si>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</si>
  <si>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</si>
  <si>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</si>
  <si>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</si>
  <si>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</si>
  <si>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</si>
  <si>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</si>
  <si>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</si>
  <si>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</si>
  <si>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</si>
  <si>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</si>
  <si>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</si>
  <si>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</si>
  <si>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</si>
  <si>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</si>
  <si>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</si>
  <si>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</si>
  <si>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</si>
  <si>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</si>
  <si>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</si>
  <si>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</si>
  <si>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</si>
  <si>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</si>
  <si>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</si>
  <si>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</si>
  <si>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</si>
  <si>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</si>
  <si>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</si>
  <si>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</si>
  <si>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</si>
  <si>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</si>
  <si>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</si>
  <si>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</si>
  <si>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</si>
  <si>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</si>
  <si>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</si>
  <si>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</si>
  <si>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</si>
  <si>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</si>
  <si>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</si>
  <si>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</si>
  <si>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</si>
  <si>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</si>
  <si>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</si>
  <si>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</si>
  <si>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</si>
  <si>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</si>
  <si>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</si>
  <si>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</si>
  <si>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</si>
  <si>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</si>
  <si>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</si>
  <si>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</si>
  <si>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</si>
  <si>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</si>
  <si>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</si>
  <si>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</si>
  <si>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</si>
  <si>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</si>
  <si>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</si>
  <si>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</si>
  <si>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</si>
  <si>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</si>
  <si>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</si>
  <si>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</si>
  <si>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</si>
  <si>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</si>
  <si>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</si>
  <si>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</si>
  <si>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</si>
  <si>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</si>
  <si>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</si>
  <si>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</si>
  <si>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</si>
  <si>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</si>
  <si>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</si>
  <si>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</si>
  <si>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</si>
  <si>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</si>
  <si>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</si>
  <si>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</si>
  <si>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</si>
  <si>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</si>
  <si>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</si>
  <si>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</si>
  <si>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</si>
  <si>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</si>
  <si>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</si>
  <si>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</si>
  <si>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</si>
  <si>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</si>
  <si>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</si>
  <si>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</si>
  <si>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</si>
  <si>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</si>
  <si>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</si>
  <si>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</si>
  <si>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</si>
  <si>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</si>
  <si>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</si>
  <si>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</si>
  <si>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</si>
  <si>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</si>
  <si>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</si>
  <si>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</si>
  <si>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</si>
  <si>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</si>
  <si>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</si>
  <si>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</si>
  <si>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</si>
  <si>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</si>
  <si>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</si>
  <si>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</si>
  <si>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</si>
  <si>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</si>
  <si>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</si>
  <si>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</si>
  <si>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</si>
  <si>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</si>
  <si>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</si>
  <si>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</si>
  <si>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</si>
  <si>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</si>
  <si>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</si>
  <si>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</si>
  <si>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</si>
  <si>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</si>
  <si>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</si>
  <si>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</si>
  <si>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</si>
  <si>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</si>
  <si>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</si>
  <si>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</si>
  <si>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</si>
  <si>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</si>
  <si>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</si>
  <si>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</si>
  <si>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</si>
  <si>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</si>
  <si>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</si>
  <si>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</si>
  <si>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</si>
  <si>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</si>
  <si>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</si>
  <si>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</si>
  <si>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</si>
  <si>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</si>
  <si>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</si>
  <si>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</si>
  <si>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</si>
  <si>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</si>
  <si>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</si>
  <si>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</si>
  <si>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</si>
  <si>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</si>
  <si>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</si>
  <si>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</si>
  <si>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</si>
  <si>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</si>
  <si>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</si>
  <si>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</si>
  <si>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</si>
  <si>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</si>
  <si>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</si>
  <si>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</si>
  <si>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</si>
  <si>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</si>
  <si>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</si>
  <si>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</si>
  <si>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</si>
  <si>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</si>
  <si>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</si>
  <si>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</si>
  <si>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</si>
  <si>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</si>
  <si>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</si>
  <si>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</si>
  <si>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</si>
  <si>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</si>
  <si>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</si>
  <si>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</si>
  <si>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</si>
  <si>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</si>
  <si>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</si>
  <si>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</si>
  <si>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</si>
  <si>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</si>
  <si>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</si>
  <si>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</si>
  <si>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</si>
  <si>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</si>
  <si>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</si>
  <si>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</si>
  <si>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</si>
  <si>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</si>
  <si>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</si>
  <si>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</si>
  <si>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</si>
  <si>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</si>
  <si>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</si>
  <si>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</si>
  <si>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</si>
  <si>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</si>
  <si>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</si>
  <si>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</si>
  <si>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</si>
  <si>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</si>
  <si>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</si>
  <si>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</si>
  <si>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</si>
  <si>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</si>
  <si>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</si>
  <si>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</si>
  <si>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</si>
  <si>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</si>
  <si>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</si>
  <si>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</si>
  <si>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</si>
  <si>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</si>
  <si>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</si>
  <si>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</si>
  <si>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</si>
  <si>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</si>
  <si>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</si>
  <si>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</si>
  <si>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</si>
  <si>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</si>
  <si>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</si>
  <si>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</si>
  <si>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</si>
  <si>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</si>
  <si>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</si>
  <si>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</si>
  <si>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</si>
  <si>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</si>
  <si>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</si>
  <si>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</si>
  <si>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</si>
  <si>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</si>
  <si>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</si>
  <si>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</si>
  <si>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</si>
  <si>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</si>
  <si>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</si>
  <si>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</si>
  <si>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</si>
  <si>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</si>
  <si>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</si>
  <si>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</si>
  <si>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</si>
  <si>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</si>
  <si>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</si>
  <si>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</si>
  <si>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</si>
  <si>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</si>
  <si>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</si>
  <si>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</si>
  <si>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</si>
  <si>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</si>
  <si>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</si>
  <si>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</si>
  <si>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</si>
  <si>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</si>
  <si>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</si>
  <si>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</si>
  <si>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</si>
  <si>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</si>
  <si>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</si>
  <si>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</si>
  <si>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</si>
  <si>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</si>
  <si>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</si>
  <si>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</si>
  <si>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</si>
  <si>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</si>
  <si>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</si>
  <si>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</si>
  <si>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</si>
  <si>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</si>
  <si>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</si>
  <si>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</si>
  <si>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</si>
  <si>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</si>
  <si>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</si>
  <si>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</si>
  <si>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</si>
  <si>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</si>
  <si>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</si>
  <si>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</si>
  <si>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</si>
  <si>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</si>
  <si>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</si>
  <si>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</si>
  <si>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</si>
  <si>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</si>
  <si>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</si>
  <si>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</si>
  <si>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</si>
  <si>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</si>
  <si>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</si>
  <si>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</si>
  <si>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</si>
  <si>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</si>
  <si>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</si>
  <si>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</si>
  <si>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</si>
  <si>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</si>
  <si>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</si>
  <si>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</si>
  <si>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</si>
  <si>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</si>
  <si>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</si>
  <si>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</si>
  <si>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</si>
  <si>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</si>
  <si>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</si>
  <si>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</si>
  <si>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</si>
  <si>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</si>
  <si>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</si>
  <si>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</si>
  <si>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</si>
  <si>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</si>
  <si>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</si>
  <si>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</si>
  <si>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</si>
  <si>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</si>
  <si>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</si>
  <si>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</si>
  <si>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</si>
  <si>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</si>
  <si>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</si>
  <si>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</si>
  <si>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</si>
  <si>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</si>
  <si>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</si>
  <si>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</si>
  <si>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</si>
  <si>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</si>
  <si>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</si>
  <si>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</si>
  <si>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</si>
  <si>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</si>
  <si>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</si>
  <si>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</si>
  <si>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</si>
  <si>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</si>
  <si>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</si>
  <si>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</si>
  <si>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</si>
  <si>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</si>
  <si>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</si>
  <si>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</si>
  <si>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</si>
  <si>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</si>
  <si>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</si>
  <si>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</si>
  <si>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</si>
  <si>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</si>
  <si>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</si>
  <si>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</si>
  <si>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</si>
  <si>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</si>
  <si>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</si>
  <si>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</si>
  <si>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</si>
  <si>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</si>
  <si>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</si>
  <si>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</si>
  <si>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</si>
  <si>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</si>
  <si>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</si>
  <si>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</si>
  <si>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</si>
  <si>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</si>
  <si>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</si>
  <si>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</si>
  <si>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</si>
  <si>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</si>
  <si>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</si>
  <si>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</si>
  <si>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</si>
  <si>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</si>
  <si>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</si>
  <si>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</si>
  <si>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</si>
  <si>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</si>
  <si>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</si>
  <si>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</si>
  <si>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</si>
  <si>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</si>
  <si>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</si>
  <si>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</si>
  <si>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</si>
  <si>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</si>
  <si>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</si>
  <si>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</si>
  <si>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</si>
  <si>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</si>
  <si>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</si>
  <si>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</si>
  <si>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</si>
  <si>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</si>
  <si>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</si>
  <si>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</si>
  <si>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</si>
  <si>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</si>
  <si>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</si>
  <si>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</si>
  <si>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</si>
  <si>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</si>
  <si>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</si>
  <si>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</si>
  <si>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</si>
  <si>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</si>
  <si>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</si>
  <si>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</si>
  <si>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</si>
  <si>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</si>
  <si>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</si>
  <si>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</si>
  <si>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</si>
  <si>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</si>
  <si>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</si>
  <si>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</si>
  <si>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</si>
  <si>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</si>
  <si>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</si>
  <si>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</si>
  <si>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</si>
  <si>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</si>
  <si>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</si>
  <si>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</si>
  <si>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</si>
  <si>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</si>
  <si>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</si>
  <si>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</si>
  <si>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</si>
  <si>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</si>
  <si>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</si>
  <si>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</si>
  <si>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</si>
  <si>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</si>
  <si>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</si>
  <si>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</si>
  <si>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</si>
  <si>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</si>
  <si>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</si>
  <si>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</si>
  <si>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</si>
  <si>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</si>
  <si>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</si>
  <si>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</si>
  <si>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</si>
  <si>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</si>
  <si>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</si>
  <si>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</si>
  <si>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</si>
  <si>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</si>
  <si>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</si>
  <si>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</si>
  <si>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</si>
  <si>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</si>
  <si>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</si>
  <si>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</si>
  <si>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</si>
  <si>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</si>
  <si>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</si>
  <si>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</si>
  <si>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</si>
  <si>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</si>
  <si>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</si>
  <si>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</si>
  <si>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</si>
  <si>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</si>
  <si>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</si>
  <si>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</si>
  <si>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</si>
  <si>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</si>
  <si>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</si>
  <si>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</si>
  <si>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</si>
  <si>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</si>
  <si>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</si>
  <si>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</si>
  <si>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</si>
  <si>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</si>
  <si>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</si>
  <si>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</si>
  <si>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</si>
  <si>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</si>
  <si>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</si>
  <si>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</si>
  <si>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</si>
  <si>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</si>
  <si>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</si>
  <si>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</si>
  <si>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</si>
  <si>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</si>
  <si>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</si>
  <si>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</si>
  <si>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</si>
  <si>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</si>
  <si>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</si>
  <si>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</si>
  <si>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</si>
  <si>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</si>
  <si>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</si>
  <si>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</si>
  <si>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</si>
  <si>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</si>
  <si>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</si>
  <si>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</si>
  <si>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</si>
  <si>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</si>
  <si>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</si>
  <si>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</si>
  <si>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</si>
  <si>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</si>
  <si>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</si>
  <si>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</si>
  <si>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</si>
  <si>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</si>
  <si>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</si>
  <si>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</si>
  <si>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</si>
  <si>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</si>
  <si>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</si>
  <si>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</si>
  <si>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</si>
  <si>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</si>
  <si>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</si>
  <si>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</si>
  <si>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</si>
  <si>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</si>
  <si>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</si>
  <si>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</si>
  <si>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</si>
  <si>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</si>
  <si>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</si>
  <si>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</si>
  <si>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</si>
  <si>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</si>
  <si>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</si>
  <si>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</si>
  <si>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</si>
  <si>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</si>
  <si>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</si>
  <si>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</si>
  <si>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</si>
  <si>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</si>
  <si>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</si>
  <si>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</si>
  <si>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</si>
  <si>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</si>
  <si>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</si>
  <si>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</si>
  <si>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</si>
  <si>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</si>
  <si>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</si>
  <si>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</si>
  <si>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</si>
  <si>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</si>
  <si>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</si>
  <si>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</si>
  <si>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</si>
  <si>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</si>
  <si>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</si>
  <si>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</si>
  <si>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</si>
  <si>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</si>
  <si>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</si>
  <si>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</si>
  <si>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</si>
  <si>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</si>
  <si>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</si>
  <si>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</si>
  <si>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</si>
  <si>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</si>
  <si>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</si>
  <si>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</si>
  <si>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</si>
  <si>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</si>
  <si>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</si>
  <si>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</si>
  <si>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</si>
  <si>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</si>
  <si>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</si>
  <si>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</si>
  <si>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</si>
  <si>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</si>
  <si>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</si>
  <si>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</si>
  <si>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</si>
  <si>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</si>
  <si>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</si>
  <si>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</si>
  <si>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</si>
  <si>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</si>
  <si>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</si>
  <si>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</si>
  <si>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</si>
  <si>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</si>
  <si>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</si>
  <si>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</si>
  <si>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</si>
  <si>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</si>
  <si>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</si>
  <si>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</si>
  <si>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</si>
  <si>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</si>
  <si>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</si>
  <si>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</si>
  <si>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</si>
  <si>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</si>
  <si>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</si>
  <si>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</si>
  <si>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</si>
  <si>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</si>
  <si>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</si>
  <si>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</si>
  <si>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</si>
  <si>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</si>
  <si>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</si>
  <si>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</si>
  <si>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</si>
  <si>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</si>
  <si>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</si>
  <si>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</si>
  <si>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</si>
  <si>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</si>
  <si>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</si>
  <si>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</si>
  <si>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</si>
  <si>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</si>
  <si>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</si>
  <si>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</si>
  <si>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</si>
  <si>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</si>
  <si>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</si>
  <si>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</si>
  <si>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</si>
  <si>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</si>
  <si>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</si>
  <si>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</si>
  <si>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</si>
  <si>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</si>
  <si>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</si>
  <si>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</si>
  <si>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</si>
  <si>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</si>
  <si>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</si>
  <si>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</si>
  <si>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</si>
  <si>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</si>
  <si>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</si>
  <si>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</si>
  <si>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</si>
  <si>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</si>
  <si>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</si>
  <si>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</si>
  <si>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</si>
  <si>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</si>
  <si>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</si>
  <si>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</si>
  <si>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</si>
  <si>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</si>
  <si>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</si>
  <si>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</si>
  <si>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</si>
  <si>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</si>
  <si>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</si>
  <si>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</si>
  <si>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</si>
  <si>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</si>
  <si>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</si>
  <si>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</si>
  <si>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</si>
  <si>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</si>
  <si>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</si>
  <si>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</si>
  <si>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</si>
  <si>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</si>
  <si>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</si>
  <si>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</si>
  <si>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</si>
  <si>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</si>
  <si>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</si>
  <si>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</si>
  <si>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</si>
  <si>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</si>
  <si>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</si>
  <si>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</si>
  <si>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</si>
  <si>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</si>
  <si>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</si>
  <si>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</si>
  <si>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</si>
  <si>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</si>
  <si>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</si>
  <si>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</si>
  <si>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</si>
  <si>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</si>
  <si>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</si>
  <si>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</si>
  <si>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</si>
  <si>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</si>
  <si>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</si>
  <si>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</si>
  <si>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</si>
  <si>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</si>
  <si>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</si>
  <si>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</si>
  <si>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</si>
  <si>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</si>
  <si>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</si>
  <si>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</si>
  <si>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</si>
  <si>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</si>
  <si>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</si>
  <si>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</si>
  <si>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</si>
  <si>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</si>
  <si>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</si>
  <si>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</si>
  <si>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</si>
  <si>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</si>
  <si>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</si>
  <si>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</si>
  <si>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</si>
  <si>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</si>
  <si>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</si>
  <si>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</si>
  <si>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</si>
  <si>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</si>
  <si>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</si>
  <si>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</si>
  <si>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</si>
  <si>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</si>
  <si>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</si>
  <si>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</si>
  <si>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</si>
  <si>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</si>
  <si>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</si>
  <si>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</si>
  <si>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</si>
  <si>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</si>
  <si>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</si>
  <si>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</si>
  <si>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</si>
  <si>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</si>
  <si>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</si>
  <si>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</si>
  <si>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</si>
  <si>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</si>
  <si>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</si>
  <si>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</si>
  <si>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</si>
  <si>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</si>
  <si>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</si>
  <si>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</si>
  <si>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</si>
  <si>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</si>
  <si>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</si>
  <si>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</si>
  <si>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</si>
  <si>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</si>
  <si>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</si>
  <si>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</si>
  <si>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</si>
  <si>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</si>
  <si>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</si>
  <si>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</si>
  <si>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</si>
  <si>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</si>
  <si>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</si>
  <si>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</si>
  <si>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</si>
  <si>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</si>
  <si>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</si>
  <si>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</si>
  <si>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</si>
  <si>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</si>
  <si>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</si>
  <si>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</si>
  <si>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</si>
  <si>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</si>
  <si>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</si>
  <si>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</si>
  <si>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</si>
  <si>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</si>
  <si>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</si>
  <si>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</si>
  <si>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</si>
  <si>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</si>
  <si>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</si>
  <si>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</si>
  <si>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</si>
  <si>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</si>
  <si>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</si>
  <si>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</si>
  <si>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</si>
  <si>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</si>
  <si>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</si>
  <si>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</si>
  <si>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</si>
  <si>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</si>
  <si>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</si>
  <si>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</si>
  <si>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</si>
  <si>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</si>
  <si>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</si>
  <si>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</si>
  <si>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</si>
  <si>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</si>
  <si>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</si>
  <si>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</si>
  <si>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</si>
  <si>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</si>
  <si>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</si>
  <si>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</si>
  <si>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</si>
  <si>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</si>
  <si>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</si>
  <si>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</si>
  <si>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</si>
  <si>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</si>
  <si>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</si>
  <si>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</si>
  <si>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</si>
  <si>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</si>
  <si>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</si>
  <si>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</si>
  <si>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</si>
  <si>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</si>
  <si>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</si>
  <si>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</si>
  <si>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</si>
  <si>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</si>
  <si>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</si>
  <si>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</si>
  <si>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</si>
  <si>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</si>
  <si>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</si>
  <si>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</si>
  <si>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</si>
  <si>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</si>
  <si>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</si>
  <si>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</si>
  <si>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</si>
  <si>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</si>
  <si>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</si>
  <si>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</si>
  <si>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</si>
  <si>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</si>
  <si>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</si>
  <si>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</si>
  <si>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</si>
  <si>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</si>
  <si>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</si>
  <si>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</si>
  <si>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</si>
  <si>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</si>
  <si>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</si>
  <si>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</si>
  <si>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</si>
  <si>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</si>
  <si>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</si>
  <si>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</si>
  <si>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</si>
  <si>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</si>
  <si>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</si>
  <si>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</si>
  <si>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</si>
  <si>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</si>
  <si>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</si>
  <si>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</si>
  <si>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</si>
  <si>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</si>
  <si>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</si>
  <si>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</si>
  <si>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</si>
  <si>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</si>
  <si>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</si>
  <si>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</si>
  <si>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</si>
  <si>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</si>
  <si>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</si>
  <si>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</si>
  <si>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</si>
  <si>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</si>
  <si>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</si>
  <si>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</si>
  <si>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</si>
  <si>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</si>
  <si>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</si>
  <si>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</si>
  <si>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</si>
  <si>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</si>
  <si>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</si>
  <si>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</si>
  <si>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</si>
  <si>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</si>
  <si>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</si>
  <si>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</si>
  <si>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</si>
  <si>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</si>
  <si>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</si>
  <si>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</si>
  <si>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</si>
  <si>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</si>
  <si>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</si>
  <si>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</si>
  <si>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</si>
  <si>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</si>
  <si>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</si>
  <si>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</si>
  <si>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</si>
  <si>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</si>
  <si>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</si>
  <si>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</si>
  <si>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</si>
  <si>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</si>
  <si>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</si>
  <si>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</si>
  <si>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</si>
  <si>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</si>
  <si>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</si>
  <si>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</si>
  <si>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</si>
  <si>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</si>
  <si>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</si>
  <si>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</si>
  <si>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</si>
  <si>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</si>
  <si>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</si>
  <si>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</si>
  <si>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</si>
  <si>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</si>
  <si>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</si>
  <si>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</si>
  <si>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</si>
  <si>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</si>
  <si>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</si>
  <si>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</si>
  <si>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</si>
  <si>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</si>
  <si>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</si>
  <si>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</si>
  <si>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</si>
  <si>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</si>
  <si>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</si>
  <si>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</si>
  <si>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</si>
  <si>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</si>
  <si>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</si>
  <si>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</si>
  <si>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</si>
  <si>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</si>
  <si>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</si>
  <si>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</si>
  <si>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</si>
  <si>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</si>
  <si>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</si>
  <si>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</si>
  <si>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</si>
  <si>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</si>
  <si>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</si>
  <si>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</si>
  <si>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</si>
  <si>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</si>
  <si>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</si>
  <si>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</si>
  <si>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</si>
  <si>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</si>
  <si>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</si>
  <si>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</si>
  <si>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</si>
  <si>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</si>
  <si>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</si>
  <si>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</si>
  <si>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</si>
  <si>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</si>
  <si>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</si>
  <si>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</si>
  <si>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</si>
  <si>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</si>
  <si>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</si>
  <si>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</si>
  <si>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</si>
  <si>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</si>
  <si>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</si>
  <si>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</si>
  <si>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</si>
  <si>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</si>
  <si>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</si>
  <si>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</si>
  <si>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</si>
  <si>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</si>
  <si>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</si>
  <si>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</si>
  <si>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</si>
  <si>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</si>
  <si>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</si>
  <si>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</si>
  <si>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</si>
  <si>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</si>
  <si>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</si>
  <si>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</si>
  <si>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</si>
  <si>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</si>
  <si>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</si>
  <si>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</si>
  <si>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</si>
  <si>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</si>
  <si>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</si>
  <si>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</si>
  <si>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</si>
  <si>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</si>
  <si>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</si>
  <si>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</si>
  <si>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</si>
  <si>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</si>
  <si>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</si>
  <si>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</si>
  <si>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</si>
  <si>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</si>
  <si>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</si>
  <si>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</si>
  <si>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</si>
  <si>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</si>
  <si>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</si>
  <si>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</si>
  <si>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</si>
  <si>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</si>
  <si>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</si>
  <si>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</si>
  <si>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</si>
  <si>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</si>
  <si>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</si>
  <si>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</si>
  <si>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</si>
  <si>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</si>
  <si>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</si>
  <si>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</si>
  <si>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</si>
  <si>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</si>
  <si>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</si>
  <si>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</si>
  <si>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</si>
  <si>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</si>
  <si>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</si>
  <si>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</si>
  <si>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</si>
  <si>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</si>
  <si>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</si>
  <si>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</si>
  <si>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</si>
  <si>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</si>
  <si>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</si>
  <si>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</si>
  <si>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</si>
  <si>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</si>
  <si>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</si>
  <si>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</si>
  <si>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</si>
  <si>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</si>
  <si>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</si>
  <si>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</si>
  <si>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</si>
  <si>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</si>
  <si>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</si>
  <si>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</si>
  <si>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</si>
  <si>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</si>
  <si>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</si>
  <si>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</si>
  <si>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</si>
  <si>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</si>
  <si>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</si>
  <si>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</si>
  <si>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</si>
  <si>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</si>
  <si>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</si>
  <si>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</si>
  <si>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</si>
  <si>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</si>
  <si>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</si>
  <si>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</si>
  <si>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</si>
  <si>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</si>
  <si>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</si>
  <si>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</si>
  <si>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</si>
  <si>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</si>
  <si>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</si>
  <si>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</si>
  <si>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</si>
  <si>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</si>
  <si>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</si>
  <si>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</si>
  <si>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</si>
  <si>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</si>
  <si>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</si>
  <si>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</si>
  <si>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</si>
  <si>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</si>
  <si>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</si>
  <si>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</si>
  <si>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</si>
  <si>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</si>
  <si>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</si>
  <si>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</si>
  <si>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</si>
  <si>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</si>
  <si>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</si>
  <si>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</si>
  <si>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</si>
  <si>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</si>
  <si>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</si>
  <si>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</si>
  <si>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</si>
  <si>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</si>
  <si>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</si>
  <si>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</si>
  <si>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</si>
  <si>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</si>
  <si>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</si>
  <si>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</si>
  <si>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</si>
  <si>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</si>
  <si>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</si>
  <si>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</si>
  <si>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</si>
  <si>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</si>
  <si>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</si>
  <si>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</si>
  <si>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</si>
  <si>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</si>
  <si>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</si>
  <si>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</si>
  <si>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</si>
  <si>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</si>
  <si>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</si>
  <si>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</si>
  <si>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</si>
  <si>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</si>
  <si>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</si>
  <si>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</si>
  <si>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</si>
  <si>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</si>
  <si>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</si>
  <si>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</si>
  <si>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</si>
  <si>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</si>
  <si>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</si>
  <si>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</si>
  <si>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</si>
  <si>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</si>
  <si>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</si>
  <si>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</si>
  <si>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</si>
  <si>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</si>
  <si>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</si>
  <si>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</si>
  <si>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</si>
  <si>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</si>
  <si>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</si>
  <si>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</si>
  <si>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</si>
  <si>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</si>
  <si>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</si>
  <si>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</si>
  <si>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</si>
  <si>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</si>
  <si>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</si>
  <si>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</si>
  <si>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</si>
  <si>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</si>
  <si>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</si>
  <si>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</si>
  <si>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</si>
  <si>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</si>
  <si>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</si>
  <si>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</si>
  <si>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</si>
  <si>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</si>
  <si>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</si>
  <si>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</si>
  <si>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</si>
  <si>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</si>
  <si>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</si>
  <si>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</si>
  <si>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</si>
  <si>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</si>
  <si>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</si>
  <si>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</si>
  <si>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</si>
  <si>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</si>
  <si>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</si>
  <si>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</si>
  <si>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</si>
  <si>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</si>
  <si>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</si>
  <si>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</si>
  <si>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</si>
  <si>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</si>
  <si>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</si>
  <si>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</si>
  <si>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</si>
  <si>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</si>
  <si>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</si>
  <si>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</si>
  <si>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</si>
  <si>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</si>
  <si>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</si>
  <si>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</si>
  <si>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</si>
  <si>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</si>
  <si>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</si>
  <si>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</si>
  <si>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</si>
  <si>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</si>
  <si>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</si>
  <si>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</si>
  <si>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</si>
  <si>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</si>
  <si>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</si>
  <si>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</si>
  <si>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</si>
  <si>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</si>
  <si>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</si>
  <si>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</si>
  <si>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</si>
  <si>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</si>
  <si>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</si>
  <si>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</si>
  <si>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</si>
  <si>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</si>
  <si>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</si>
  <si>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</si>
  <si>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</si>
  <si>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</si>
  <si>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</si>
  <si>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</si>
  <si>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</si>
  <si>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</si>
  <si>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</si>
  <si>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</si>
  <si>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</si>
  <si>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</si>
  <si>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</si>
  <si>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</si>
  <si>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</si>
  <si>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</si>
  <si>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</si>
  <si>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</si>
  <si>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</si>
  <si>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</si>
  <si>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</si>
  <si>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</si>
  <si>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</si>
  <si>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</si>
  <si>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</si>
  <si>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</si>
  <si>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</si>
  <si>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</si>
  <si>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</si>
  <si>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</si>
  <si>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</si>
  <si>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</si>
  <si>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</si>
  <si>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</si>
  <si>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</si>
  <si>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</si>
  <si>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</si>
  <si>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</si>
  <si>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</si>
  <si>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</si>
  <si>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</si>
  <si>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</si>
  <si>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</si>
  <si>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</si>
  <si>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</si>
  <si>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</si>
  <si>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</si>
  <si>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</si>
  <si>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</si>
  <si>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</si>
  <si>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</si>
  <si>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</si>
  <si>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</si>
  <si>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</si>
  <si>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</si>
  <si>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</si>
  <si>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</si>
  <si>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</si>
  <si>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</si>
  <si>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</si>
  <si>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</si>
  <si>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</si>
  <si>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</si>
  <si>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</si>
  <si>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</si>
  <si>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</si>
  <si>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</si>
  <si>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</si>
  <si>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</si>
  <si>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</si>
  <si>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</si>
  <si>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</si>
  <si>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</si>
  <si>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</si>
  <si>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</si>
  <si>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</si>
  <si>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</si>
  <si>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</si>
  <si>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</si>
  <si>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</si>
  <si>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</si>
  <si>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</si>
  <si>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</si>
  <si>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</si>
  <si>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</si>
  <si>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</si>
  <si>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</si>
  <si>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</si>
  <si>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</si>
  <si>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</si>
  <si>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</si>
  <si>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</si>
  <si>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</si>
  <si>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</si>
  <si>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</si>
  <si>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</si>
  <si>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</si>
  <si>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</si>
  <si>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</si>
  <si>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</si>
  <si>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</si>
  <si>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</si>
  <si>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</si>
  <si>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</si>
  <si>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</si>
  <si>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</si>
  <si>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</si>
  <si>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</si>
  <si>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</si>
  <si>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</si>
  <si>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</si>
  <si>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</si>
  <si>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</si>
  <si>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</si>
  <si>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</si>
  <si>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</si>
  <si>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</si>
  <si>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</si>
  <si>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</si>
  <si>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</si>
  <si>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</si>
  <si>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</si>
  <si>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</si>
  <si>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</si>
  <si>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</si>
  <si>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</si>
  <si>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</si>
  <si>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</si>
  <si>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</si>
  <si>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</si>
  <si>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</si>
  <si>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</si>
  <si>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</si>
  <si>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</si>
  <si>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</si>
  <si>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</si>
  <si>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</si>
  <si>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</si>
  <si>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</si>
  <si>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</si>
  <si>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</si>
  <si>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</si>
  <si>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</si>
  <si>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</si>
  <si>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</si>
  <si>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</si>
  <si>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</si>
  <si>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</si>
  <si>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</si>
  <si>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</si>
  <si>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</si>
  <si>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</si>
  <si>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</si>
  <si>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</si>
  <si>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</si>
  <si>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</si>
  <si>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</si>
  <si>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</si>
  <si>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</si>
  <si>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</si>
  <si>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</si>
  <si>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</si>
  <si>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</si>
  <si>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</si>
  <si>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</si>
  <si>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</si>
  <si>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</si>
  <si>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</si>
  <si>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</si>
  <si>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</si>
  <si>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</si>
  <si>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</si>
  <si>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</si>
  <si>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</si>
  <si>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</si>
  <si>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</si>
  <si>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</si>
  <si>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</si>
  <si>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</si>
  <si>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</si>
  <si>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</si>
  <si>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</si>
  <si>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</si>
  <si>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</si>
  <si>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</si>
  <si>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</si>
  <si>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</si>
  <si>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</si>
  <si>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</si>
  <si>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</si>
  <si>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</si>
  <si>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</si>
  <si>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</si>
  <si>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</si>
  <si>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</si>
  <si>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</si>
  <si>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</si>
  <si>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</si>
  <si>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</si>
  <si>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</si>
  <si>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</si>
  <si>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</si>
  <si>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</si>
  <si>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</si>
  <si>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</si>
  <si>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</si>
  <si>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</si>
  <si>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</si>
  <si>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</si>
  <si>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</si>
  <si>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</si>
  <si>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</si>
  <si>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</si>
  <si>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</si>
  <si>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</si>
  <si>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</si>
  <si>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</si>
  <si>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</si>
  <si>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</si>
  <si>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</si>
  <si>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</si>
  <si>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</si>
  <si>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</si>
  <si>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</si>
  <si>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</si>
  <si>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</si>
  <si>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</si>
  <si>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</si>
  <si>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</si>
  <si>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</si>
  <si>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</si>
  <si>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</si>
  <si>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</si>
  <si>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</si>
  <si>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</si>
  <si>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</si>
  <si>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</si>
  <si>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</si>
  <si>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</si>
  <si>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</si>
  <si>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</si>
  <si>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</si>
  <si>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</si>
  <si>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</si>
  <si>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</si>
  <si>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</si>
  <si>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</si>
  <si>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</si>
  <si>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</si>
  <si>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</si>
  <si>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</si>
  <si>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</si>
  <si>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</si>
  <si>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</si>
  <si>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</si>
  <si>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</si>
  <si>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</si>
  <si>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</si>
  <si>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</si>
  <si>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</si>
  <si>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</si>
  <si>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</si>
  <si>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</si>
  <si>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</si>
  <si>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</si>
  <si>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</si>
  <si>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</si>
  <si>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</si>
  <si>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</si>
  <si>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</si>
  <si>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</si>
  <si>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</si>
  <si>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</si>
  <si>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</si>
  <si>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</si>
  <si>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</si>
  <si>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</si>
  <si>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</si>
  <si>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</si>
  <si>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</si>
  <si>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</si>
  <si>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</si>
  <si>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</si>
  <si>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</si>
  <si>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</si>
  <si>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</si>
  <si>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</si>
  <si>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</si>
  <si>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</si>
  <si>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</si>
  <si>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</si>
  <si>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</si>
  <si>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</si>
  <si>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</si>
  <si>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</si>
  <si>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</si>
  <si>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</si>
  <si>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</si>
  <si>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</si>
  <si>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</si>
  <si>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</si>
  <si>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</si>
  <si>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</si>
  <si>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</si>
  <si>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</si>
  <si>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</si>
  <si>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</si>
  <si>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</si>
  <si>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</si>
  <si>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</si>
  <si>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</si>
  <si>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</si>
  <si>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</si>
  <si>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</si>
  <si>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</si>
  <si>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</si>
  <si>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</si>
  <si>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</si>
  <si>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</si>
  <si>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</si>
  <si>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</si>
  <si>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</si>
  <si>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</si>
  <si>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</si>
  <si>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</si>
  <si>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</si>
  <si>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</si>
  <si>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</si>
  <si>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</si>
  <si>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</si>
  <si>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</si>
  <si>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</si>
  <si>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</si>
  <si>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</si>
  <si>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</si>
  <si>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</si>
  <si>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</si>
  <si>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</si>
  <si>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</si>
  <si>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</si>
  <si>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</si>
  <si>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Uni-Max Management</t>
  </si>
  <si>
    <t>Illinois Energy Consortium</t>
  </si>
  <si>
    <t>Aramark Corpaoration</t>
  </si>
  <si>
    <t>Illinois School District Liquid Asset Fund</t>
  </si>
  <si>
    <t>Aesop (Frontline Technologies); Darien 61 (Technology Director)</t>
  </si>
  <si>
    <t>School Association for Special Education in Dupage</t>
  </si>
  <si>
    <t xml:space="preserve">Southeast DuPage Purchasing Group </t>
  </si>
  <si>
    <t>Salt Purchase with City of Darien</t>
  </si>
  <si>
    <t>There were no findings for the prior year ending June 30, 2019</t>
  </si>
  <si>
    <t>DuPage County</t>
  </si>
  <si>
    <t>699 Plainfield Road</t>
  </si>
  <si>
    <t>Downers Grove</t>
  </si>
  <si>
    <t>ctedeschi@ccsd66.org</t>
  </si>
  <si>
    <t>Andrew Wise</t>
  </si>
  <si>
    <t>awise@ccsd66.org</t>
  </si>
  <si>
    <t>630-783-5155</t>
  </si>
  <si>
    <t>630-910-0980</t>
  </si>
  <si>
    <t>Loans under 105 ILCS 5/10-22.33 are to be approved by the school board prior to the funds being transferred.</t>
  </si>
  <si>
    <t>The Educational, Transportation, and Illinois Municipal Retirement/Social Security Funds had carried a negative cash balance during the year ended June 30, 2020. This negative balance was in a common checking account and covered by available monies in other funds. This loan was not authorized with a motion by the Board of Education.</t>
  </si>
  <si>
    <t>The District made loans to the Educational, Transportation, and Illinois Municipal Retirement/Social Security Funds that were not formally approved by the Board of Education.</t>
  </si>
  <si>
    <t>The negative cash balances created interfund loans to the Educational, Transportation, and Illinois Municipal Retirement/Social Security Funds that were not formally approved by the Board of Education.</t>
  </si>
  <si>
    <t>The cash balances of the Educational, Transportation, and Illinois Municipal Retirement/Social Security Funds were allowed to carry a negative balance during the fiscal year ended June 30, 2020.</t>
  </si>
  <si>
    <t>The Distrcit should monitor the cash balances and make interfund loans, transfers or accounting corrections when needed.</t>
  </si>
  <si>
    <t>The District will monitor cash balances and make any required correcting accounting entiries. If required, the Board of Education will approved interfund loans or transfers as needed.</t>
  </si>
  <si>
    <r>
      <t>CORRECTIVE ACTION PLAN FOR CURRENT YEAR AUDIT FINDINGS</t>
    </r>
    <r>
      <rPr>
        <b/>
        <vertAlign val="superscript"/>
        <sz val="9"/>
        <rFont val="Arial"/>
        <family val="2"/>
      </rPr>
      <t>21</t>
    </r>
  </si>
  <si>
    <t>Year Ending June 30, 2020</t>
  </si>
  <si>
    <t>Corrective Action Plan</t>
  </si>
  <si>
    <t>Finding No.:</t>
  </si>
  <si>
    <t>Condition:</t>
  </si>
  <si>
    <t>Plan:</t>
  </si>
  <si>
    <t>Cash and investment balances of each separate fund will be monitored and interfund loans, permanent transfers or delaying expenditures will be made depending on cash flow needs.</t>
  </si>
  <si>
    <t>Anticipated Date of Completion:</t>
  </si>
  <si>
    <t>July, 2021</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</si>
  <si>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</si>
  <si>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</si>
  <si>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</si>
  <si>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Andrew Wise, Superintendent</t>
  </si>
  <si>
    <t>x</t>
  </si>
  <si>
    <t>2010 GO Debt Certificates</t>
  </si>
  <si>
    <t>2017 GO Bond</t>
  </si>
  <si>
    <t>2018 GO Bond</t>
  </si>
  <si>
    <t>2020 GO Debt Certificates</t>
  </si>
  <si>
    <t>Capital Lease - 2015</t>
  </si>
  <si>
    <t>Capital Lease</t>
  </si>
  <si>
    <t>Single Path</t>
  </si>
  <si>
    <t>Page 10, Line 74: Lunch Management Fees $3,540, Refunds &amp; Reimbursements $52</t>
  </si>
  <si>
    <t>Page 10, Line 81: ePay Registration Fees</t>
  </si>
  <si>
    <t>Page 10, Line 92: Registration Fees</t>
  </si>
  <si>
    <t>Page 11, Line 106: BACC (Before &amp; After Child Care) Fees</t>
  </si>
  <si>
    <t>Page 15, Line 41: Student Supervision Salary and Benefits</t>
  </si>
  <si>
    <t>Page 19, Line 237: Board Paid IMRF, FICA/Medicare</t>
  </si>
  <si>
    <t>Page 24, Line 35: Capital Lease Purchase Payment</t>
  </si>
  <si>
    <t>Page 24, Line 31: Issuance of bonds used to refund the 2010 GO Debt Certificates</t>
  </si>
  <si>
    <t>Page 24, Line 34: Amount refunded from the issuance of the 2020 GO Debt Certificates</t>
  </si>
  <si>
    <t>Part A - 9 - See Finding 2020-001</t>
  </si>
  <si>
    <t>Thomas Peffer, CPA</t>
  </si>
  <si>
    <t>tpeffer@gorenzcpa.com</t>
  </si>
  <si>
    <t>Page 11, Line 107: MacBooks and iPads $755, Election Rent $50, Bank Refund $28</t>
  </si>
  <si>
    <t>ED - Food Services - Supplies</t>
  </si>
  <si>
    <t>O&amp;M - Operations and Maint. - Purchased Services</t>
  </si>
  <si>
    <t>TR - Pupil Transportation Services - Purchased Services</t>
  </si>
  <si>
    <t>Aramark Corporation</t>
  </si>
  <si>
    <t>Single Paath</t>
  </si>
  <si>
    <t>Stratus Networks</t>
  </si>
  <si>
    <t>Sunrise Transportation</t>
  </si>
  <si>
    <t>Operating Leases</t>
  </si>
  <si>
    <t>Capital Leases - Other</t>
  </si>
  <si>
    <t>Page 24, Line 36: Reclassification of Bus Operating Leases</t>
  </si>
  <si>
    <t>See PDF version</t>
  </si>
  <si>
    <t xml:space="preserve">Center Cass SD 66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</si>
</sst>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82550</xdr:colOff>
      <xdr:row>41</xdr:row>
      <xdr:rowOff>25400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2">
        <f>+'AFR20'!E4</f>
        <v>44119</v>
      </c>
      <c r="C1" s="2142"/>
      <c r="D1" s="2143"/>
      <c r="I1" s="2101" t="s">
        <v>402</v>
      </c>
      <c r="J1" s="2102"/>
      <c r="K1" s="2102"/>
      <c r="L1" s="2102"/>
      <c r="M1" s="2102"/>
      <c r="N1" s="2102"/>
      <c r="O1" s="2102"/>
      <c r="P1" s="2102"/>
      <c r="Q1" s="2102"/>
      <c r="R1" s="2102"/>
      <c r="S1" s="2102"/>
    </row>
    <row r="2" spans="1:32" ht="12" customHeight="1" x14ac:dyDescent="0.2">
      <c r="A2" s="1831" t="str">
        <f>"Due to ISBE on "</f>
        <v xml:space="preserve">Due to ISBE on </v>
      </c>
      <c r="B2" s="2144">
        <f>+'AFR20'!F4</f>
        <v>44151</v>
      </c>
      <c r="C2" s="2144"/>
      <c r="D2" s="2145"/>
      <c r="I2" s="2103" t="s">
        <v>2003</v>
      </c>
      <c r="J2" s="2102"/>
      <c r="K2" s="2102"/>
      <c r="L2" s="2102"/>
      <c r="M2" s="2102"/>
      <c r="N2" s="2102"/>
      <c r="O2" s="2102"/>
      <c r="P2" s="2102"/>
      <c r="Q2" s="2102"/>
      <c r="R2" s="2102"/>
      <c r="S2" s="2102"/>
    </row>
    <row r="3" spans="1:32" ht="12" customHeight="1" x14ac:dyDescent="0.2">
      <c r="A3" s="1834" t="str">
        <f>"SD/JA"&amp;MID('AFR20'!E2,3,2)</f>
        <v>SD/JA20</v>
      </c>
      <c r="B3" s="151"/>
      <c r="C3" s="151"/>
      <c r="D3" s="152"/>
      <c r="I3" s="2103" t="s">
        <v>52</v>
      </c>
      <c r="J3" s="2102"/>
      <c r="K3" s="2102"/>
      <c r="L3" s="2102"/>
      <c r="M3" s="2102"/>
      <c r="N3" s="2102"/>
      <c r="O3" s="2102"/>
      <c r="P3" s="2102"/>
      <c r="Q3" s="2102"/>
      <c r="R3" s="2102"/>
      <c r="S3" s="2102"/>
    </row>
    <row r="4" spans="1:32" ht="12" customHeight="1" x14ac:dyDescent="0.2">
      <c r="A4" s="37"/>
      <c r="I4" s="2103" t="s">
        <v>521</v>
      </c>
      <c r="J4" s="2102"/>
      <c r="K4" s="2102"/>
      <c r="L4" s="2102"/>
      <c r="M4" s="2102"/>
      <c r="N4" s="2102"/>
      <c r="O4" s="2102"/>
      <c r="P4" s="2102"/>
      <c r="Q4" s="2102"/>
      <c r="R4" s="2102"/>
      <c r="S4" s="2102"/>
    </row>
    <row r="5" spans="1:32" ht="14.1" customHeight="1" x14ac:dyDescent="0.2">
      <c r="B5" s="101" t="s">
        <v>2051</v>
      </c>
      <c r="C5" s="26" t="s">
        <v>904</v>
      </c>
      <c r="D5" s="81"/>
      <c r="E5" s="81"/>
      <c r="H5" s="38"/>
      <c r="I5" s="2111" t="s">
        <v>675</v>
      </c>
      <c r="J5" s="2110"/>
      <c r="K5" s="2110"/>
      <c r="L5" s="2110"/>
      <c r="M5" s="2110"/>
      <c r="N5" s="2110"/>
      <c r="O5" s="2110"/>
      <c r="P5" s="2110"/>
      <c r="Q5" s="2110"/>
      <c r="R5" s="2110"/>
      <c r="S5" s="2110"/>
      <c r="AF5" s="1827"/>
    </row>
    <row r="6" spans="1:32" ht="14.1" customHeight="1" x14ac:dyDescent="0.2">
      <c r="B6" s="101"/>
      <c r="C6" s="26" t="s">
        <v>905</v>
      </c>
      <c r="D6" s="81"/>
      <c r="E6" s="81"/>
      <c r="I6" s="2109" t="s">
        <v>877</v>
      </c>
      <c r="J6" s="2110"/>
      <c r="K6" s="2110"/>
      <c r="L6" s="2110"/>
      <c r="M6" s="2110"/>
      <c r="N6" s="2110"/>
      <c r="O6" s="2110"/>
      <c r="P6" s="2110"/>
      <c r="Q6" s="2110"/>
      <c r="R6" s="2110"/>
      <c r="S6" s="2110"/>
    </row>
    <row r="7" spans="1:32" ht="12.2" customHeight="1" x14ac:dyDescent="0.2">
      <c r="I7" s="2104" t="str">
        <f>"June 30, "&amp;'AFR20'!E2</f>
        <v>June 30, 2020</v>
      </c>
      <c r="J7" s="2105"/>
      <c r="K7" s="2105"/>
      <c r="L7" s="2105"/>
      <c r="M7" s="2105"/>
      <c r="N7" s="2105"/>
      <c r="O7" s="2105"/>
      <c r="P7" s="2105"/>
      <c r="Q7" s="2105"/>
      <c r="R7" s="2105"/>
      <c r="S7" s="210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6" t="s">
        <v>669</v>
      </c>
      <c r="J9" s="2107"/>
      <c r="K9" s="2107"/>
      <c r="L9" s="2107"/>
      <c r="M9" s="2107"/>
      <c r="N9" s="2107"/>
      <c r="O9" s="2107"/>
      <c r="P9" s="2107"/>
      <c r="Q9" s="2107"/>
      <c r="R9" s="2107"/>
      <c r="S9" s="2108"/>
      <c r="T9" s="2159" t="s">
        <v>530</v>
      </c>
      <c r="U9" s="2160"/>
      <c r="V9" s="2160"/>
      <c r="W9" s="2160"/>
      <c r="X9" s="2160"/>
      <c r="Y9" s="2160"/>
      <c r="Z9" s="2160"/>
      <c r="AA9" s="2161"/>
    </row>
    <row r="10" spans="1:32" ht="13.5" customHeight="1" x14ac:dyDescent="0.2">
      <c r="A10" s="2166" t="s">
        <v>670</v>
      </c>
      <c r="B10" s="2167"/>
      <c r="C10" s="2167"/>
      <c r="D10" s="2167"/>
      <c r="E10" s="2167"/>
      <c r="F10" s="2167"/>
      <c r="G10" s="2167"/>
      <c r="H10" s="2168"/>
      <c r="I10" s="29"/>
      <c r="J10" s="30"/>
      <c r="K10" s="28"/>
      <c r="R10" s="30"/>
      <c r="S10" s="30"/>
      <c r="T10" s="2162"/>
      <c r="U10" s="2110"/>
      <c r="V10" s="2110"/>
      <c r="W10" s="2110"/>
      <c r="X10" s="2110"/>
      <c r="Y10" s="2110"/>
      <c r="Z10" s="2110"/>
      <c r="AA10" s="2116"/>
    </row>
    <row r="11" spans="1:32" ht="14.25" customHeight="1" x14ac:dyDescent="0.2">
      <c r="A11" s="2169" t="s">
        <v>949</v>
      </c>
      <c r="B11" s="2170"/>
      <c r="C11" s="2170"/>
      <c r="D11" s="2170"/>
      <c r="E11" s="2170"/>
      <c r="F11" s="2170"/>
      <c r="G11" s="2170"/>
      <c r="H11" s="2171"/>
      <c r="I11" s="27"/>
      <c r="J11" s="71"/>
      <c r="K11" s="27"/>
      <c r="O11" s="144" t="s">
        <v>2051</v>
      </c>
      <c r="P11" s="97" t="s">
        <v>199</v>
      </c>
      <c r="Q11" s="30"/>
      <c r="R11" s="28"/>
      <c r="S11" s="27"/>
      <c r="T11" s="2163"/>
      <c r="U11" s="2164"/>
      <c r="V11" s="2164"/>
      <c r="W11" s="2164"/>
      <c r="X11" s="2164"/>
      <c r="Y11" s="2164"/>
      <c r="Z11" s="2164"/>
      <c r="AA11" s="216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2">
        <v>19022066002</v>
      </c>
      <c r="B13" s="2123"/>
      <c r="C13" s="2123"/>
      <c r="D13" s="2123"/>
      <c r="E13" s="2123"/>
      <c r="F13" s="2123"/>
      <c r="G13" s="2123"/>
      <c r="H13" s="2124"/>
      <c r="I13" s="31"/>
      <c r="J13" s="30"/>
      <c r="K13" s="28"/>
      <c r="L13" s="30"/>
      <c r="M13" s="30"/>
      <c r="N13" s="30"/>
      <c r="O13" s="30"/>
      <c r="P13" s="30"/>
      <c r="Q13" s="30"/>
      <c r="R13" s="30"/>
      <c r="S13" s="30"/>
      <c r="T13" s="2128" t="s">
        <v>2052</v>
      </c>
      <c r="U13" s="2129"/>
      <c r="V13" s="2129"/>
      <c r="W13" s="2129"/>
      <c r="X13" s="2129"/>
      <c r="Y13" s="2130"/>
      <c r="Z13" s="2130"/>
      <c r="AA13" s="213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5" t="s">
        <v>2069</v>
      </c>
      <c r="B15" s="2126"/>
      <c r="C15" s="2126"/>
      <c r="D15" s="2126"/>
      <c r="E15" s="2126"/>
      <c r="F15" s="2126"/>
      <c r="G15" s="2126"/>
      <c r="H15" s="2127"/>
      <c r="T15" s="2132" t="s">
        <v>2115</v>
      </c>
      <c r="U15" s="2089"/>
      <c r="V15" s="2089"/>
      <c r="W15" s="2089"/>
      <c r="X15" s="2089"/>
      <c r="Y15" s="2133"/>
      <c r="Z15" s="2133"/>
      <c r="AA15" s="213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5" t="s">
        <v>2129</v>
      </c>
      <c r="B17" s="2096"/>
      <c r="C17" s="2096"/>
      <c r="D17" s="2096"/>
      <c r="E17" s="2096"/>
      <c r="F17" s="2096"/>
      <c r="G17" s="2096"/>
      <c r="H17" s="2121"/>
      <c r="T17" s="2139" t="s">
        <v>2053</v>
      </c>
      <c r="U17" s="2140"/>
      <c r="V17" s="2140"/>
      <c r="W17" s="2140"/>
      <c r="X17" s="2140"/>
      <c r="Y17" s="2140"/>
      <c r="Z17" s="2140"/>
      <c r="AA17" s="2141"/>
    </row>
    <row r="18" spans="1:27" ht="13.5" customHeight="1" x14ac:dyDescent="0.2">
      <c r="A18" s="82" t="s">
        <v>527</v>
      </c>
      <c r="B18" s="73"/>
      <c r="C18" s="69"/>
      <c r="D18" s="73"/>
      <c r="E18" s="73"/>
      <c r="F18" s="73"/>
      <c r="G18" s="73"/>
      <c r="H18" s="53"/>
      <c r="I18" s="2120" t="s">
        <v>671</v>
      </c>
      <c r="J18" s="2071"/>
      <c r="K18" s="2071"/>
      <c r="L18" s="2071"/>
      <c r="M18" s="2071"/>
      <c r="N18" s="2071"/>
      <c r="O18" s="2071"/>
      <c r="P18" s="2071"/>
      <c r="Q18" s="2071"/>
      <c r="R18" s="2071"/>
      <c r="S18" s="2072"/>
      <c r="T18" s="82" t="s">
        <v>706</v>
      </c>
      <c r="U18" s="48"/>
      <c r="V18" s="69"/>
      <c r="W18" s="47"/>
      <c r="X18" s="82" t="s">
        <v>264</v>
      </c>
      <c r="Y18" s="78"/>
      <c r="Z18" s="154" t="s">
        <v>672</v>
      </c>
      <c r="AA18" s="44"/>
    </row>
    <row r="19" spans="1:27" ht="13.5" customHeight="1" x14ac:dyDescent="0.2">
      <c r="A19" s="2125" t="s">
        <v>2070</v>
      </c>
      <c r="B19" s="2081"/>
      <c r="C19" s="2081"/>
      <c r="D19" s="2081"/>
      <c r="E19" s="2081"/>
      <c r="F19" s="2081"/>
      <c r="G19" s="2081"/>
      <c r="H19" s="2061"/>
      <c r="I19" s="30"/>
      <c r="J19" s="96"/>
      <c r="K19" s="40"/>
      <c r="L19" s="38"/>
      <c r="M19" s="109" t="s">
        <v>312</v>
      </c>
      <c r="P19" s="27"/>
      <c r="Q19" s="27"/>
      <c r="R19" s="27"/>
      <c r="S19" s="31"/>
      <c r="T19" s="2125" t="s">
        <v>2054</v>
      </c>
      <c r="U19" s="2060"/>
      <c r="V19" s="2060"/>
      <c r="W19" s="2061"/>
      <c r="X19" s="2137" t="s">
        <v>2055</v>
      </c>
      <c r="Y19" s="2138"/>
      <c r="Z19" s="2135">
        <v>61614</v>
      </c>
      <c r="AA19" s="213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9" t="s">
        <v>2071</v>
      </c>
      <c r="B21" s="2060"/>
      <c r="C21" s="2060"/>
      <c r="D21" s="2060"/>
      <c r="E21" s="2060"/>
      <c r="F21" s="2060"/>
      <c r="G21" s="2060"/>
      <c r="H21" s="2061"/>
      <c r="I21" s="2115" t="s">
        <v>673</v>
      </c>
      <c r="J21" s="2110"/>
      <c r="K21" s="2110"/>
      <c r="L21" s="2110"/>
      <c r="M21" s="2110"/>
      <c r="N21" s="2110"/>
      <c r="O21" s="2110"/>
      <c r="P21" s="2110"/>
      <c r="Q21" s="2110"/>
      <c r="R21" s="2110"/>
      <c r="S21" s="2116"/>
      <c r="T21" s="2150" t="s">
        <v>2056</v>
      </c>
      <c r="U21" s="2151"/>
      <c r="V21" s="2151"/>
      <c r="W21" s="2151"/>
      <c r="X21" s="2156" t="s">
        <v>2057</v>
      </c>
      <c r="Y21" s="2157"/>
      <c r="Z21" s="2157"/>
      <c r="AA21" s="2158"/>
    </row>
    <row r="22" spans="1:27" ht="13.5" customHeight="1" x14ac:dyDescent="0.2">
      <c r="A22" s="84" t="s">
        <v>528</v>
      </c>
      <c r="B22" s="56"/>
      <c r="C22" s="56"/>
      <c r="D22" s="56"/>
      <c r="E22" s="56"/>
      <c r="F22" s="56"/>
      <c r="G22" s="56"/>
      <c r="H22" s="57"/>
      <c r="I22" s="2117" t="s">
        <v>1412</v>
      </c>
      <c r="J22" s="2118"/>
      <c r="K22" s="2118"/>
      <c r="L22" s="2118"/>
      <c r="M22" s="2118"/>
      <c r="N22" s="2118"/>
      <c r="O22" s="2118"/>
      <c r="P22" s="2118"/>
      <c r="Q22" s="2118"/>
      <c r="R22" s="2118"/>
      <c r="S22" s="2119"/>
      <c r="T22" s="82" t="s">
        <v>1499</v>
      </c>
      <c r="U22" s="48"/>
      <c r="V22" s="69"/>
      <c r="W22" s="48"/>
      <c r="X22" s="155" t="s">
        <v>1307</v>
      </c>
      <c r="Z22" s="43"/>
      <c r="AA22" s="44"/>
    </row>
    <row r="23" spans="1:27" ht="13.5" customHeight="1" x14ac:dyDescent="0.2">
      <c r="A23" s="2112" t="s">
        <v>2072</v>
      </c>
      <c r="B23" s="2113"/>
      <c r="C23" s="2113"/>
      <c r="D23" s="2113"/>
      <c r="E23" s="2113"/>
      <c r="F23" s="2113"/>
      <c r="G23" s="2113"/>
      <c r="H23" s="2114"/>
      <c r="T23" s="2095" t="s">
        <v>2058</v>
      </c>
      <c r="U23" s="2149"/>
      <c r="V23" s="2149"/>
      <c r="W23" s="2149"/>
      <c r="X23" s="2153">
        <v>44501</v>
      </c>
      <c r="Y23" s="2154"/>
      <c r="Z23" s="2154"/>
      <c r="AA23" s="2155"/>
    </row>
    <row r="24" spans="1:27" ht="14.1" customHeight="1" x14ac:dyDescent="0.2">
      <c r="A24" s="85" t="s">
        <v>672</v>
      </c>
      <c r="B24" s="46"/>
      <c r="C24" s="46"/>
      <c r="D24" s="46"/>
      <c r="E24" s="46"/>
      <c r="F24" s="46"/>
      <c r="G24" s="46"/>
      <c r="H24" s="58"/>
      <c r="J24" s="2082">
        <f>IF(B5="x",IF(AUDITCHECK!D29="AFR form Incomplete.","",IF(AUDITCHECK!D29="Deficit reduction plan is required.","School District must complete a deficit reduction plan in the 2020-2021 Budget",)),"")</f>
        <v>0</v>
      </c>
      <c r="K24" s="2082"/>
      <c r="L24" s="2082"/>
      <c r="M24" s="2082"/>
      <c r="N24" s="2082"/>
      <c r="O24" s="2082"/>
      <c r="P24" s="2082"/>
      <c r="Q24" s="2082"/>
      <c r="R24" s="2082"/>
      <c r="S24" s="2083"/>
      <c r="T24" s="102" t="s">
        <v>528</v>
      </c>
      <c r="U24" s="103"/>
      <c r="V24" s="103"/>
      <c r="W24" s="103"/>
      <c r="X24" s="104"/>
      <c r="Y24" s="104"/>
      <c r="Z24" s="104"/>
      <c r="AA24" s="105"/>
    </row>
    <row r="25" spans="1:27" ht="14.1" customHeight="1" x14ac:dyDescent="0.2">
      <c r="A25" s="2059">
        <v>60516</v>
      </c>
      <c r="B25" s="2060"/>
      <c r="C25" s="2060"/>
      <c r="D25" s="2060"/>
      <c r="E25" s="2060"/>
      <c r="F25" s="2060"/>
      <c r="G25" s="2060"/>
      <c r="H25" s="2061"/>
      <c r="I25" s="110"/>
      <c r="J25" s="2084"/>
      <c r="K25" s="2084"/>
      <c r="L25" s="2084"/>
      <c r="M25" s="2084"/>
      <c r="N25" s="2084"/>
      <c r="O25" s="2084"/>
      <c r="P25" s="2084"/>
      <c r="Q25" s="2084"/>
      <c r="R25" s="2084"/>
      <c r="S25" s="2085"/>
      <c r="T25" s="2146" t="s">
        <v>2116</v>
      </c>
      <c r="U25" s="2147"/>
      <c r="V25" s="2147"/>
      <c r="W25" s="2147"/>
      <c r="X25" s="2147"/>
      <c r="Y25" s="2147"/>
      <c r="Z25" s="2147"/>
      <c r="AA25" s="21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0" t="s">
        <v>1494</v>
      </c>
      <c r="J27" s="2071"/>
      <c r="K27" s="2071"/>
      <c r="L27" s="2071"/>
      <c r="M27" s="2071"/>
      <c r="N27" s="2071"/>
      <c r="O27" s="2071"/>
      <c r="P27" s="2071"/>
      <c r="Q27" s="2071"/>
      <c r="R27" s="2071"/>
      <c r="S27" s="207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2051</v>
      </c>
      <c r="C29" s="121" t="s">
        <v>815</v>
      </c>
      <c r="D29" s="111"/>
      <c r="E29" s="133"/>
      <c r="F29" s="137" t="s">
        <v>1305</v>
      </c>
      <c r="G29" s="111"/>
      <c r="I29" s="51"/>
      <c r="J29" s="99"/>
      <c r="K29" s="28" t="s">
        <v>572</v>
      </c>
      <c r="L29" s="144" t="s">
        <v>2097</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2097</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2097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1"/>
      <c r="Q35" s="2060"/>
      <c r="R35" s="206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5" t="s">
        <v>2073</v>
      </c>
      <c r="B38" s="2096"/>
      <c r="C38" s="2096"/>
      <c r="D38" s="2096"/>
      <c r="E38" s="2096"/>
      <c r="F38" s="2060"/>
      <c r="G38" s="2060"/>
      <c r="H38" s="2061"/>
      <c r="I38" s="2088"/>
      <c r="J38" s="2089"/>
      <c r="K38" s="2089"/>
      <c r="L38" s="2089"/>
      <c r="M38" s="2089"/>
      <c r="N38" s="2089"/>
      <c r="O38" s="2089"/>
      <c r="P38" s="2090"/>
      <c r="Q38" s="2090"/>
      <c r="R38" s="2090"/>
      <c r="S38" s="2091"/>
      <c r="T38" s="2132"/>
      <c r="U38" s="2089"/>
      <c r="V38" s="2089"/>
      <c r="W38" s="2089"/>
      <c r="X38" s="2090"/>
      <c r="Y38" s="2090"/>
      <c r="Z38" s="2090"/>
      <c r="AA38" s="2091"/>
    </row>
    <row r="39" spans="1:27" ht="12" customHeight="1" x14ac:dyDescent="0.2">
      <c r="A39" s="2065" t="s">
        <v>528</v>
      </c>
      <c r="B39" s="2066"/>
      <c r="C39" s="69"/>
      <c r="D39" s="66"/>
      <c r="E39" s="66"/>
      <c r="F39" s="76"/>
      <c r="G39" s="66"/>
      <c r="H39" s="53"/>
      <c r="I39" s="2065" t="s">
        <v>528</v>
      </c>
      <c r="J39" s="2066"/>
      <c r="K39" s="2066"/>
      <c r="L39" s="2066"/>
      <c r="M39" s="2066"/>
      <c r="N39" s="64"/>
      <c r="O39" s="69"/>
      <c r="P39" s="69"/>
      <c r="Q39" s="75"/>
      <c r="R39" s="69"/>
      <c r="S39" s="53"/>
      <c r="T39" s="69" t="s">
        <v>528</v>
      </c>
      <c r="U39" s="48"/>
      <c r="V39" s="69"/>
      <c r="W39" s="47"/>
      <c r="X39" s="75"/>
      <c r="Y39" s="43"/>
      <c r="Z39" s="43"/>
      <c r="AA39" s="44"/>
    </row>
    <row r="40" spans="1:27" ht="13.5" customHeight="1" x14ac:dyDescent="0.2">
      <c r="A40" s="2073" t="s">
        <v>2074</v>
      </c>
      <c r="B40" s="2074"/>
      <c r="C40" s="2075"/>
      <c r="D40" s="2075"/>
      <c r="E40" s="2075"/>
      <c r="F40" s="2076"/>
      <c r="G40" s="2076"/>
      <c r="H40" s="2077"/>
      <c r="I40" s="2098"/>
      <c r="J40" s="2099"/>
      <c r="K40" s="2099"/>
      <c r="L40" s="2099"/>
      <c r="M40" s="2099"/>
      <c r="N40" s="2099"/>
      <c r="O40" s="2099"/>
      <c r="P40" s="2099"/>
      <c r="Q40" s="2099"/>
      <c r="R40" s="2099"/>
      <c r="S40" s="2100"/>
      <c r="T40" s="2098"/>
      <c r="U40" s="2152"/>
      <c r="V40" s="2099"/>
      <c r="W40" s="2099"/>
      <c r="X40" s="2099"/>
      <c r="Y40" s="2099"/>
      <c r="Z40" s="2099"/>
      <c r="AA40" s="210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7" t="s">
        <v>2075</v>
      </c>
      <c r="B42" s="2079"/>
      <c r="C42" s="2080"/>
      <c r="D42" s="2078" t="s">
        <v>2076</v>
      </c>
      <c r="E42" s="2079"/>
      <c r="F42" s="2079"/>
      <c r="G42" s="2079"/>
      <c r="H42" s="2080"/>
      <c r="I42" s="2062"/>
      <c r="J42" s="2063"/>
      <c r="K42" s="2063"/>
      <c r="L42" s="2063"/>
      <c r="M42" s="2063"/>
      <c r="N42" s="2063"/>
      <c r="O42" s="2064"/>
      <c r="P42" s="2097"/>
      <c r="Q42" s="2063"/>
      <c r="R42" s="2063"/>
      <c r="S42" s="2064"/>
      <c r="T42" s="2062"/>
      <c r="U42" s="2063"/>
      <c r="V42" s="2063"/>
      <c r="W42" s="2064"/>
      <c r="X42" s="2097"/>
      <c r="Y42" s="2063"/>
      <c r="Z42" s="2063"/>
      <c r="AA42" s="206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2"/>
      <c r="B44" s="2093"/>
      <c r="C44" s="2093"/>
      <c r="D44" s="2093"/>
      <c r="E44" s="2093"/>
      <c r="F44" s="2093"/>
      <c r="G44" s="2093"/>
      <c r="H44" s="2094"/>
      <c r="I44" s="2067"/>
      <c r="J44" s="2068"/>
      <c r="K44" s="2068"/>
      <c r="L44" s="2068"/>
      <c r="M44" s="2068"/>
      <c r="N44" s="2068"/>
      <c r="O44" s="2068"/>
      <c r="P44" s="2068"/>
      <c r="Q44" s="2068"/>
      <c r="R44" s="2068"/>
      <c r="S44" s="2069"/>
      <c r="T44" s="2067"/>
      <c r="U44" s="2086"/>
      <c r="V44" s="2086"/>
      <c r="W44" s="2086"/>
      <c r="X44" s="2086"/>
      <c r="Y44" s="2086"/>
      <c r="Z44" s="2068"/>
      <c r="AA44" s="206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1"/>
      <c r="B3" s="1294"/>
      <c r="C3" s="1295"/>
      <c r="D3" s="1296" t="s">
        <v>254</v>
      </c>
      <c r="E3" s="1295"/>
      <c r="F3" s="1296" t="s">
        <v>255</v>
      </c>
    </row>
    <row r="4" spans="1:8" ht="13.7" customHeight="1" x14ac:dyDescent="0.2">
      <c r="A4" s="579" t="s">
        <v>1145</v>
      </c>
      <c r="B4" s="1721">
        <f>'Revenues 9-14'!C5</f>
        <v>10232650</v>
      </c>
      <c r="C4" s="1722">
        <v>5298227</v>
      </c>
      <c r="D4" s="1723">
        <f>B4-C4</f>
        <v>4934423</v>
      </c>
      <c r="E4" s="1722">
        <v>10381131</v>
      </c>
      <c r="F4" s="1723">
        <f>E4-C4</f>
        <v>5082904</v>
      </c>
    </row>
    <row r="5" spans="1:8" ht="13.7" customHeight="1" x14ac:dyDescent="0.2">
      <c r="A5" s="579" t="s">
        <v>865</v>
      </c>
      <c r="B5" s="1724">
        <f>'Revenues 9-14'!D5</f>
        <v>853294</v>
      </c>
      <c r="C5" s="1664">
        <v>415877</v>
      </c>
      <c r="D5" s="1725">
        <f t="shared" ref="D5:D18" si="0">B5-C5</f>
        <v>437417</v>
      </c>
      <c r="E5" s="1664">
        <v>814853</v>
      </c>
      <c r="F5" s="1725">
        <f>E5-C5</f>
        <v>398976</v>
      </c>
    </row>
    <row r="6" spans="1:8" ht="13.7" customHeight="1" x14ac:dyDescent="0.2">
      <c r="A6" s="579" t="s">
        <v>408</v>
      </c>
      <c r="B6" s="1724">
        <f>'Revenues 9-14'!E5</f>
        <v>939805</v>
      </c>
      <c r="C6" s="1664">
        <v>478520</v>
      </c>
      <c r="D6" s="1725">
        <f t="shared" si="0"/>
        <v>461285</v>
      </c>
      <c r="E6" s="1664">
        <v>937592</v>
      </c>
      <c r="F6" s="1725">
        <f t="shared" ref="F6:F18" si="1">E6-C6</f>
        <v>459072</v>
      </c>
    </row>
    <row r="7" spans="1:8" ht="13.7" customHeight="1" x14ac:dyDescent="0.2">
      <c r="A7" s="579" t="s">
        <v>154</v>
      </c>
      <c r="B7" s="1724">
        <f>'Revenues 9-14'!F5</f>
        <v>641284</v>
      </c>
      <c r="C7" s="1664">
        <v>343954</v>
      </c>
      <c r="D7" s="1725">
        <f t="shared" si="0"/>
        <v>297330</v>
      </c>
      <c r="E7" s="1664">
        <v>673930</v>
      </c>
      <c r="F7" s="1725">
        <f t="shared" si="1"/>
        <v>329976</v>
      </c>
    </row>
    <row r="8" spans="1:8" ht="13.7" customHeight="1" x14ac:dyDescent="0.2">
      <c r="A8" s="579" t="s">
        <v>1169</v>
      </c>
      <c r="B8" s="1724">
        <f>'Revenues 9-14'!G5</f>
        <v>191518</v>
      </c>
      <c r="C8" s="1664">
        <v>99474</v>
      </c>
      <c r="D8" s="1725">
        <f t="shared" si="0"/>
        <v>92044</v>
      </c>
      <c r="E8" s="1664">
        <v>194905</v>
      </c>
      <c r="F8" s="1725">
        <f t="shared" si="1"/>
        <v>95431</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39311</v>
      </c>
      <c r="C10" s="1664">
        <v>19721</v>
      </c>
      <c r="D10" s="1725">
        <f t="shared" si="0"/>
        <v>19590</v>
      </c>
      <c r="E10" s="1664">
        <v>38640</v>
      </c>
      <c r="F10" s="1725">
        <f t="shared" si="1"/>
        <v>18919</v>
      </c>
    </row>
    <row r="11" spans="1:8" x14ac:dyDescent="0.2">
      <c r="A11" s="579" t="s">
        <v>406</v>
      </c>
      <c r="B11" s="1724">
        <f>'Revenues 9-14'!J5</f>
        <v>0</v>
      </c>
      <c r="C11" s="1664">
        <v>0</v>
      </c>
      <c r="D11" s="1725">
        <f t="shared" si="0"/>
        <v>0</v>
      </c>
      <c r="E11" s="1664">
        <v>0</v>
      </c>
      <c r="F11" s="1725">
        <f t="shared" si="1"/>
        <v>0</v>
      </c>
    </row>
    <row r="12" spans="1:8" ht="13.7" customHeight="1" x14ac:dyDescent="0.2">
      <c r="A12" s="579" t="s">
        <v>156</v>
      </c>
      <c r="B12" s="1724">
        <f>'Revenues 9-14'!K5</f>
        <v>0</v>
      </c>
      <c r="C12" s="1664">
        <v>0</v>
      </c>
      <c r="D12" s="1725">
        <f t="shared" si="0"/>
        <v>0</v>
      </c>
      <c r="E12" s="1664">
        <v>0</v>
      </c>
      <c r="F12" s="1725">
        <f t="shared" si="1"/>
        <v>0</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0</v>
      </c>
      <c r="C14" s="1664">
        <v>0</v>
      </c>
      <c r="D14" s="1725">
        <f t="shared" si="0"/>
        <v>0</v>
      </c>
      <c r="E14" s="1664">
        <v>0</v>
      </c>
      <c r="F14" s="1725">
        <f t="shared" si="1"/>
        <v>0</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293659</v>
      </c>
      <c r="C16" s="1664">
        <v>141236</v>
      </c>
      <c r="D16" s="1725">
        <f t="shared" si="0"/>
        <v>152423</v>
      </c>
      <c r="E16" s="1664">
        <v>276732</v>
      </c>
      <c r="F16" s="1725">
        <f t="shared" si="1"/>
        <v>135496</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13191521</v>
      </c>
      <c r="C19" s="1726">
        <f>SUM(C4:C18)</f>
        <v>6797009</v>
      </c>
      <c r="D19" s="1726">
        <f>SUM(D4:D18)</f>
        <v>6394512</v>
      </c>
      <c r="E19" s="1726">
        <f>SUM(E4:E18)</f>
        <v>13317783</v>
      </c>
      <c r="F19" s="1726">
        <f>SUM(F4:F18)</f>
        <v>6520774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2" t="s">
        <v>625</v>
      </c>
      <c r="B1" s="2330"/>
      <c r="C1" s="585"/>
    </row>
    <row r="2" spans="1:7" ht="33.75" x14ac:dyDescent="0.2">
      <c r="A2" s="2337" t="s">
        <v>1779</v>
      </c>
      <c r="B2" s="233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9" t="s">
        <v>1104</v>
      </c>
      <c r="B3" s="2340"/>
      <c r="C3" s="2333"/>
      <c r="D3" s="2334"/>
      <c r="E3" s="2334"/>
      <c r="F3" s="2335"/>
    </row>
    <row r="4" spans="1:7" ht="12.75" customHeight="1" thickBot="1" x14ac:dyDescent="0.25">
      <c r="A4" s="2327" t="s">
        <v>626</v>
      </c>
      <c r="B4" s="2328"/>
      <c r="C4" s="1656"/>
      <c r="D4" s="1656"/>
      <c r="E4" s="1656"/>
      <c r="F4" s="1732">
        <f>SUM(C4+D4)-E4</f>
        <v>0</v>
      </c>
    </row>
    <row r="5" spans="1:7" ht="15.75" customHeight="1" thickTop="1" x14ac:dyDescent="0.2">
      <c r="A5" s="2331" t="s">
        <v>1101</v>
      </c>
      <c r="B5" s="2326"/>
      <c r="C5" s="2320"/>
      <c r="D5" s="2321"/>
      <c r="E5" s="2321"/>
      <c r="F5" s="232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23" t="s">
        <v>627</v>
      </c>
      <c r="B15" s="2324"/>
      <c r="C15" s="1732">
        <f>SUM(C6:C14)</f>
        <v>0</v>
      </c>
      <c r="D15" s="1732">
        <f>SUM(D6:D14)</f>
        <v>0</v>
      </c>
      <c r="E15" s="1732">
        <f>SUM(E6:E14)</f>
        <v>0</v>
      </c>
      <c r="F15" s="1732">
        <f>SUM(F6:F14)</f>
        <v>0</v>
      </c>
      <c r="G15" s="473"/>
    </row>
    <row r="16" spans="1:7" s="197" customFormat="1" ht="15.75" customHeight="1" thickTop="1" x14ac:dyDescent="0.2">
      <c r="A16" s="2336" t="s">
        <v>1102</v>
      </c>
      <c r="B16" s="2326"/>
      <c r="C16" s="2320"/>
      <c r="D16" s="2321"/>
      <c r="E16" s="2321"/>
      <c r="F16" s="2322"/>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323" t="s">
        <v>628</v>
      </c>
      <c r="B21" s="2324"/>
      <c r="C21" s="1732">
        <f>SUM(C17:C20)</f>
        <v>0</v>
      </c>
      <c r="D21" s="1732">
        <f>SUM(D17:D20)</f>
        <v>0</v>
      </c>
      <c r="E21" s="1732">
        <f>SUM(E17:E20)</f>
        <v>0</v>
      </c>
      <c r="F21" s="1732">
        <f>SUM(F17:F20)</f>
        <v>0</v>
      </c>
      <c r="G21" s="473"/>
    </row>
    <row r="22" spans="1:11" ht="15.75" customHeight="1" thickTop="1" x14ac:dyDescent="0.2">
      <c r="A22" s="2325" t="s">
        <v>1103</v>
      </c>
      <c r="B22" s="2326"/>
      <c r="C22" s="2320"/>
      <c r="D22" s="2321"/>
      <c r="E22" s="2321"/>
      <c r="F22" s="2322"/>
    </row>
    <row r="23" spans="1:11" ht="13.5" thickBot="1" x14ac:dyDescent="0.25">
      <c r="A23" s="2327" t="s">
        <v>629</v>
      </c>
      <c r="B23" s="2328"/>
      <c r="C23" s="1656"/>
      <c r="D23" s="1656"/>
      <c r="E23" s="1656"/>
      <c r="F23" s="1732">
        <f>SUM(C23+D23)-E23</f>
        <v>0</v>
      </c>
      <c r="G23" s="473"/>
    </row>
    <row r="24" spans="1:11" ht="15.75" customHeight="1" thickTop="1" x14ac:dyDescent="0.2">
      <c r="A24" s="2325" t="s">
        <v>2006</v>
      </c>
      <c r="B24" s="2326"/>
      <c r="C24" s="2320"/>
      <c r="D24" s="2321"/>
      <c r="E24" s="2321"/>
      <c r="F24" s="2322"/>
    </row>
    <row r="25" spans="1:11" ht="13.5" thickBot="1" x14ac:dyDescent="0.25">
      <c r="A25" s="2327" t="s">
        <v>2007</v>
      </c>
      <c r="B25" s="2328"/>
      <c r="C25" s="1656"/>
      <c r="D25" s="1656"/>
      <c r="E25" s="1656"/>
      <c r="F25" s="1732">
        <f>SUM(C25+D25)-E25</f>
        <v>0</v>
      </c>
      <c r="G25" s="473"/>
    </row>
    <row r="26" spans="1:11" ht="15.75" customHeight="1" thickTop="1" x14ac:dyDescent="0.2">
      <c r="A26" s="2331" t="s">
        <v>652</v>
      </c>
      <c r="B26" s="2326"/>
      <c r="C26" s="589"/>
      <c r="D26" s="589"/>
      <c r="E26" s="589"/>
      <c r="F26" s="590"/>
    </row>
    <row r="27" spans="1:11" ht="13.5" thickBot="1" x14ac:dyDescent="0.25">
      <c r="A27" s="2323" t="s">
        <v>1061</v>
      </c>
      <c r="B27" s="2324"/>
      <c r="C27" s="1664"/>
      <c r="D27" s="1664"/>
      <c r="E27" s="1664"/>
      <c r="F27" s="1732">
        <f>SUM(C27+D27)-E27</f>
        <v>0</v>
      </c>
      <c r="G27" s="473"/>
    </row>
    <row r="28" spans="1:11" ht="7.5" customHeight="1" thickTop="1" x14ac:dyDescent="0.2">
      <c r="A28" s="489"/>
    </row>
    <row r="29" spans="1:11" ht="23.25" customHeight="1" x14ac:dyDescent="0.2">
      <c r="A29" s="2329" t="s">
        <v>578</v>
      </c>
      <c r="B29" s="233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2098</v>
      </c>
      <c r="B31" s="595">
        <v>40255</v>
      </c>
      <c r="C31" s="1734">
        <v>1500000</v>
      </c>
      <c r="D31" s="1735">
        <v>6</v>
      </c>
      <c r="E31" s="1734">
        <v>1385000</v>
      </c>
      <c r="F31" s="1734"/>
      <c r="G31" s="1734">
        <v>-1270000</v>
      </c>
      <c r="H31" s="1734">
        <v>115000</v>
      </c>
      <c r="I31" s="1736">
        <f>((E31+F31)-H31)+G31</f>
        <v>0</v>
      </c>
      <c r="J31" s="1734">
        <v>0</v>
      </c>
      <c r="K31" s="596"/>
    </row>
    <row r="32" spans="1:11" ht="12" customHeight="1" x14ac:dyDescent="0.2">
      <c r="A32" s="594" t="s">
        <v>2099</v>
      </c>
      <c r="B32" s="595">
        <v>43074</v>
      </c>
      <c r="C32" s="1734">
        <v>3995000</v>
      </c>
      <c r="D32" s="1735">
        <v>6</v>
      </c>
      <c r="E32" s="1734">
        <v>3450000</v>
      </c>
      <c r="F32" s="1734"/>
      <c r="G32" s="1734"/>
      <c r="H32" s="1734"/>
      <c r="I32" s="1736">
        <f>((E32+F32)-H32)+G32</f>
        <v>3450000</v>
      </c>
      <c r="J32" s="1734">
        <f>I32-97488</f>
        <v>3352512</v>
      </c>
      <c r="K32" s="596"/>
    </row>
    <row r="33" spans="1:11" ht="12" customHeight="1" x14ac:dyDescent="0.2">
      <c r="A33" s="594" t="s">
        <v>2100</v>
      </c>
      <c r="B33" s="595">
        <v>43333</v>
      </c>
      <c r="C33" s="1734">
        <v>8910000</v>
      </c>
      <c r="D33" s="1735">
        <v>6</v>
      </c>
      <c r="E33" s="1734">
        <v>8910000</v>
      </c>
      <c r="F33" s="1734"/>
      <c r="G33" s="1734"/>
      <c r="H33" s="1734">
        <v>455000</v>
      </c>
      <c r="I33" s="1736">
        <f t="shared" ref="I33:I48" si="1">((E33+F33)-H33)+G33</f>
        <v>8455000</v>
      </c>
      <c r="J33" s="1734">
        <f>I33-344567</f>
        <v>8110433</v>
      </c>
      <c r="K33" s="596"/>
    </row>
    <row r="34" spans="1:11" ht="12" customHeight="1" x14ac:dyDescent="0.2">
      <c r="A34" s="594" t="s">
        <v>2101</v>
      </c>
      <c r="B34" s="595">
        <v>43913</v>
      </c>
      <c r="C34" s="1734">
        <v>2400000</v>
      </c>
      <c r="D34" s="1735">
        <v>6</v>
      </c>
      <c r="E34" s="1734"/>
      <c r="F34" s="1734">
        <v>1073558</v>
      </c>
      <c r="G34" s="1734">
        <f>2400000-F34</f>
        <v>1326442</v>
      </c>
      <c r="H34" s="1734"/>
      <c r="I34" s="1736">
        <f t="shared" si="1"/>
        <v>2400000</v>
      </c>
      <c r="J34" s="1734">
        <f>I34</f>
        <v>2400000</v>
      </c>
      <c r="K34" s="597"/>
    </row>
    <row r="35" spans="1:11" ht="12" customHeight="1" x14ac:dyDescent="0.2">
      <c r="A35" s="594" t="s">
        <v>2102</v>
      </c>
      <c r="B35" s="595">
        <v>42319</v>
      </c>
      <c r="C35" s="1737">
        <v>273353</v>
      </c>
      <c r="D35" s="1735">
        <v>7</v>
      </c>
      <c r="E35" s="1737">
        <v>57816</v>
      </c>
      <c r="F35" s="1737"/>
      <c r="G35" s="1737">
        <v>-37878</v>
      </c>
      <c r="H35" s="1737"/>
      <c r="I35" s="1736">
        <f t="shared" si="1"/>
        <v>19938</v>
      </c>
      <c r="J35" s="1737">
        <f>I35</f>
        <v>19938</v>
      </c>
      <c r="K35" s="597"/>
    </row>
    <row r="36" spans="1:11" ht="12" customHeight="1" x14ac:dyDescent="0.2">
      <c r="A36" s="594" t="s">
        <v>2126</v>
      </c>
      <c r="B36" s="595">
        <v>42528</v>
      </c>
      <c r="C36" s="1734">
        <f>274305+145276+179158+273906</f>
        <v>872645</v>
      </c>
      <c r="D36" s="1735">
        <v>8</v>
      </c>
      <c r="E36" s="1734">
        <v>693546</v>
      </c>
      <c r="F36" s="1734"/>
      <c r="G36" s="1734">
        <v>-693546</v>
      </c>
      <c r="H36" s="1734"/>
      <c r="I36" s="1736">
        <f t="shared" si="1"/>
        <v>0</v>
      </c>
      <c r="J36" s="1734">
        <v>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17950998</v>
      </c>
      <c r="D49" s="1742"/>
      <c r="E49" s="1736">
        <f t="shared" ref="E49:J49" si="2">SUM(E31:E48)</f>
        <v>14496362</v>
      </c>
      <c r="F49" s="1736">
        <f t="shared" si="2"/>
        <v>1073558</v>
      </c>
      <c r="G49" s="1736">
        <f t="shared" si="2"/>
        <v>-674982</v>
      </c>
      <c r="H49" s="1736">
        <f t="shared" si="2"/>
        <v>570000</v>
      </c>
      <c r="I49" s="1736">
        <f t="shared" si="2"/>
        <v>14324938</v>
      </c>
      <c r="J49" s="1736">
        <f t="shared" si="2"/>
        <v>13882883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t="s">
        <v>2103</v>
      </c>
      <c r="G52" s="2315"/>
      <c r="H52" s="596"/>
      <c r="I52" s="596"/>
      <c r="J52" s="600"/>
    </row>
    <row r="53" spans="1:11" ht="11.25" customHeight="1" x14ac:dyDescent="0.2">
      <c r="A53" s="604" t="s">
        <v>907</v>
      </c>
      <c r="B53" s="605" t="s">
        <v>945</v>
      </c>
      <c r="C53" s="600"/>
      <c r="D53" s="597"/>
      <c r="E53" s="603" t="s">
        <v>494</v>
      </c>
      <c r="F53" s="2316" t="s">
        <v>2125</v>
      </c>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1" t="s">
        <v>851</v>
      </c>
      <c r="B1" s="2342"/>
      <c r="C1" s="2342"/>
      <c r="D1" s="2342"/>
      <c r="E1" s="2342"/>
      <c r="F1" s="2342"/>
      <c r="G1" s="2343"/>
      <c r="H1" s="1298"/>
      <c r="I1" s="614"/>
      <c r="J1" s="400"/>
    </row>
    <row r="2" spans="1:11" ht="26.25" x14ac:dyDescent="0.2">
      <c r="A2" s="2360" t="s">
        <v>1658</v>
      </c>
      <c r="B2" s="2361"/>
      <c r="C2" s="2361"/>
      <c r="D2" s="2361"/>
      <c r="E2" s="2362"/>
      <c r="F2" s="615" t="s">
        <v>898</v>
      </c>
      <c r="G2" s="616" t="s">
        <v>1655</v>
      </c>
      <c r="H2" s="616" t="s">
        <v>407</v>
      </c>
      <c r="I2" s="616" t="s">
        <v>1148</v>
      </c>
      <c r="J2" s="616" t="s">
        <v>1789</v>
      </c>
      <c r="K2" s="616" t="s">
        <v>137</v>
      </c>
    </row>
    <row r="3" spans="1:11" x14ac:dyDescent="0.2">
      <c r="A3" s="2363" t="str">
        <f>"Cash Basis Fund Balance as of July 1, "&amp;'AFR20'!E2-1</f>
        <v>Cash Basis Fund Balance as of July 1, 2019</v>
      </c>
      <c r="B3" s="2364"/>
      <c r="C3" s="2364"/>
      <c r="D3" s="2364"/>
      <c r="E3" s="2365"/>
      <c r="F3" s="617"/>
      <c r="G3" s="1744"/>
      <c r="H3" s="1744"/>
      <c r="I3" s="1744"/>
      <c r="J3" s="1745"/>
      <c r="K3" s="1745"/>
    </row>
    <row r="4" spans="1:11" x14ac:dyDescent="0.2">
      <c r="A4" s="2366" t="s">
        <v>366</v>
      </c>
      <c r="B4" s="2367"/>
      <c r="C4" s="2367"/>
      <c r="D4" s="2367"/>
      <c r="E4" s="2313"/>
      <c r="F4" s="620"/>
      <c r="G4" s="1746"/>
      <c r="H4" s="1747"/>
      <c r="I4" s="1746"/>
      <c r="J4" s="1748"/>
      <c r="K4" s="1748"/>
    </row>
    <row r="5" spans="1:11" x14ac:dyDescent="0.2">
      <c r="A5" s="2344" t="s">
        <v>1060</v>
      </c>
      <c r="B5" s="2345"/>
      <c r="C5" s="2345"/>
      <c r="D5" s="2345"/>
      <c r="E5" s="2346"/>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4" t="s">
        <v>1790</v>
      </c>
      <c r="B10" s="2345"/>
      <c r="C10" s="2345"/>
      <c r="D10" s="2345"/>
      <c r="E10" s="2347"/>
      <c r="F10" s="633" t="s">
        <v>857</v>
      </c>
      <c r="G10" s="1753"/>
      <c r="H10" s="1754"/>
      <c r="I10" s="1744"/>
      <c r="J10" s="1745"/>
      <c r="K10" s="1745"/>
    </row>
    <row r="11" spans="1:11" x14ac:dyDescent="0.2">
      <c r="A11" s="2344" t="s">
        <v>159</v>
      </c>
      <c r="B11" s="2345"/>
      <c r="C11" s="2345"/>
      <c r="D11" s="2345"/>
      <c r="E11" s="2346"/>
      <c r="F11" s="622" t="s">
        <v>847</v>
      </c>
      <c r="G11" s="1749"/>
      <c r="H11" s="1744"/>
      <c r="I11" s="1744"/>
      <c r="J11" s="1745"/>
      <c r="K11" s="1751"/>
    </row>
    <row r="12" spans="1:11" ht="13.5" thickBot="1" x14ac:dyDescent="0.25">
      <c r="A12" s="2371" t="s">
        <v>899</v>
      </c>
      <c r="B12" s="2372"/>
      <c r="C12" s="2372"/>
      <c r="D12" s="2372"/>
      <c r="E12" s="2373"/>
      <c r="F12" s="1433"/>
      <c r="G12" s="1755">
        <f>SUM(G5:G11)</f>
        <v>0</v>
      </c>
      <c r="H12" s="1755">
        <f>SUM(H5:H11)</f>
        <v>0</v>
      </c>
      <c r="I12" s="1755">
        <f>SUM(I5:I11)</f>
        <v>0</v>
      </c>
      <c r="J12" s="1755">
        <f>SUM(J5:J11)</f>
        <v>0</v>
      </c>
      <c r="K12" s="1755">
        <f>SUM(K5:K11)</f>
        <v>0</v>
      </c>
    </row>
    <row r="13" spans="1:11" ht="13.5" thickTop="1" x14ac:dyDescent="0.2">
      <c r="A13" s="2368" t="s">
        <v>367</v>
      </c>
      <c r="B13" s="2369"/>
      <c r="C13" s="2369"/>
      <c r="D13" s="2369"/>
      <c r="E13" s="2370"/>
      <c r="F13" s="634"/>
      <c r="G13" s="1756"/>
      <c r="H13" s="1757"/>
      <c r="I13" s="1758"/>
      <c r="J13" s="1758"/>
      <c r="K13" s="1758"/>
    </row>
    <row r="14" spans="1:11" x14ac:dyDescent="0.2">
      <c r="A14" s="2351" t="s">
        <v>453</v>
      </c>
      <c r="B14" s="2351"/>
      <c r="C14" s="2351"/>
      <c r="D14" s="2351"/>
      <c r="E14" s="2352"/>
      <c r="F14" s="635" t="s">
        <v>849</v>
      </c>
      <c r="G14" s="1753"/>
      <c r="H14" s="1744"/>
      <c r="I14" s="1749"/>
      <c r="J14" s="1751"/>
      <c r="K14" s="1745"/>
    </row>
    <row r="15" spans="1:11" x14ac:dyDescent="0.2">
      <c r="A15" s="2345" t="s">
        <v>4</v>
      </c>
      <c r="B15" s="2345"/>
      <c r="C15" s="2345"/>
      <c r="D15" s="2345"/>
      <c r="E15" s="2346"/>
      <c r="F15" s="635" t="s">
        <v>850</v>
      </c>
      <c r="G15" s="1749"/>
      <c r="H15" s="1744"/>
      <c r="I15" s="1744"/>
      <c r="J15" s="1745"/>
      <c r="K15" s="1745"/>
    </row>
    <row r="16" spans="1:11" x14ac:dyDescent="0.2">
      <c r="A16" s="2345" t="s">
        <v>295</v>
      </c>
      <c r="B16" s="2345"/>
      <c r="C16" s="2345"/>
      <c r="D16" s="2345"/>
      <c r="E16" s="2346"/>
      <c r="F16" s="635" t="s">
        <v>917</v>
      </c>
      <c r="G16" s="1750"/>
      <c r="H16" s="1746"/>
      <c r="I16" s="1746"/>
      <c r="J16" s="1748"/>
      <c r="K16" s="1748"/>
    </row>
    <row r="17" spans="1:15" x14ac:dyDescent="0.2">
      <c r="A17" s="2378" t="s">
        <v>929</v>
      </c>
      <c r="B17" s="2378"/>
      <c r="C17" s="2378"/>
      <c r="D17" s="2378"/>
      <c r="E17" s="2379"/>
      <c r="F17" s="636"/>
      <c r="G17" s="1759"/>
      <c r="H17" s="1760"/>
      <c r="I17" s="1760"/>
      <c r="J17" s="1761"/>
      <c r="K17" s="1762"/>
    </row>
    <row r="18" spans="1:15" x14ac:dyDescent="0.2">
      <c r="A18" s="2355" t="s">
        <v>365</v>
      </c>
      <c r="B18" s="2356"/>
      <c r="C18" s="2356"/>
      <c r="D18" s="2356"/>
      <c r="E18" s="2357"/>
      <c r="F18" s="635" t="s">
        <v>926</v>
      </c>
      <c r="G18" s="1753"/>
      <c r="H18" s="1753"/>
      <c r="I18" s="1753"/>
      <c r="J18" s="1745"/>
      <c r="K18" s="1763"/>
    </row>
    <row r="19" spans="1:15" ht="21.75" customHeight="1" x14ac:dyDescent="0.2">
      <c r="A19" s="2353" t="s">
        <v>1786</v>
      </c>
      <c r="B19" s="2353"/>
      <c r="C19" s="2353"/>
      <c r="D19" s="2353"/>
      <c r="E19" s="2354"/>
      <c r="F19" s="635" t="s">
        <v>927</v>
      </c>
      <c r="G19" s="1753"/>
      <c r="H19" s="1753"/>
      <c r="I19" s="1753"/>
      <c r="J19" s="1745"/>
      <c r="K19" s="1763"/>
    </row>
    <row r="20" spans="1:15" x14ac:dyDescent="0.2">
      <c r="A20" s="2355" t="s">
        <v>1791</v>
      </c>
      <c r="B20" s="2356"/>
      <c r="C20" s="2356"/>
      <c r="D20" s="2356"/>
      <c r="E20" s="2357"/>
      <c r="F20" s="635" t="s">
        <v>928</v>
      </c>
      <c r="G20" s="1753"/>
      <c r="H20" s="1753"/>
      <c r="I20" s="1753"/>
      <c r="J20" s="1745"/>
      <c r="K20" s="1763"/>
    </row>
    <row r="21" spans="1:15" ht="13.5" thickBot="1" x14ac:dyDescent="0.25">
      <c r="A21" s="2374" t="s">
        <v>633</v>
      </c>
      <c r="B21" s="2374"/>
      <c r="C21" s="2374"/>
      <c r="D21" s="2374"/>
      <c r="E21" s="2374"/>
      <c r="F21" s="1434"/>
      <c r="G21" s="1760"/>
      <c r="H21" s="1764"/>
      <c r="I21" s="1764"/>
      <c r="J21" s="1765">
        <f>SUM(J18:J20)</f>
        <v>0</v>
      </c>
      <c r="K21" s="1761"/>
    </row>
    <row r="22" spans="1:15" ht="13.5" thickTop="1" x14ac:dyDescent="0.2">
      <c r="A22" s="2345" t="s">
        <v>1792</v>
      </c>
      <c r="B22" s="2345"/>
      <c r="C22" s="2345"/>
      <c r="D22" s="2345"/>
      <c r="E22" s="2346"/>
      <c r="F22" s="635" t="s">
        <v>857</v>
      </c>
      <c r="G22" s="1753"/>
      <c r="H22" s="1744"/>
      <c r="I22" s="1744"/>
      <c r="J22" s="1766"/>
      <c r="K22" s="1745"/>
    </row>
    <row r="23" spans="1:15" ht="13.5" thickBot="1" x14ac:dyDescent="0.25">
      <c r="A23" s="2375" t="s">
        <v>900</v>
      </c>
      <c r="B23" s="2374"/>
      <c r="C23" s="2374"/>
      <c r="D23" s="2374"/>
      <c r="E23" s="2374"/>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76" t="str">
        <f>"Ending Cash Basis Fund Balance as of June 30, "&amp;'AFR20'!E2</f>
        <v>Ending Cash Basis Fund Balance as of June 30, 2020</v>
      </c>
      <c r="B24" s="2377"/>
      <c r="C24" s="2377"/>
      <c r="D24" s="2377"/>
      <c r="E24" s="237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48"/>
      <c r="I31" s="2349"/>
      <c r="J31" s="2349"/>
      <c r="K31" s="2349"/>
    </row>
    <row r="32" spans="1:15" x14ac:dyDescent="0.2">
      <c r="A32" s="649"/>
      <c r="B32" s="232"/>
      <c r="C32" s="232"/>
      <c r="D32" s="232"/>
      <c r="E32" s="645"/>
      <c r="F32" s="651" t="s">
        <v>537</v>
      </c>
      <c r="G32" s="618"/>
      <c r="H32" s="2350"/>
      <c r="I32" s="2349"/>
      <c r="J32" s="2349"/>
      <c r="K32" s="2349"/>
    </row>
    <row r="33" spans="1:11" ht="1.5" customHeight="1" x14ac:dyDescent="0.2">
      <c r="A33" s="652" t="s">
        <v>1159</v>
      </c>
      <c r="B33" s="341"/>
      <c r="C33" s="341"/>
      <c r="D33" s="341"/>
      <c r="E33" s="341"/>
      <c r="F33" s="341"/>
      <c r="G33" s="653"/>
      <c r="H33" s="2350"/>
      <c r="I33" s="2349"/>
      <c r="J33" s="2349"/>
      <c r="K33" s="234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5" t="s">
        <v>538</v>
      </c>
      <c r="B41" s="2358"/>
      <c r="C41" s="2358"/>
      <c r="D41" s="2358"/>
      <c r="E41" s="2358"/>
      <c r="F41" s="235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1875</v>
      </c>
      <c r="B1" s="2383"/>
      <c r="C1" s="2384"/>
      <c r="D1" s="666"/>
      <c r="E1" s="667"/>
      <c r="F1" s="667"/>
      <c r="G1" s="668"/>
      <c r="H1" s="669"/>
      <c r="I1" s="670"/>
      <c r="J1" s="2380"/>
      <c r="K1" s="2381"/>
      <c r="L1" s="238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329076</v>
      </c>
      <c r="D5" s="1770"/>
      <c r="E5" s="1770"/>
      <c r="F5" s="1765">
        <f>(C5+D5)-E5</f>
        <v>329076</v>
      </c>
      <c r="G5" s="676"/>
      <c r="H5" s="680"/>
      <c r="I5" s="680"/>
      <c r="J5" s="680"/>
      <c r="K5" s="637"/>
      <c r="L5" s="1442">
        <f>F5-K5</f>
        <v>329076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16493990</v>
      </c>
      <c r="D8" s="1771">
        <v>4418290</v>
      </c>
      <c r="E8" s="1771"/>
      <c r="F8" s="1765">
        <f>(C8+D8)-E8</f>
        <v>20912280</v>
      </c>
      <c r="G8" s="681">
        <v>50</v>
      </c>
      <c r="H8" s="619">
        <v>7226012</v>
      </c>
      <c r="I8" s="619">
        <v>378865</v>
      </c>
      <c r="J8" s="619"/>
      <c r="K8" s="1442">
        <f>(H8+I8)-J8</f>
        <v>7604877</v>
      </c>
      <c r="L8" s="1442">
        <f>F8-K8</f>
        <v>13307403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9246847</v>
      </c>
      <c r="D10" s="1772">
        <v>5575</v>
      </c>
      <c r="E10" s="1772"/>
      <c r="F10" s="1773">
        <f>(C10+D10)-E10</f>
        <v>9252422</v>
      </c>
      <c r="G10" s="681">
        <v>20</v>
      </c>
      <c r="H10" s="683">
        <v>942237</v>
      </c>
      <c r="I10" s="683">
        <v>450968</v>
      </c>
      <c r="J10" s="683"/>
      <c r="K10" s="1442">
        <f>(H10+I10)-J10</f>
        <v>1393205</v>
      </c>
      <c r="L10" s="1442">
        <f>F10-K10</f>
        <v>7859217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4136843</v>
      </c>
      <c r="D12" s="1771">
        <v>742695</v>
      </c>
      <c r="E12" s="1771">
        <v>3252052</v>
      </c>
      <c r="F12" s="1765">
        <f>(C12+D12)-E12</f>
        <v>1627486</v>
      </c>
      <c r="G12" s="681">
        <v>10</v>
      </c>
      <c r="H12" s="619">
        <v>3113783</v>
      </c>
      <c r="I12" s="619">
        <v>162746</v>
      </c>
      <c r="J12" s="619">
        <v>2704394</v>
      </c>
      <c r="K12" s="1442">
        <f>(H12+I12)-J12</f>
        <v>572135</v>
      </c>
      <c r="L12" s="1442">
        <f>F12-K12</f>
        <v>1055351</v>
      </c>
    </row>
    <row r="13" spans="1:14" ht="14.25" thickTop="1" thickBot="1" x14ac:dyDescent="0.25">
      <c r="A13" s="684" t="s">
        <v>1112</v>
      </c>
      <c r="B13" s="679">
        <v>252</v>
      </c>
      <c r="C13" s="1771">
        <v>1442305</v>
      </c>
      <c r="D13" s="1771"/>
      <c r="E13" s="1771">
        <v>1113996</v>
      </c>
      <c r="F13" s="1765">
        <f>(C13+D13)-E13</f>
        <v>328309</v>
      </c>
      <c r="G13" s="681">
        <v>5</v>
      </c>
      <c r="H13" s="619">
        <v>1208783</v>
      </c>
      <c r="I13" s="619">
        <v>606</v>
      </c>
      <c r="J13" s="619">
        <v>883504</v>
      </c>
      <c r="K13" s="1442">
        <f>(H13+I13)-J13</f>
        <v>325885</v>
      </c>
      <c r="L13" s="1442">
        <f>F13-K13</f>
        <v>2424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31649061</v>
      </c>
      <c r="D16" s="1765">
        <f>SUM(D3,D5:D6,D8:D10,D12:D15)</f>
        <v>5166560</v>
      </c>
      <c r="E16" s="1765">
        <f>SUM(E3,E5:E6,E8:E10,E12:E15)</f>
        <v>4366048</v>
      </c>
      <c r="F16" s="1765">
        <f>SUM(F3,F5:F6,F8:F10,F12:F15)</f>
        <v>32449573</v>
      </c>
      <c r="G16" s="681"/>
      <c r="H16" s="1435">
        <f>SUM(H3,H6,H8:H10,H12:H14,)</f>
        <v>12490815</v>
      </c>
      <c r="I16" s="1435">
        <f>SUM(I3,I6,I8:I10,I12:I14,)</f>
        <v>993185</v>
      </c>
      <c r="J16" s="1435">
        <f>SUM(J3,J6,J8:J10,J12:J14,)</f>
        <v>3587898</v>
      </c>
      <c r="K16" s="1435">
        <f>(H16+I16)-J16</f>
        <v>9896102</v>
      </c>
      <c r="L16" s="1435">
        <f>F16-K16</f>
        <v>22553471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993185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474</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4"/>
      <c r="B5" s="2395"/>
      <c r="C5" s="2395"/>
      <c r="D5" s="2395"/>
      <c r="E5" s="2395"/>
      <c r="F5" s="2395"/>
    </row>
    <row r="6" spans="1:9" ht="13.5" customHeight="1" thickBot="1" x14ac:dyDescent="0.25">
      <c r="A6" s="2385" t="s">
        <v>1095</v>
      </c>
      <c r="B6" s="2386"/>
      <c r="C6" s="2386"/>
      <c r="D6" s="2386"/>
      <c r="E6" s="2386"/>
      <c r="F6" s="238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12731473</v>
      </c>
      <c r="G8" s="701"/>
    </row>
    <row r="9" spans="1:9" x14ac:dyDescent="0.2">
      <c r="A9" s="705" t="s">
        <v>457</v>
      </c>
      <c r="B9" s="706" t="s">
        <v>1848</v>
      </c>
      <c r="C9" s="707"/>
      <c r="D9" s="705" t="s">
        <v>498</v>
      </c>
      <c r="E9" s="704"/>
      <c r="F9" s="1775">
        <f>'Expenditures 15-22'!K151</f>
        <v>1186475</v>
      </c>
      <c r="G9" s="708"/>
    </row>
    <row r="10" spans="1:9" x14ac:dyDescent="0.2">
      <c r="A10" s="705" t="s">
        <v>496</v>
      </c>
      <c r="B10" s="706" t="s">
        <v>1849</v>
      </c>
      <c r="C10" s="707"/>
      <c r="D10" s="705" t="s">
        <v>498</v>
      </c>
      <c r="E10" s="704"/>
      <c r="F10" s="1775">
        <f>'Expenditures 15-22'!K174</f>
        <v>994686</v>
      </c>
      <c r="G10" s="708"/>
    </row>
    <row r="11" spans="1:9" x14ac:dyDescent="0.2">
      <c r="A11" s="705" t="s">
        <v>458</v>
      </c>
      <c r="B11" s="706" t="s">
        <v>1850</v>
      </c>
      <c r="C11" s="707"/>
      <c r="D11" s="705" t="s">
        <v>498</v>
      </c>
      <c r="E11" s="704"/>
      <c r="F11" s="1775">
        <f>'Expenditures 15-22'!K210</f>
        <v>744974</v>
      </c>
      <c r="G11" s="708"/>
    </row>
    <row r="12" spans="1:9" x14ac:dyDescent="0.2">
      <c r="A12" s="705" t="s">
        <v>459</v>
      </c>
      <c r="B12" s="706" t="s">
        <v>1851</v>
      </c>
      <c r="C12" s="707"/>
      <c r="D12" s="705" t="s">
        <v>498</v>
      </c>
      <c r="E12" s="704"/>
      <c r="F12" s="1775">
        <f>'Expenditures 15-22'!K295</f>
        <v>429855</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16087463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97470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21246</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166703</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251894</v>
      </c>
      <c r="G52" s="701"/>
    </row>
    <row r="53" spans="1:7" x14ac:dyDescent="0.2">
      <c r="A53" s="705" t="s">
        <v>456</v>
      </c>
      <c r="B53" s="705" t="s">
        <v>1458</v>
      </c>
      <c r="C53" s="724">
        <f>'Expenditures 15-22'!B102</f>
        <v>4000</v>
      </c>
      <c r="D53" s="723" t="str">
        <f>'Expenditures 15-22'!A102</f>
        <v>Total Payments to Other Govt Units</v>
      </c>
      <c r="E53" s="704"/>
      <c r="F53" s="1782">
        <f>'Expenditures 15-22'!K102</f>
        <v>503371</v>
      </c>
      <c r="G53" s="701"/>
    </row>
    <row r="54" spans="1:7" x14ac:dyDescent="0.2">
      <c r="A54" s="705" t="s">
        <v>456</v>
      </c>
      <c r="B54" s="705" t="s">
        <v>1459</v>
      </c>
      <c r="C54" s="724" t="s">
        <v>975</v>
      </c>
      <c r="D54" s="720" t="s">
        <v>1086</v>
      </c>
      <c r="E54" s="704"/>
      <c r="F54" s="1782">
        <f>'Expenditures 15-22'!G114</f>
        <v>632853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33552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570000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6542</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213</v>
      </c>
      <c r="G71" s="701"/>
    </row>
    <row r="72" spans="1:9" x14ac:dyDescent="0.2">
      <c r="A72" s="705" t="s">
        <v>459</v>
      </c>
      <c r="B72" s="705" t="s">
        <v>1867</v>
      </c>
      <c r="C72" s="721">
        <f>'Expenditures 15-22'!B280</f>
        <v>3000</v>
      </c>
      <c r="D72" s="712" t="s">
        <v>446</v>
      </c>
      <c r="E72" s="704"/>
      <c r="F72" s="1782">
        <f>'Expenditures 15-22'!K280</f>
        <v>34041</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2317885</v>
      </c>
      <c r="G77" s="701"/>
    </row>
    <row r="78" spans="1:9" s="728" customFormat="1" ht="12" customHeight="1" thickTop="1" thickBot="1" x14ac:dyDescent="0.25">
      <c r="A78" s="1450"/>
      <c r="B78" s="1448"/>
      <c r="C78" s="1445"/>
      <c r="D78" s="1449" t="s">
        <v>2012</v>
      </c>
      <c r="E78" s="1447"/>
      <c r="F78" s="1788">
        <f>(F14-F77)</f>
        <v>13769578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879.9</v>
      </c>
      <c r="G79" s="733"/>
      <c r="H79" s="705"/>
      <c r="I79" s="705"/>
    </row>
    <row r="80" spans="1:9" s="728" customFormat="1" ht="12" customHeight="1" thickBot="1" x14ac:dyDescent="0.25">
      <c r="A80" s="1452"/>
      <c r="B80" s="1448"/>
      <c r="C80" s="1445"/>
      <c r="D80" s="1449" t="s">
        <v>2013</v>
      </c>
      <c r="E80" s="1447" t="s">
        <v>952</v>
      </c>
      <c r="F80" s="1790">
        <f>IF(F79&gt;0,F78/F79," Complete Line 79")</f>
        <v>15649.026025684738</v>
      </c>
      <c r="G80" s="705"/>
    </row>
    <row r="81" spans="1:7" s="728" customFormat="1" ht="8.25" customHeight="1" thickTop="1" x14ac:dyDescent="0.2">
      <c r="A81" s="734"/>
      <c r="B81" s="705"/>
      <c r="C81" s="707"/>
      <c r="D81" s="735"/>
      <c r="E81" s="704"/>
      <c r="F81" s="1791"/>
      <c r="G81" s="705"/>
    </row>
    <row r="82" spans="1:7" s="728" customFormat="1" ht="12" thickBot="1" x14ac:dyDescent="0.25">
      <c r="A82" s="2385" t="s">
        <v>1096</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124426</v>
      </c>
      <c r="G95" s="745"/>
    </row>
    <row r="96" spans="1:7" x14ac:dyDescent="0.2">
      <c r="A96" s="741" t="s">
        <v>139</v>
      </c>
      <c r="B96" s="741" t="s">
        <v>174</v>
      </c>
      <c r="C96" s="743">
        <v>1700</v>
      </c>
      <c r="D96" s="751" t="str">
        <f>'Revenues 9-14'!A82</f>
        <v>Total District/School Activity Income</v>
      </c>
      <c r="E96" s="739"/>
      <c r="F96" s="1793">
        <f>SUM('Revenues 9-14'!C82,'Revenues 9-14'!D82)</f>
        <v>2</v>
      </c>
      <c r="G96" s="745"/>
    </row>
    <row r="97" spans="1:7" x14ac:dyDescent="0.2">
      <c r="A97" s="741" t="s">
        <v>456</v>
      </c>
      <c r="B97" s="741" t="s">
        <v>175</v>
      </c>
      <c r="C97" s="743">
        <f>'Revenues 9-14'!B84</f>
        <v>1811</v>
      </c>
      <c r="D97" s="744" t="str">
        <f>'Revenues 9-14'!A84</f>
        <v>Rentals - Regular Textbooks</v>
      </c>
      <c r="E97" s="739"/>
      <c r="F97" s="1793">
        <f>'Revenues 9-14'!C84</f>
        <v>35340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77560</v>
      </c>
      <c r="G101" s="745"/>
    </row>
    <row r="102" spans="1:7" x14ac:dyDescent="0.2">
      <c r="A102" s="741" t="s">
        <v>139</v>
      </c>
      <c r="B102" s="741" t="s">
        <v>180</v>
      </c>
      <c r="C102" s="743">
        <f>'Revenues 9-14'!B95</f>
        <v>1910</v>
      </c>
      <c r="D102" s="744" t="str">
        <f>'Revenues 9-14'!A95</f>
        <v>Rentals</v>
      </c>
      <c r="E102" s="739"/>
      <c r="F102" s="1793">
        <f>SUM('Revenues 9-14'!C95:D95)</f>
        <v>77632</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328376</v>
      </c>
      <c r="G105" s="745"/>
    </row>
    <row r="106" spans="1:7" x14ac:dyDescent="0.2">
      <c r="A106" s="741" t="s">
        <v>500</v>
      </c>
      <c r="B106" s="741" t="s">
        <v>1910</v>
      </c>
      <c r="C106" s="746">
        <v>3100</v>
      </c>
      <c r="D106" s="752" t="str">
        <f>'Revenues 9-14'!A132</f>
        <v>Total Special Education</v>
      </c>
      <c r="E106" s="739"/>
      <c r="F106" s="1793">
        <f>SUM('Revenues 9-14'!C132:D132,'Revenues 9-14'!F132)</f>
        <v>65550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592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84730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61862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66260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7591</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39364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49226</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7190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12436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17364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336222</v>
      </c>
      <c r="G172" s="760"/>
    </row>
    <row r="173" spans="1:7" x14ac:dyDescent="0.2">
      <c r="A173" s="1529" t="s">
        <v>659</v>
      </c>
      <c r="B173" s="1530" t="s">
        <v>1885</v>
      </c>
      <c r="C173" s="1531">
        <v>3300</v>
      </c>
      <c r="D173" s="1532" t="s">
        <v>1888</v>
      </c>
      <c r="E173" s="739"/>
      <c r="F173" s="1794">
        <v>5855</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1447578</v>
      </c>
    </row>
    <row r="176" spans="1:7" ht="12" customHeight="1" x14ac:dyDescent="0.2">
      <c r="A176" s="1443"/>
      <c r="B176" s="1453"/>
      <c r="C176" s="1454"/>
      <c r="D176" s="1455" t="s">
        <v>2014</v>
      </c>
      <c r="E176" s="1456"/>
      <c r="F176" s="1793">
        <f>'PCTC-OEPP 27-28'!F78-F175</f>
        <v>12322000</v>
      </c>
    </row>
    <row r="177" spans="1:9" ht="12" customHeight="1" x14ac:dyDescent="0.2">
      <c r="A177" s="1443"/>
      <c r="B177" s="1453"/>
      <c r="C177" s="1454"/>
      <c r="D177" s="1455" t="s">
        <v>1794</v>
      </c>
      <c r="E177" s="1456"/>
      <c r="F177" s="1793">
        <f>'Cap Outlay Deprec 26'!I18</f>
        <v>993185</v>
      </c>
    </row>
    <row r="178" spans="1:9" ht="12" customHeight="1" x14ac:dyDescent="0.2">
      <c r="A178" s="1443"/>
      <c r="B178" s="1453"/>
      <c r="C178" s="1454"/>
      <c r="D178" s="1455" t="s">
        <v>2015</v>
      </c>
      <c r="E178" s="1456"/>
      <c r="F178" s="1793">
        <f>F176+F177</f>
        <v>13315185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879.9</v>
      </c>
      <c r="G179" s="763"/>
      <c r="I179" s="701"/>
    </row>
    <row r="180" spans="1:9" ht="12" customHeight="1" thickBot="1" x14ac:dyDescent="0.25">
      <c r="A180" s="1443"/>
      <c r="B180" s="1457"/>
      <c r="C180" s="1454"/>
      <c r="D180" s="1455" t="s">
        <v>2017</v>
      </c>
      <c r="E180" s="1456" t="s">
        <v>1528</v>
      </c>
      <c r="F180" s="1798">
        <f>F178/F179</f>
        <v>15132.611660415956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7" sqref="B27"/>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99" t="s">
        <v>1795</v>
      </c>
      <c r="B4" s="2400"/>
      <c r="C4" s="2400"/>
      <c r="D4" s="2400"/>
      <c r="E4" s="2400"/>
      <c r="F4" s="2401"/>
    </row>
    <row r="5" spans="1:6" x14ac:dyDescent="0.25">
      <c r="A5" s="2402"/>
      <c r="B5" s="2403"/>
      <c r="C5" s="2403"/>
      <c r="D5" s="2403"/>
      <c r="E5" s="2403"/>
      <c r="F5" s="2404"/>
    </row>
    <row r="6" spans="1:6" ht="18.75" x14ac:dyDescent="0.25">
      <c r="A6" s="1867" t="s">
        <v>1796</v>
      </c>
      <c r="B6" s="1868"/>
      <c r="C6" s="1869"/>
      <c r="D6" s="1869"/>
      <c r="E6" s="1869"/>
      <c r="F6" s="1870"/>
    </row>
    <row r="7" spans="1:6" ht="47.25" customHeight="1" x14ac:dyDescent="0.25">
      <c r="A7" s="2405" t="s">
        <v>1985</v>
      </c>
      <c r="B7" s="2406"/>
      <c r="C7" s="2406"/>
      <c r="D7" s="2406"/>
      <c r="E7" s="2406"/>
      <c r="F7" s="240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08" t="s">
        <v>1981</v>
      </c>
      <c r="B10" s="2409"/>
      <c r="C10" s="2409"/>
      <c r="D10" s="2409"/>
      <c r="E10" s="2409"/>
      <c r="F10" s="2410"/>
    </row>
    <row r="11" spans="1:6" ht="33" customHeight="1" x14ac:dyDescent="0.25">
      <c r="A11" s="2405" t="s">
        <v>1986</v>
      </c>
      <c r="B11" s="2406"/>
      <c r="C11" s="2406"/>
      <c r="D11" s="2406"/>
      <c r="E11" s="2406"/>
      <c r="F11" s="2407"/>
    </row>
    <row r="12" spans="1:6" ht="15" customHeight="1" x14ac:dyDescent="0.25">
      <c r="A12" s="1873" t="s">
        <v>1982</v>
      </c>
      <c r="B12" s="1874"/>
      <c r="C12" s="1875"/>
      <c r="D12" s="1875"/>
      <c r="E12" s="1875"/>
      <c r="F12" s="1876"/>
    </row>
    <row r="13" spans="1:6" ht="17.25" customHeight="1" x14ac:dyDescent="0.25">
      <c r="A13" s="2405" t="s">
        <v>1983</v>
      </c>
      <c r="B13" s="2406"/>
      <c r="C13" s="2406"/>
      <c r="D13" s="2406"/>
      <c r="E13" s="2406"/>
      <c r="F13" s="2407"/>
    </row>
    <row r="14" spans="1:6" ht="15" customHeight="1" x14ac:dyDescent="0.25">
      <c r="A14" s="1873" t="s">
        <v>1800</v>
      </c>
      <c r="B14" s="1874"/>
      <c r="C14" s="1875"/>
      <c r="D14" s="1875"/>
      <c r="E14" s="1875"/>
      <c r="F14" s="1876"/>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57" t="s">
        <v>2118</v>
      </c>
      <c r="B18" s="1908">
        <v>102560400</v>
      </c>
      <c r="C18" s="2058" t="s">
        <v>2121</v>
      </c>
      <c r="D18" s="1886">
        <v>148272</v>
      </c>
      <c r="E18" s="1906" t="str">
        <f t="shared" ref="E18:E81" si="0">IF(D18&lt;25000,D18,"25,000")</f>
        <v>25,000</v>
      </c>
      <c r="F18" s="1906">
        <f t="shared" ref="F18:F81" si="1">IF(D18&gt;=25000,(D18-E18),"0")</f>
        <v>123272</v>
      </c>
      <c r="G18" s="1887"/>
    </row>
    <row r="19" spans="1:7" hidden="1" x14ac:dyDescent="0.25">
      <c r="A19" s="2057"/>
      <c r="B19" s="1908"/>
      <c r="C19" s="2058"/>
      <c r="D19" s="1886"/>
      <c r="E19" s="1906">
        <f t="shared" si="0"/>
        <v>0</v>
      </c>
      <c r="F19" s="1906" t="str">
        <f t="shared" si="1"/>
        <v>0</v>
      </c>
    </row>
    <row r="20" spans="1:7" hidden="1" x14ac:dyDescent="0.25">
      <c r="A20" s="2057"/>
      <c r="B20" s="1908"/>
      <c r="C20" s="2058"/>
      <c r="D20" s="1886"/>
      <c r="E20" s="1906">
        <f t="shared" si="0"/>
        <v>0</v>
      </c>
      <c r="F20" s="1906" t="str">
        <f t="shared" si="1"/>
        <v>0</v>
      </c>
    </row>
    <row r="21" spans="1:7" hidden="1" x14ac:dyDescent="0.25">
      <c r="A21" s="2057"/>
      <c r="B21" s="1908"/>
      <c r="C21" s="2058"/>
      <c r="D21" s="1886"/>
      <c r="E21" s="1906">
        <f t="shared" si="0"/>
        <v>0</v>
      </c>
      <c r="F21" s="1906" t="str">
        <f t="shared" si="1"/>
        <v>0</v>
      </c>
    </row>
    <row r="22" spans="1:7" hidden="1" x14ac:dyDescent="0.25">
      <c r="A22" s="2057"/>
      <c r="B22" s="1908"/>
      <c r="C22" s="2058"/>
      <c r="D22" s="1886"/>
      <c r="E22" s="1906">
        <f t="shared" si="0"/>
        <v>0</v>
      </c>
      <c r="F22" s="1906" t="str">
        <f t="shared" si="1"/>
        <v>0</v>
      </c>
    </row>
    <row r="23" spans="1:7" hidden="1" x14ac:dyDescent="0.25">
      <c r="A23" s="2057"/>
      <c r="B23" s="1908"/>
      <c r="C23" s="2058"/>
      <c r="D23" s="1886"/>
      <c r="E23" s="1906">
        <f t="shared" si="0"/>
        <v>0</v>
      </c>
      <c r="F23" s="1906" t="str">
        <f t="shared" si="1"/>
        <v>0</v>
      </c>
    </row>
    <row r="24" spans="1:7" hidden="1" x14ac:dyDescent="0.25">
      <c r="A24" s="2057"/>
      <c r="B24" s="1908"/>
      <c r="C24" s="2058"/>
      <c r="D24" s="1886"/>
      <c r="E24" s="1906">
        <f t="shared" si="0"/>
        <v>0</v>
      </c>
      <c r="F24" s="1906" t="str">
        <f t="shared" si="1"/>
        <v>0</v>
      </c>
    </row>
    <row r="25" spans="1:7" hidden="1" x14ac:dyDescent="0.25">
      <c r="A25" s="2057"/>
      <c r="B25" s="1908"/>
      <c r="C25" s="2058"/>
      <c r="D25" s="1886"/>
      <c r="E25" s="1906">
        <f t="shared" si="0"/>
        <v>0</v>
      </c>
      <c r="F25" s="1906" t="str">
        <f t="shared" si="1"/>
        <v>0</v>
      </c>
    </row>
    <row r="26" spans="1:7" hidden="1" x14ac:dyDescent="0.25">
      <c r="A26" s="2057"/>
      <c r="B26" s="1908"/>
      <c r="C26" s="2058"/>
      <c r="D26" s="1886"/>
      <c r="E26" s="1906">
        <f t="shared" si="0"/>
        <v>0</v>
      </c>
      <c r="F26" s="1906" t="str">
        <f t="shared" si="1"/>
        <v>0</v>
      </c>
    </row>
    <row r="27" spans="1:7" x14ac:dyDescent="0.25">
      <c r="A27" s="2057" t="s">
        <v>2119</v>
      </c>
      <c r="B27" s="1908">
        <v>202540300</v>
      </c>
      <c r="C27" s="2058" t="s">
        <v>2122</v>
      </c>
      <c r="D27" s="1886">
        <v>108405</v>
      </c>
      <c r="E27" s="1906" t="str">
        <f t="shared" si="0"/>
        <v>25,000</v>
      </c>
      <c r="F27" s="1906">
        <f t="shared" si="1"/>
        <v>83405</v>
      </c>
    </row>
    <row r="28" spans="1:7" hidden="1" x14ac:dyDescent="0.25">
      <c r="A28" s="2057"/>
      <c r="B28" s="1908"/>
      <c r="C28" s="2058"/>
      <c r="D28" s="1886"/>
      <c r="E28" s="1906">
        <f t="shared" si="0"/>
        <v>0</v>
      </c>
      <c r="F28" s="1906" t="str">
        <f t="shared" si="1"/>
        <v>0</v>
      </c>
    </row>
    <row r="29" spans="1:7" hidden="1" x14ac:dyDescent="0.25">
      <c r="A29" s="2057"/>
      <c r="B29" s="1908"/>
      <c r="C29" s="2058"/>
      <c r="D29" s="1886"/>
      <c r="E29" s="1906">
        <f t="shared" si="0"/>
        <v>0</v>
      </c>
      <c r="F29" s="1906" t="str">
        <f t="shared" si="1"/>
        <v>0</v>
      </c>
    </row>
    <row r="30" spans="1:7" hidden="1" x14ac:dyDescent="0.25">
      <c r="A30" s="2057"/>
      <c r="B30" s="1908"/>
      <c r="C30" s="2058"/>
      <c r="D30" s="1886"/>
      <c r="E30" s="1906">
        <f t="shared" si="0"/>
        <v>0</v>
      </c>
      <c r="F30" s="1906" t="str">
        <f t="shared" si="1"/>
        <v>0</v>
      </c>
    </row>
    <row r="31" spans="1:7" hidden="1" x14ac:dyDescent="0.25">
      <c r="A31" s="2057"/>
      <c r="B31" s="1908"/>
      <c r="C31" s="2058"/>
      <c r="D31" s="1886"/>
      <c r="E31" s="1906">
        <f t="shared" si="0"/>
        <v>0</v>
      </c>
      <c r="F31" s="1906" t="str">
        <f t="shared" si="1"/>
        <v>0</v>
      </c>
    </row>
    <row r="32" spans="1:7" hidden="1" x14ac:dyDescent="0.25">
      <c r="A32" s="2057"/>
      <c r="B32" s="1908"/>
      <c r="C32" s="2058"/>
      <c r="D32" s="1886"/>
      <c r="E32" s="1906">
        <f t="shared" si="0"/>
        <v>0</v>
      </c>
      <c r="F32" s="1906" t="str">
        <f t="shared" si="1"/>
        <v>0</v>
      </c>
    </row>
    <row r="33" spans="1:6" hidden="1" x14ac:dyDescent="0.25">
      <c r="A33" s="2057"/>
      <c r="B33" s="1908"/>
      <c r="C33" s="2058"/>
      <c r="D33" s="1886"/>
      <c r="E33" s="1906">
        <f t="shared" si="0"/>
        <v>0</v>
      </c>
      <c r="F33" s="1906" t="str">
        <f t="shared" si="1"/>
        <v>0</v>
      </c>
    </row>
    <row r="34" spans="1:6" x14ac:dyDescent="0.25">
      <c r="A34" s="2057" t="s">
        <v>2119</v>
      </c>
      <c r="B34" s="1908">
        <v>202540400</v>
      </c>
      <c r="C34" s="2058" t="s">
        <v>2123</v>
      </c>
      <c r="D34" s="1886">
        <v>28388</v>
      </c>
      <c r="E34" s="1906" t="str">
        <f t="shared" si="0"/>
        <v>25,000</v>
      </c>
      <c r="F34" s="1906">
        <f t="shared" si="1"/>
        <v>3388</v>
      </c>
    </row>
    <row r="35" spans="1:6" x14ac:dyDescent="0.25">
      <c r="A35" s="2057" t="s">
        <v>2120</v>
      </c>
      <c r="B35" s="1908">
        <v>402550300</v>
      </c>
      <c r="C35" s="2058" t="s">
        <v>2124</v>
      </c>
      <c r="D35" s="1886">
        <v>96955</v>
      </c>
      <c r="E35" s="1906" t="str">
        <f t="shared" si="0"/>
        <v>25,000</v>
      </c>
      <c r="F35" s="1906">
        <f t="shared" si="1"/>
        <v>71955</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382020</v>
      </c>
      <c r="E142" s="1893">
        <f>SUM(E18:E141)</f>
        <v>0</v>
      </c>
      <c r="F142" s="1894">
        <f>SUM(F18:F141)</f>
        <v>282020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1" t="s">
        <v>1660</v>
      </c>
      <c r="B5" s="2412"/>
      <c r="C5" s="2412"/>
      <c r="D5" s="2412"/>
      <c r="E5" s="2412"/>
      <c r="F5" s="2412"/>
      <c r="G5" s="241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801">
        <v>11514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8606233</v>
      </c>
      <c r="F19" s="1802"/>
      <c r="G19" s="1804">
        <f>'Expenditures 15-22'!K33-SUM('Expenditures 15-22'!G33,'Expenditures 15-22'!I33)+'Expenditures 15-22'!D229</f>
        <v>8606233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734899</v>
      </c>
      <c r="F21" s="1805"/>
      <c r="G21" s="1808">
        <f>'Expenditures 15-22'!K42-SUM('Expenditures 15-22'!G42,'Expenditures 15-22'!I42)+'Expenditures 15-22'!K120-SUM('Expenditures 15-22'!G120,'Expenditures 15-22'!I120)+'Expenditures 15-22'!K180-SUM('Expenditures 15-22'!G180,'Expenditures 15-22'!I180)+'Expenditures 15-22'!D238</f>
        <v>734899</v>
      </c>
      <c r="H21" s="817"/>
      <c r="I21" s="157"/>
    </row>
    <row r="22" spans="1:9" s="542" customFormat="1" ht="12" customHeight="1" x14ac:dyDescent="0.2">
      <c r="A22" s="824" t="s">
        <v>560</v>
      </c>
      <c r="B22" s="825"/>
      <c r="C22" s="823">
        <v>2200</v>
      </c>
      <c r="D22" s="1805"/>
      <c r="E22" s="1807">
        <f>'Expenditures 15-22'!K47-SUM('Expenditures 15-22'!G47,'Expenditures 15-22'!I47)+'Expenditures 15-22'!D243</f>
        <v>631253</v>
      </c>
      <c r="F22" s="1805"/>
      <c r="G22" s="1808">
        <f>'Expenditures 15-22'!K47-SUM('Expenditures 15-22'!G47,'Expenditures 15-22'!I47)+'Expenditures 15-22'!D243</f>
        <v>631253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459468</v>
      </c>
      <c r="F23" s="1805"/>
      <c r="G23" s="1807">
        <f>'Expenditures 15-22'!K53-SUM('Expenditures 15-22'!G53,'Expenditures 15-22'!I53)+'Expenditures 15-22'!D257+'Expenditures 15-22'!K330-SUM('Expenditures 15-22'!G330,'Expenditures 15-22'!I330)</f>
        <v>459468</v>
      </c>
      <c r="H23" s="817"/>
      <c r="I23" s="157"/>
    </row>
    <row r="24" spans="1:9" s="542" customFormat="1" ht="12" customHeight="1" x14ac:dyDescent="0.2">
      <c r="A24" s="824" t="s">
        <v>562</v>
      </c>
      <c r="B24" s="825"/>
      <c r="C24" s="823">
        <v>2400</v>
      </c>
      <c r="D24" s="1805"/>
      <c r="E24" s="1807">
        <f>'Expenditures 15-22'!K57-SUM('Expenditures 15-22'!G57,'Expenditures 15-22'!I57)+'Expenditures 15-22'!D261</f>
        <v>736296</v>
      </c>
      <c r="F24" s="1805"/>
      <c r="G24" s="1808">
        <f>'Expenditures 15-22'!K57-SUM('Expenditures 15-22'!G57,'Expenditures 15-22'!I57)+'Expenditures 15-22'!D261</f>
        <v>736296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221719</v>
      </c>
      <c r="E27" s="1807">
        <f>E8</f>
        <v>0</v>
      </c>
      <c r="F27" s="1807">
        <f>'Expenditures 15-22'!K60-SUM('Expenditures 15-22'!G60,'Expenditures 15-22'!I60)+'Expenditures 15-22'!D264-E8</f>
        <v>221719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1211747</v>
      </c>
      <c r="F28" s="1809">
        <f>'Expenditures 15-22'!K61-SUM('Expenditures 15-22'!G61,'Expenditures 15-22'!I61)+'Expenditures 15-22'!K124-SUM('Expenditures 15-22'!G124,'Expenditures 15-22'!I124)+'Expenditures 15-22'!D266-E9</f>
        <v>1211747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796566</v>
      </c>
      <c r="F29" s="1805"/>
      <c r="G29" s="1808">
        <f>'Expenditures 15-22'!K62-SUM('Expenditures 15-22'!G62,'Expenditures 15-22'!I62)+'Expenditures 15-22'!K125-SUM('Expenditures 15-22'!G125,'Expenditures 15-22'!I125)+'Expenditures 15-22'!K182-SUM('Expenditures 15-22'!G182,'Expenditures 15-22'!I182)+'Expenditures 15-22'!D267</f>
        <v>796566</v>
      </c>
      <c r="H29" s="815"/>
    </row>
    <row r="30" spans="1:9" ht="12" customHeight="1" x14ac:dyDescent="0.2">
      <c r="A30" s="824" t="s">
        <v>100</v>
      </c>
      <c r="B30" s="827"/>
      <c r="C30" s="823">
        <v>2560</v>
      </c>
      <c r="D30" s="1805"/>
      <c r="E30" s="1807">
        <f>'Expenditures 15-22'!K63-SUM('Expenditures 15-22'!G63,'Expenditures 15-22'!I63)+'Expenditures 15-22'!D268-E10</f>
        <v>170956</v>
      </c>
      <c r="F30" s="1805"/>
      <c r="G30" s="1807">
        <f>'Expenditures 15-22'!K63-SUM('Expenditures 15-22'!G63,'Expenditures 15-22'!I63)+'Expenditures 15-22'!D268-E10</f>
        <v>170956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4739</v>
      </c>
      <c r="F34" s="1805"/>
      <c r="G34" s="1807">
        <f>'Expenditures 15-22'!K68-SUM('Expenditures 15-22'!G68,'Expenditures 15-22'!I68)+'Expenditures 15-22'!D273</f>
        <v>4739</v>
      </c>
    </row>
    <row r="35" spans="1:7" ht="12" customHeight="1" x14ac:dyDescent="0.2">
      <c r="A35" s="824" t="s">
        <v>1052</v>
      </c>
      <c r="B35" s="827"/>
      <c r="C35" s="823">
        <v>2630</v>
      </c>
      <c r="D35" s="1805"/>
      <c r="E35" s="1807">
        <f>'Expenditures 15-22'!K69-SUM('Expenditures 15-22'!G69,'Expenditures 15-22'!I69)+'Expenditures 15-22'!D274</f>
        <v>48902</v>
      </c>
      <c r="F35" s="1805"/>
      <c r="G35" s="1807">
        <f>'Expenditures 15-22'!K69-SUM('Expenditures 15-22'!G69,'Expenditures 15-22'!I69)+'Expenditures 15-22'!D274</f>
        <v>48902</v>
      </c>
    </row>
    <row r="36" spans="1:7" ht="12" customHeight="1" x14ac:dyDescent="0.2">
      <c r="A36" s="824" t="s">
        <v>400</v>
      </c>
      <c r="B36" s="827"/>
      <c r="C36" s="823">
        <v>2640</v>
      </c>
      <c r="D36" s="1807">
        <f>'Expenditures 15-22'!K70-SUM('Expenditures 15-22'!G70,'Expenditures 15-22'!I70)+'Expenditures 15-22'!D275-E13</f>
        <v>14288</v>
      </c>
      <c r="E36" s="1807">
        <f>E13</f>
        <v>0</v>
      </c>
      <c r="F36" s="1807">
        <f>'Expenditures 15-22'!K70-SUM('Expenditures 15-22'!G70,'Expenditures 15-22'!I70)+'Expenditures 15-22'!D275-E13</f>
        <v>14288</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285935</v>
      </c>
      <c r="F39" s="1805"/>
      <c r="G39" s="1807">
        <f>'Expenditures 15-22'!K75-SUM('Expenditures 15-22'!G75,'Expenditures 15-22'!I75)+'Expenditures 15-22'!K130-SUM('Expenditures 15-22'!G130,'Expenditures 15-22'!I130)+'Expenditures 15-22'!K185-SUM('Expenditures 15-22'!G185,'Expenditures 15-22'!I185)+'Expenditures 15-22'!D280</f>
        <v>285935</v>
      </c>
    </row>
    <row r="40" spans="1:7" ht="12" customHeight="1" x14ac:dyDescent="0.2">
      <c r="A40" s="820" t="s">
        <v>1798</v>
      </c>
      <c r="B40" s="821"/>
      <c r="C40" s="823"/>
      <c r="D40" s="1805"/>
      <c r="E40" s="1809">
        <f>-'Contracts Paid in CY 29'!F142</f>
        <v>-282020</v>
      </c>
      <c r="F40" s="1805"/>
      <c r="G40" s="1809">
        <f>-'Contracts Paid in CY 29'!F142</f>
        <v>-282020</v>
      </c>
    </row>
    <row r="41" spans="1:7" ht="12" customHeight="1" x14ac:dyDescent="0.2">
      <c r="A41" s="828" t="s">
        <v>155</v>
      </c>
      <c r="B41" s="829"/>
      <c r="C41" s="830"/>
      <c r="D41" s="1809">
        <f>SUM(D19:D39)</f>
        <v>236007</v>
      </c>
      <c r="E41" s="1809">
        <f>SUM(E19:E40)</f>
        <v>13404974</v>
      </c>
      <c r="F41" s="1809">
        <f>SUM(F19:F39)</f>
        <v>1447754</v>
      </c>
      <c r="G41" s="1809">
        <f>SUM(G19:G40)</f>
        <v>12193227</v>
      </c>
    </row>
    <row r="42" spans="1:7" x14ac:dyDescent="0.2">
      <c r="A42" s="817"/>
      <c r="B42" s="157"/>
      <c r="C42" s="831"/>
      <c r="D42" s="2414" t="s">
        <v>519</v>
      </c>
      <c r="E42" s="2415"/>
      <c r="F42" s="832" t="s">
        <v>520</v>
      </c>
      <c r="G42" s="833"/>
    </row>
    <row r="43" spans="1:7" ht="12" customHeight="1" x14ac:dyDescent="0.2">
      <c r="A43" s="817"/>
      <c r="B43" s="157"/>
      <c r="C43" s="831"/>
      <c r="D43" s="1458" t="s">
        <v>470</v>
      </c>
      <c r="E43" s="1810">
        <f>D41</f>
        <v>236007</v>
      </c>
      <c r="F43" s="1458" t="s">
        <v>470</v>
      </c>
      <c r="G43" s="1810">
        <f>F41</f>
        <v>1447754</v>
      </c>
    </row>
    <row r="44" spans="1:7" ht="12" customHeight="1" x14ac:dyDescent="0.2">
      <c r="A44" s="817"/>
      <c r="B44" s="157"/>
      <c r="C44" s="831"/>
      <c r="D44" s="1458" t="s">
        <v>471</v>
      </c>
      <c r="E44" s="1810">
        <f>E41</f>
        <v>13404974</v>
      </c>
      <c r="F44" s="1458" t="s">
        <v>471</v>
      </c>
      <c r="G44" s="1810">
        <f>G41</f>
        <v>12193227</v>
      </c>
    </row>
    <row r="45" spans="1:7" ht="12" customHeight="1" x14ac:dyDescent="0.2">
      <c r="A45" s="817"/>
      <c r="B45" s="157"/>
      <c r="C45" s="157"/>
      <c r="D45" s="1459" t="s">
        <v>999</v>
      </c>
      <c r="E45" s="1811">
        <f>(E43/E44)</f>
        <v>1.7605927471399795E-2</v>
      </c>
      <c r="F45" s="1459" t="s">
        <v>999</v>
      </c>
      <c r="G45" s="1811">
        <f>(G43/G44)</f>
        <v>0.11873427764446606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33" t="s">
        <v>1363</v>
      </c>
      <c r="B1" s="2433"/>
      <c r="C1" s="2433"/>
      <c r="D1" s="2433"/>
      <c r="E1" s="2433"/>
      <c r="F1" s="243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34" t="s">
        <v>1529</v>
      </c>
      <c r="B5" s="2435"/>
      <c r="C5" s="2436"/>
      <c r="D5" s="2436"/>
      <c r="E5" s="2436"/>
      <c r="F5" s="2436"/>
      <c r="G5" s="1507"/>
      <c r="L5" s="1507"/>
      <c r="M5" s="1855"/>
      <c r="N5" s="1855"/>
      <c r="O5" s="1855"/>
    </row>
    <row r="6" spans="1:15" ht="12" customHeight="1" x14ac:dyDescent="0.25">
      <c r="A6" s="1480"/>
      <c r="B6" s="1481"/>
      <c r="C6" s="2437" t="str">
        <f>COVER!A17</f>
        <v xml:space="preserve">Center Cass SD 66 </v>
      </c>
      <c r="D6" s="2437"/>
      <c r="E6" s="2437"/>
      <c r="F6" s="1482"/>
      <c r="G6" s="1507"/>
      <c r="L6" s="1507"/>
      <c r="M6" s="1855"/>
      <c r="N6" s="1855"/>
      <c r="O6" s="1855"/>
    </row>
    <row r="7" spans="1:15" ht="11.25" customHeight="1" thickBot="1" x14ac:dyDescent="0.3">
      <c r="A7" s="1480"/>
      <c r="B7" s="1481"/>
      <c r="C7" s="2438">
        <f>COVER!A13</f>
        <v>19022066002</v>
      </c>
      <c r="D7" s="2438"/>
      <c r="E7" s="243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t="s">
        <v>2051</v>
      </c>
      <c r="E12" s="1498"/>
      <c r="F12" s="1497" t="s">
        <v>2060</v>
      </c>
      <c r="G12" s="1507"/>
      <c r="H12" s="1507">
        <f t="shared" ref="H12:H33" si="0">IF(C12="X",5,0)</f>
        <v>0</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2051</v>
      </c>
      <c r="D15" s="1495" t="s">
        <v>2051</v>
      </c>
      <c r="E15" s="1498"/>
      <c r="F15" s="1497" t="s">
        <v>2061</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2051</v>
      </c>
      <c r="D16" s="1495" t="s">
        <v>2051</v>
      </c>
      <c r="E16" s="1498"/>
      <c r="F16" s="1497" t="s">
        <v>2062</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2051</v>
      </c>
      <c r="D20" s="1495" t="s">
        <v>2051</v>
      </c>
      <c r="E20" s="1498"/>
      <c r="F20" s="1497" t="s">
        <v>2063</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2064</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2065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t="s">
        <v>2051</v>
      </c>
      <c r="E29" s="1498"/>
      <c r="F29" s="1497" t="s">
        <v>2104</v>
      </c>
      <c r="G29" s="1507"/>
      <c r="H29" s="1507">
        <f t="shared" si="0"/>
        <v>0</v>
      </c>
      <c r="I29" s="1507">
        <f t="shared" si="1"/>
        <v>5</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c r="F32" s="1497" t="s">
        <v>2066</v>
      </c>
      <c r="G32" s="1507"/>
      <c r="H32" s="1507">
        <f t="shared" si="0"/>
        <v>5</v>
      </c>
      <c r="I32" s="1507">
        <f t="shared" si="1"/>
        <v>5</v>
      </c>
      <c r="J32" s="1507">
        <f t="shared" si="2"/>
        <v>0</v>
      </c>
      <c r="L32" s="1507"/>
      <c r="M32" s="1855"/>
      <c r="N32" s="1855"/>
      <c r="O32" s="1855"/>
    </row>
    <row r="33" spans="1:15" ht="12" customHeight="1" x14ac:dyDescent="0.2">
      <c r="A33" s="1493" t="s">
        <v>1524</v>
      </c>
      <c r="B33" s="1494"/>
      <c r="C33" s="1495" t="s">
        <v>2051</v>
      </c>
      <c r="D33" s="1495" t="s">
        <v>2051</v>
      </c>
      <c r="E33" s="1498"/>
      <c r="F33" s="1497" t="s">
        <v>2067</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40</v>
      </c>
      <c r="J34" s="1507">
        <f>SUM(J11:J32)</f>
        <v>0</v>
      </c>
      <c r="K34" s="1507">
        <f>SUM(H34:J34)</f>
        <v>70</v>
      </c>
      <c r="L34" s="1507"/>
      <c r="M34" s="1855"/>
      <c r="N34" s="1855"/>
      <c r="O34" s="1855"/>
    </row>
    <row r="35" spans="1:15" ht="12" customHeight="1" x14ac:dyDescent="0.2">
      <c r="A35" s="1500" t="s">
        <v>1376</v>
      </c>
      <c r="B35" s="1501"/>
      <c r="C35" s="2439"/>
      <c r="D35" s="2439"/>
      <c r="E35" s="2439"/>
      <c r="F35" s="2440"/>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25"/>
      <c r="B38" s="2426"/>
      <c r="C38" s="2426"/>
      <c r="D38" s="2426"/>
      <c r="E38" s="2426"/>
      <c r="F38" s="2427"/>
    </row>
    <row r="39" spans="1:15" ht="4.5" hidden="1" customHeight="1" x14ac:dyDescent="0.2">
      <c r="A39" s="1502"/>
      <c r="B39" s="1502"/>
      <c r="C39" s="1502"/>
      <c r="D39" s="1502"/>
      <c r="E39" s="1502"/>
      <c r="F39" s="1502"/>
    </row>
    <row r="40" spans="1:15" s="1499" customFormat="1" ht="12" customHeight="1" x14ac:dyDescent="0.25">
      <c r="A40" s="1503" t="s">
        <v>1375</v>
      </c>
      <c r="B40" s="1504"/>
      <c r="C40" s="2428"/>
      <c r="D40" s="2428"/>
      <c r="E40" s="2428"/>
      <c r="F40" s="2429"/>
      <c r="H40" s="1508"/>
      <c r="I40" s="1508"/>
      <c r="J40" s="1508"/>
      <c r="K40" s="1508"/>
    </row>
    <row r="41" spans="1:15" s="1499" customFormat="1" ht="12" customHeight="1" x14ac:dyDescent="0.25">
      <c r="A41" s="2430"/>
      <c r="B41" s="2431"/>
      <c r="C41" s="2431"/>
      <c r="D41" s="2431"/>
      <c r="E41" s="2431"/>
      <c r="F41" s="2432"/>
      <c r="H41" s="1508"/>
      <c r="I41" s="1508"/>
      <c r="J41" s="1508"/>
      <c r="K41" s="1508"/>
    </row>
    <row r="42" spans="1:15" s="1499" customFormat="1" ht="12" customHeight="1" x14ac:dyDescent="0.25">
      <c r="A42" s="2430"/>
      <c r="B42" s="2431"/>
      <c r="C42" s="2431"/>
      <c r="D42" s="2431"/>
      <c r="E42" s="2431"/>
      <c r="F42" s="2432"/>
      <c r="H42" s="1508"/>
      <c r="I42" s="1508"/>
      <c r="J42" s="1508"/>
      <c r="K42" s="1508"/>
    </row>
    <row r="43" spans="1:15" s="1499" customFormat="1" ht="15" x14ac:dyDescent="0.25">
      <c r="A43" s="2419"/>
      <c r="B43" s="2420"/>
      <c r="C43" s="2420"/>
      <c r="D43" s="2420"/>
      <c r="E43" s="2420"/>
      <c r="F43" s="2421"/>
      <c r="H43" s="1508"/>
      <c r="I43" s="1508"/>
      <c r="J43" s="1508"/>
      <c r="K43" s="1508"/>
    </row>
    <row r="44" spans="1:15" s="1499" customFormat="1" ht="12" hidden="1" customHeight="1" x14ac:dyDescent="0.25">
      <c r="A44" s="2419"/>
      <c r="B44" s="2420"/>
      <c r="C44" s="2420"/>
      <c r="D44" s="2420"/>
      <c r="E44" s="2420"/>
      <c r="F44" s="242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59" t="str">
        <f>COVER!A17</f>
        <v xml:space="preserve">Center Cass SD 66 </v>
      </c>
      <c r="K6" s="2459"/>
      <c r="L6" s="2473"/>
      <c r="M6" s="838"/>
      <c r="N6" s="1998"/>
    </row>
    <row r="7" spans="1:14" x14ac:dyDescent="0.2">
      <c r="A7" s="2474" t="s">
        <v>864</v>
      </c>
      <c r="B7" s="2475"/>
      <c r="C7" s="2475"/>
      <c r="D7" s="2475"/>
      <c r="E7" s="2476"/>
      <c r="F7" s="839"/>
      <c r="G7" s="838"/>
      <c r="H7" s="838"/>
      <c r="I7" s="1924" t="s">
        <v>369</v>
      </c>
      <c r="J7" s="2461">
        <f>COVER!A13</f>
        <v>19022066002</v>
      </c>
      <c r="K7" s="2461"/>
      <c r="L7" s="246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7" t="s">
        <v>478</v>
      </c>
      <c r="B11" s="2478"/>
      <c r="C11" s="247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277832</v>
      </c>
      <c r="F12" s="1942"/>
      <c r="G12" s="1968">
        <f>G68</f>
        <v>0</v>
      </c>
      <c r="H12" s="1944">
        <f t="shared" ref="H12:H18" si="0">SUM(E12:G12)</f>
        <v>277832</v>
      </c>
      <c r="I12" s="1943">
        <v>289100</v>
      </c>
      <c r="J12" s="1942"/>
      <c r="K12" s="1943">
        <v>0</v>
      </c>
      <c r="L12" s="1944">
        <f t="shared" ref="L12:L18" si="1">SUM(I12:K12)</f>
        <v>289100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80" t="s">
        <v>7</v>
      </c>
      <c r="C18" s="2481"/>
      <c r="D18" s="248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277832</v>
      </c>
      <c r="F19" s="1950">
        <f t="shared" si="2"/>
        <v>0</v>
      </c>
      <c r="G19" s="1950">
        <f t="shared" ref="G19" si="3">SUM(G12:G17)-G18</f>
        <v>0</v>
      </c>
      <c r="H19" s="1950">
        <f t="shared" si="2"/>
        <v>277832</v>
      </c>
      <c r="I19" s="1950">
        <f t="shared" si="2"/>
        <v>289100</v>
      </c>
      <c r="J19" s="1950">
        <f t="shared" si="2"/>
        <v>0</v>
      </c>
      <c r="K19" s="1950">
        <f t="shared" si="2"/>
        <v>0</v>
      </c>
      <c r="L19" s="1950">
        <f t="shared" si="2"/>
        <v>289100</v>
      </c>
      <c r="M19" s="838"/>
      <c r="N19" s="1998"/>
    </row>
    <row r="20" spans="1:14" ht="13.5" thickTop="1" x14ac:dyDescent="0.2">
      <c r="A20" s="2003">
        <v>9</v>
      </c>
      <c r="B20" s="2483" t="s">
        <v>2021</v>
      </c>
      <c r="C20" s="2483"/>
      <c r="D20" s="2484"/>
      <c r="E20" s="1951"/>
      <c r="F20" s="1951"/>
      <c r="G20" s="1951"/>
      <c r="H20" s="1951"/>
      <c r="I20" s="1951"/>
      <c r="J20" s="1951"/>
      <c r="K20" s="1951"/>
      <c r="L20" s="1952">
        <f>IF(AND(H19&gt;0,L19&gt;0),(((L19-H19)/H19)),"Enter Budget Data")</f>
        <v>4.0556883296380547E-2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85"/>
      <c r="D27" s="2485"/>
      <c r="E27" s="843"/>
      <c r="F27" s="2486"/>
      <c r="G27" s="2486"/>
      <c r="H27" s="2486"/>
      <c r="I27" s="838"/>
      <c r="J27" s="838"/>
      <c r="K27" s="838"/>
      <c r="L27" s="838"/>
      <c r="M27" s="838"/>
      <c r="N27" s="1998"/>
    </row>
    <row r="28" spans="1:14" x14ac:dyDescent="0.2">
      <c r="A28" s="1997"/>
      <c r="B28" s="2007"/>
      <c r="C28" s="1957" t="s">
        <v>1026</v>
      </c>
      <c r="D28" s="844"/>
      <c r="E28" s="1958"/>
      <c r="F28" s="2487" t="s">
        <v>1492</v>
      </c>
      <c r="G28" s="2487"/>
      <c r="H28" s="2487"/>
      <c r="I28" s="838"/>
      <c r="J28" s="838"/>
      <c r="K28" s="838"/>
      <c r="L28" s="838"/>
      <c r="M28" s="838"/>
      <c r="N28" s="1998"/>
    </row>
    <row r="29" spans="1:14" x14ac:dyDescent="0.2">
      <c r="A29" s="1997"/>
      <c r="B29" s="2007"/>
      <c r="C29" s="2488"/>
      <c r="D29" s="2488"/>
      <c r="E29" s="845"/>
      <c r="F29" s="2488"/>
      <c r="G29" s="2488"/>
      <c r="H29" s="2488"/>
      <c r="I29" s="838"/>
      <c r="J29" s="838"/>
      <c r="K29" s="838"/>
      <c r="L29" s="838"/>
      <c r="M29" s="838"/>
      <c r="N29" s="1998"/>
    </row>
    <row r="30" spans="1:14" x14ac:dyDescent="0.2">
      <c r="A30" s="1997"/>
      <c r="B30" s="2007"/>
      <c r="C30" s="1960" t="s">
        <v>1544</v>
      </c>
      <c r="D30" s="838"/>
      <c r="E30" s="1959"/>
      <c r="F30" s="2472" t="s">
        <v>1493</v>
      </c>
      <c r="G30" s="2472"/>
      <c r="H30" s="247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9" t="s">
        <v>2024</v>
      </c>
      <c r="D34" s="2450"/>
      <c r="E34" s="2450"/>
      <c r="F34" s="2450"/>
      <c r="G34" s="2450"/>
      <c r="H34" s="2450"/>
      <c r="I34" s="2450"/>
      <c r="J34" s="2450"/>
      <c r="K34" s="2016"/>
      <c r="L34" s="838"/>
      <c r="M34" s="838"/>
      <c r="N34" s="1998"/>
    </row>
    <row r="35" spans="1:14" x14ac:dyDescent="0.2">
      <c r="A35" s="1997"/>
      <c r="B35" s="838"/>
      <c r="C35" s="2450"/>
      <c r="D35" s="2450"/>
      <c r="E35" s="2450"/>
      <c r="F35" s="2450"/>
      <c r="G35" s="2450"/>
      <c r="H35" s="2450"/>
      <c r="I35" s="2450"/>
      <c r="J35" s="245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9" t="s">
        <v>2025</v>
      </c>
      <c r="D37" s="2450"/>
      <c r="E37" s="2450"/>
      <c r="F37" s="2450"/>
      <c r="G37" s="2450"/>
      <c r="H37" s="2450"/>
      <c r="I37" s="2450"/>
      <c r="J37" s="2450"/>
      <c r="K37" s="2016"/>
      <c r="L37" s="2018"/>
      <c r="M37" s="838"/>
      <c r="N37" s="1998"/>
    </row>
    <row r="38" spans="1:14" x14ac:dyDescent="0.2">
      <c r="A38" s="1997"/>
      <c r="B38" s="838"/>
      <c r="C38" s="2450"/>
      <c r="D38" s="2450"/>
      <c r="E38" s="2450"/>
      <c r="F38" s="2450"/>
      <c r="G38" s="2450"/>
      <c r="H38" s="2450"/>
      <c r="I38" s="2450"/>
      <c r="J38" s="245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1" t="s">
        <v>2026</v>
      </c>
      <c r="D40" s="2452"/>
      <c r="E40" s="2452"/>
      <c r="F40" s="2452"/>
      <c r="G40" s="2452"/>
      <c r="H40" s="2452"/>
      <c r="I40" s="2452"/>
      <c r="J40" s="245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3" t="s">
        <v>2027</v>
      </c>
      <c r="B43" s="2454"/>
      <c r="C43" s="2454"/>
      <c r="D43" s="2454"/>
      <c r="E43" s="2454"/>
      <c r="F43" s="2454"/>
      <c r="G43" s="2454"/>
      <c r="H43" s="2454"/>
      <c r="I43" s="2454"/>
      <c r="J43" s="2454"/>
      <c r="K43" s="2454"/>
      <c r="L43" s="2454"/>
      <c r="M43" s="2454"/>
      <c r="N43" s="245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6" t="s">
        <v>2029</v>
      </c>
      <c r="B46" s="2457"/>
      <c r="C46" s="2457"/>
      <c r="D46" s="2457"/>
      <c r="E46" s="2457"/>
      <c r="F46" s="2457"/>
      <c r="G46" s="2457"/>
      <c r="H46" s="2457"/>
      <c r="I46" s="2457"/>
      <c r="J46" s="2457"/>
      <c r="K46" s="2457"/>
      <c r="L46" s="2457"/>
      <c r="M46" s="2457"/>
      <c r="N46" s="2458"/>
    </row>
    <row r="47" spans="1:14" x14ac:dyDescent="0.2">
      <c r="A47" s="2456"/>
      <c r="B47" s="2457"/>
      <c r="C47" s="2457"/>
      <c r="D47" s="2457"/>
      <c r="E47" s="2457"/>
      <c r="F47" s="2457"/>
      <c r="G47" s="2457"/>
      <c r="H47" s="2457"/>
      <c r="I47" s="2457"/>
      <c r="J47" s="2457"/>
      <c r="K47" s="2457"/>
      <c r="L47" s="2457"/>
      <c r="M47" s="2457"/>
      <c r="N47" s="245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59" t="str">
        <f>J6</f>
        <v xml:space="preserve">Center Cass SD 66 </v>
      </c>
      <c r="M52" s="2459"/>
      <c r="N52" s="2460"/>
    </row>
    <row r="53" spans="1:14" x14ac:dyDescent="0.2">
      <c r="A53" s="1982"/>
      <c r="B53" s="1983"/>
      <c r="C53" s="1983"/>
      <c r="D53" s="1983"/>
      <c r="E53" s="1983"/>
      <c r="F53" s="1983"/>
      <c r="G53" s="1983"/>
      <c r="H53" s="1983"/>
      <c r="I53" s="1983"/>
      <c r="J53" s="1983"/>
      <c r="K53" s="1924" t="s">
        <v>369</v>
      </c>
      <c r="L53" s="2461">
        <f>J7</f>
        <v>19022066002</v>
      </c>
      <c r="M53" s="2461"/>
      <c r="N53" s="246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3"/>
      <c r="B55" s="2464"/>
      <c r="C55" s="2464"/>
      <c r="D55" s="1970"/>
      <c r="E55" s="1970"/>
      <c r="F55" s="1970"/>
      <c r="G55" s="2465" t="s">
        <v>2030</v>
      </c>
      <c r="H55" s="2465"/>
      <c r="I55" s="2465"/>
      <c r="J55" s="2465"/>
      <c r="K55" s="2465"/>
      <c r="L55" s="2465"/>
      <c r="M55" s="2465"/>
      <c r="N55" s="2466"/>
    </row>
    <row r="56" spans="1:14" ht="63.75" x14ac:dyDescent="0.2">
      <c r="A56" s="2467" t="s">
        <v>2031</v>
      </c>
      <c r="B56" s="2468"/>
      <c r="C56" s="246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70" t="s">
        <v>296</v>
      </c>
      <c r="B57" s="2471"/>
      <c r="C57" s="247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7" t="s">
        <v>2041</v>
      </c>
      <c r="B58" s="2448"/>
      <c r="C58" s="244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41" t="s">
        <v>297</v>
      </c>
      <c r="B59" s="2442"/>
      <c r="C59" s="244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41" t="s">
        <v>236</v>
      </c>
      <c r="B60" s="2442"/>
      <c r="C60" s="244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41" t="s">
        <v>697</v>
      </c>
      <c r="B61" s="2442"/>
      <c r="C61" s="2442"/>
      <c r="D61" s="1967">
        <v>2365</v>
      </c>
      <c r="E61" s="1977">
        <f>'Expenditures 15-22'!K323</f>
        <v>0</v>
      </c>
      <c r="F61" s="1972"/>
      <c r="G61" s="2031"/>
      <c r="H61" s="2032"/>
      <c r="I61" s="2032"/>
      <c r="J61" s="2032"/>
      <c r="K61" s="2032"/>
      <c r="L61" s="2032"/>
      <c r="M61" s="2032"/>
      <c r="N61" s="1975">
        <f t="shared" si="4"/>
        <v>0</v>
      </c>
    </row>
    <row r="62" spans="1:14" ht="24" customHeight="1" x14ac:dyDescent="0.2">
      <c r="A62" s="2441" t="s">
        <v>237</v>
      </c>
      <c r="B62" s="2442"/>
      <c r="C62" s="2442"/>
      <c r="D62" s="1967">
        <v>2366</v>
      </c>
      <c r="E62" s="1977">
        <f>'Expenditures 15-22'!K324</f>
        <v>0</v>
      </c>
      <c r="F62" s="1972"/>
      <c r="G62" s="2031"/>
      <c r="H62" s="2032"/>
      <c r="I62" s="2032"/>
      <c r="J62" s="2032"/>
      <c r="K62" s="2032"/>
      <c r="L62" s="2032"/>
      <c r="M62" s="2032"/>
      <c r="N62" s="1975">
        <f t="shared" si="4"/>
        <v>0</v>
      </c>
    </row>
    <row r="63" spans="1:14" ht="24" customHeight="1" x14ac:dyDescent="0.2">
      <c r="A63" s="2447" t="s">
        <v>1022</v>
      </c>
      <c r="B63" s="2448"/>
      <c r="C63" s="2448"/>
      <c r="D63" s="1967">
        <v>2367</v>
      </c>
      <c r="E63" s="1977">
        <f>'Expenditures 15-22'!K325</f>
        <v>0</v>
      </c>
      <c r="F63" s="1972"/>
      <c r="G63" s="2031"/>
      <c r="H63" s="2032"/>
      <c r="I63" s="2032"/>
      <c r="J63" s="2032"/>
      <c r="K63" s="2032"/>
      <c r="L63" s="2032"/>
      <c r="M63" s="2032"/>
      <c r="N63" s="1975">
        <f t="shared" si="4"/>
        <v>0</v>
      </c>
    </row>
    <row r="64" spans="1:14" ht="24" customHeight="1" x14ac:dyDescent="0.2">
      <c r="A64" s="2441" t="s">
        <v>1023</v>
      </c>
      <c r="B64" s="2442"/>
      <c r="C64" s="2442"/>
      <c r="D64" s="1967">
        <v>2368</v>
      </c>
      <c r="E64" s="1977">
        <f>'Expenditures 15-22'!K326</f>
        <v>0</v>
      </c>
      <c r="F64" s="1972"/>
      <c r="G64" s="2031"/>
      <c r="H64" s="2032"/>
      <c r="I64" s="2032"/>
      <c r="J64" s="2032"/>
      <c r="K64" s="2032"/>
      <c r="L64" s="2032"/>
      <c r="M64" s="2032"/>
      <c r="N64" s="1975">
        <f t="shared" si="4"/>
        <v>0</v>
      </c>
    </row>
    <row r="65" spans="1:14" ht="24" customHeight="1" x14ac:dyDescent="0.2">
      <c r="A65" s="2441" t="s">
        <v>965</v>
      </c>
      <c r="B65" s="2442"/>
      <c r="C65" s="2442"/>
      <c r="D65" s="1967">
        <v>2369</v>
      </c>
      <c r="E65" s="1977">
        <f>'Expenditures 15-22'!K327</f>
        <v>0</v>
      </c>
      <c r="F65" s="1972"/>
      <c r="G65" s="2031"/>
      <c r="H65" s="2032"/>
      <c r="I65" s="2032"/>
      <c r="J65" s="2032"/>
      <c r="K65" s="2032"/>
      <c r="L65" s="2032"/>
      <c r="M65" s="2032"/>
      <c r="N65" s="1975">
        <f t="shared" si="4"/>
        <v>0</v>
      </c>
    </row>
    <row r="66" spans="1:14" ht="24" customHeight="1" x14ac:dyDescent="0.2">
      <c r="A66" s="2441" t="s">
        <v>469</v>
      </c>
      <c r="B66" s="2442"/>
      <c r="C66" s="2442"/>
      <c r="D66" s="1967">
        <v>2371</v>
      </c>
      <c r="E66" s="1977">
        <f>'Expenditures 15-22'!K328</f>
        <v>0</v>
      </c>
      <c r="F66" s="1972"/>
      <c r="G66" s="2031"/>
      <c r="H66" s="2032"/>
      <c r="I66" s="2032"/>
      <c r="J66" s="2032"/>
      <c r="K66" s="2032"/>
      <c r="L66" s="2032"/>
      <c r="M66" s="2032"/>
      <c r="N66" s="1975">
        <f t="shared" si="4"/>
        <v>0</v>
      </c>
    </row>
    <row r="67" spans="1:14" ht="24.75" customHeight="1" x14ac:dyDescent="0.2">
      <c r="A67" s="2443" t="s">
        <v>2042</v>
      </c>
      <c r="B67" s="2444"/>
      <c r="C67" s="2444"/>
      <c r="D67" s="1969">
        <v>2372</v>
      </c>
      <c r="E67" s="1978">
        <f>'Expenditures 15-22'!K329</f>
        <v>0</v>
      </c>
      <c r="F67" s="1972"/>
      <c r="G67" s="2033"/>
      <c r="H67" s="2034"/>
      <c r="I67" s="2034"/>
      <c r="J67" s="2034"/>
      <c r="K67" s="2034"/>
      <c r="L67" s="2034"/>
      <c r="M67" s="2034"/>
      <c r="N67" s="1975">
        <f t="shared" si="4"/>
        <v>0</v>
      </c>
    </row>
    <row r="68" spans="1:14" x14ac:dyDescent="0.2">
      <c r="A68" s="2445" t="s">
        <v>1151</v>
      </c>
      <c r="B68" s="2446"/>
      <c r="C68" s="244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2105</v>
      </c>
    </row>
    <row r="6" spans="1:2" x14ac:dyDescent="0.2">
      <c r="A6" s="847">
        <v>2</v>
      </c>
      <c r="B6" s="307" t="s">
        <v>2106</v>
      </c>
    </row>
    <row r="7" spans="1:2" x14ac:dyDescent="0.2">
      <c r="A7" s="847">
        <v>3</v>
      </c>
      <c r="B7" s="307" t="s">
        <v>2107</v>
      </c>
    </row>
    <row r="8" spans="1:2" x14ac:dyDescent="0.2">
      <c r="A8" s="847">
        <v>4</v>
      </c>
      <c r="B8" s="307" t="s">
        <v>2108</v>
      </c>
    </row>
    <row r="9" spans="1:2" x14ac:dyDescent="0.2">
      <c r="A9" s="847">
        <v>5</v>
      </c>
      <c r="B9" s="307" t="s">
        <v>2117</v>
      </c>
    </row>
    <row r="10" spans="1:2" x14ac:dyDescent="0.2">
      <c r="A10" s="847">
        <v>6</v>
      </c>
      <c r="B10" s="307" t="s">
        <v>2109</v>
      </c>
    </row>
    <row r="11" spans="1:2" x14ac:dyDescent="0.2">
      <c r="A11" s="847">
        <v>7</v>
      </c>
      <c r="B11" s="307" t="s">
        <v>2110</v>
      </c>
    </row>
    <row r="12" spans="1:2" x14ac:dyDescent="0.2">
      <c r="A12" s="847">
        <v>8</v>
      </c>
      <c r="B12" s="307" t="s">
        <v>2112</v>
      </c>
    </row>
    <row r="13" spans="1:2" x14ac:dyDescent="0.2">
      <c r="A13" s="847">
        <v>9</v>
      </c>
      <c r="B13" s="307" t="s">
        <v>2113</v>
      </c>
    </row>
    <row r="14" spans="1:2" x14ac:dyDescent="0.2">
      <c r="A14" s="847">
        <v>10</v>
      </c>
      <c r="B14" s="307" t="s">
        <v>2111</v>
      </c>
    </row>
    <row r="15" spans="1:2" x14ac:dyDescent="0.2">
      <c r="A15" s="848">
        <v>11</v>
      </c>
      <c r="B15" s="307" t="s">
        <v>2127</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Center Cass SD 66 </v>
      </c>
    </row>
    <row r="65" spans="2:2" x14ac:dyDescent="0.2">
      <c r="B65" s="849">
        <f>COVER!A13</f>
        <v>19022066002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5" t="s">
        <v>1056</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686</v>
      </c>
      <c r="B40" s="2172"/>
      <c r="C40" s="2172"/>
      <c r="D40" s="2172"/>
      <c r="E40" s="2172"/>
    </row>
    <row r="41" spans="1:5" x14ac:dyDescent="0.2">
      <c r="A41" s="2173" t="s">
        <v>1591</v>
      </c>
      <c r="B41" s="2173"/>
      <c r="C41" s="2173"/>
      <c r="D41" s="2173"/>
      <c r="E41" s="2173"/>
    </row>
    <row r="42" spans="1:5" ht="12.75" customHeight="1" x14ac:dyDescent="0.2">
      <c r="A42" s="2174" t="s">
        <v>1015</v>
      </c>
      <c r="B42" s="2174"/>
      <c r="C42" s="2174"/>
      <c r="D42" s="2174"/>
      <c r="E42" s="217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89" t="s">
        <v>1665</v>
      </c>
      <c r="B18" s="248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1669</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53"/>
      <c r="H2" s="853"/>
    </row>
    <row r="3" spans="1:8" ht="57" customHeight="1" x14ac:dyDescent="0.2">
      <c r="A3" s="2503" t="s">
        <v>1972</v>
      </c>
      <c r="B3" s="2504"/>
      <c r="C3" s="2504"/>
      <c r="D3" s="2504"/>
      <c r="E3" s="2504"/>
      <c r="F3" s="2505"/>
      <c r="G3" s="853"/>
      <c r="H3" s="853"/>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53"/>
      <c r="H4" s="853"/>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53"/>
      <c r="H5" s="853"/>
    </row>
    <row r="6" spans="1:8" s="854" customFormat="1" ht="41.25" customHeight="1" x14ac:dyDescent="0.2">
      <c r="A6" s="2506" t="s">
        <v>1670</v>
      </c>
      <c r="B6" s="2507"/>
      <c r="C6" s="2507"/>
      <c r="D6" s="2507"/>
      <c r="E6" s="2507"/>
      <c r="F6" s="250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11982098</v>
      </c>
      <c r="C8" s="1813">
        <f>'Acct Summary 7-8'!D8</f>
        <v>996619</v>
      </c>
      <c r="D8" s="1813">
        <f>'Acct Summary 7-8'!F8</f>
        <v>726290</v>
      </c>
      <c r="E8" s="1813">
        <f>'Acct Summary 7-8'!I8</f>
        <v>67641</v>
      </c>
      <c r="F8" s="1813">
        <f>SUM(B8:E8)</f>
        <v>13772648</v>
      </c>
    </row>
    <row r="9" spans="1:8" s="858" customFormat="1" ht="14.25" customHeight="1" thickBot="1" x14ac:dyDescent="0.25">
      <c r="A9" s="857" t="s">
        <v>1353</v>
      </c>
      <c r="B9" s="1814">
        <f>'Acct Summary 7-8'!C17</f>
        <v>12731473</v>
      </c>
      <c r="C9" s="1814">
        <f>'Acct Summary 7-8'!D17</f>
        <v>1186475</v>
      </c>
      <c r="D9" s="1814">
        <f>'Acct Summary 7-8'!F17</f>
        <v>744974</v>
      </c>
      <c r="E9" s="1813"/>
      <c r="F9" s="1813">
        <f>SUM(B9:E9)</f>
        <v>14662922</v>
      </c>
    </row>
    <row r="10" spans="1:8" s="858" customFormat="1" ht="14.25" thickTop="1" thickBot="1" x14ac:dyDescent="0.25">
      <c r="A10" s="859" t="s">
        <v>1354</v>
      </c>
      <c r="B10" s="1815">
        <f>(B8-B9)</f>
        <v>-749375</v>
      </c>
      <c r="C10" s="1815">
        <f>(C8-C9)</f>
        <v>-189856</v>
      </c>
      <c r="D10" s="1815">
        <f>(D8-D9)</f>
        <v>-18684</v>
      </c>
      <c r="E10" s="1814">
        <f>(E8-E9)</f>
        <v>67641</v>
      </c>
      <c r="F10" s="1816">
        <f>SUM(F8-F9)</f>
        <v>-890274</v>
      </c>
    </row>
    <row r="11" spans="1:8" s="858" customFormat="1" ht="14.25" thickTop="1" thickBot="1" x14ac:dyDescent="0.25">
      <c r="A11" s="860" t="s">
        <v>1903</v>
      </c>
      <c r="B11" s="1817">
        <f>'Acct Summary 7-8'!C81</f>
        <v>3386324</v>
      </c>
      <c r="C11" s="1817">
        <f>'Acct Summary 7-8'!D81</f>
        <v>726922</v>
      </c>
      <c r="D11" s="1817">
        <f>'Acct Summary 7-8'!F81</f>
        <v>35529</v>
      </c>
      <c r="E11" s="1817">
        <f>'Acct Summary 7-8'!I81</f>
        <v>1793037</v>
      </c>
      <c r="F11" s="1818">
        <f>SUM(B11:E11)</f>
        <v>5941812</v>
      </c>
    </row>
    <row r="12" spans="1:8" ht="16.5" customHeight="1" thickTop="1" x14ac:dyDescent="0.2">
      <c r="A12" s="861"/>
      <c r="B12" s="862"/>
      <c r="C12" s="2494" t="str">
        <f>IF(AND(F10&lt;0,F11&gt;=0,ABS(F10*3)&gt;ABS(F11)),A16,IF(AND(F10&lt;0,F11&gt;0,ABS(F10*3)&lt;=ABS(F11)),A17,IF(AND(F10&lt;0,F11&lt;0),A16,IF(F11=0,A19,A18))))</f>
        <v>Unbalanced -  however, a deficit reduction plan is not required at this time.</v>
      </c>
      <c r="D12" s="2495"/>
      <c r="E12" s="2495"/>
      <c r="F12" s="2496"/>
    </row>
    <row r="13" spans="1:8" ht="19.5" customHeight="1" x14ac:dyDescent="0.2">
      <c r="A13" s="863"/>
      <c r="B13" s="864"/>
      <c r="C13" s="2494"/>
      <c r="D13" s="2495"/>
      <c r="E13" s="2495"/>
      <c r="F13" s="2496"/>
      <c r="H13" s="853"/>
    </row>
    <row r="14" spans="1:8" ht="19.5" customHeight="1" x14ac:dyDescent="0.2">
      <c r="A14" s="863"/>
      <c r="B14" s="864"/>
      <c r="C14" s="2494"/>
      <c r="D14" s="2495"/>
      <c r="E14" s="2495"/>
      <c r="F14" s="2496"/>
      <c r="H14" s="853"/>
    </row>
    <row r="15" spans="1:8" ht="17.25" customHeight="1" x14ac:dyDescent="0.2">
      <c r="A15" s="863"/>
      <c r="B15" s="864"/>
      <c r="C15" s="2497"/>
      <c r="D15" s="2498"/>
      <c r="E15" s="2498"/>
      <c r="F15" s="2499"/>
      <c r="H15" s="853"/>
    </row>
    <row r="16" spans="1:8" s="288" customFormat="1" ht="51.75" hidden="1" customHeight="1" x14ac:dyDescent="0.2">
      <c r="A16" s="2493" t="s">
        <v>1666</v>
      </c>
      <c r="B16" s="2493"/>
      <c r="C16" s="2493"/>
      <c r="D16" s="2493"/>
      <c r="E16" s="249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5" t="s">
        <v>660</v>
      </c>
      <c r="B3" s="2516"/>
      <c r="C3" s="2516"/>
      <c r="D3" s="251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6" t="s">
        <v>1487</v>
      </c>
      <c r="D7" s="252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8" t="s">
        <v>1001</v>
      </c>
      <c r="B15" s="2519"/>
      <c r="C15" s="2519"/>
      <c r="D15" s="2520"/>
    </row>
    <row r="16" spans="1:4" s="542" customFormat="1" ht="24" customHeight="1" x14ac:dyDescent="0.2">
      <c r="A16" s="2521" t="s">
        <v>658</v>
      </c>
      <c r="B16" s="2522"/>
      <c r="C16" s="2522"/>
      <c r="D16" s="252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0" t="s">
        <v>311</v>
      </c>
      <c r="D21" s="2531"/>
    </row>
    <row r="22" spans="1:10" ht="12.75" x14ac:dyDescent="0.2">
      <c r="A22" s="918"/>
      <c r="B22" s="919">
        <v>2</v>
      </c>
      <c r="C22" s="2528" t="s">
        <v>1507</v>
      </c>
      <c r="D22" s="252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2" t="s">
        <v>533</v>
      </c>
      <c r="D43" s="253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4" t="s">
        <v>779</v>
      </c>
      <c r="D56" s="252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4" t="s">
        <v>1674</v>
      </c>
      <c r="D70" s="252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19022066002</v>
      </c>
      <c r="E2" s="1542">
        <v>2020</v>
      </c>
      <c r="F2" s="1542">
        <v>1</v>
      </c>
      <c r="G2" s="1899">
        <v>101000300</v>
      </c>
    </row>
    <row r="3" spans="1:7" ht="15" x14ac:dyDescent="0.25">
      <c r="A3" t="s">
        <v>950</v>
      </c>
      <c r="B3" s="135" t="str">
        <f>COVER!A15</f>
        <v>DuPage County</v>
      </c>
      <c r="E3" s="1830" t="s">
        <v>1971</v>
      </c>
      <c r="F3" s="1830" t="s">
        <v>1970</v>
      </c>
      <c r="G3" s="1899">
        <v>101000400</v>
      </c>
    </row>
    <row r="4" spans="1:7" ht="15" x14ac:dyDescent="0.25">
      <c r="A4" t="s">
        <v>1000</v>
      </c>
      <c r="B4" s="135" t="str">
        <f>COVER!A17</f>
        <v xml:space="preserve">Center Cass SD 66 </v>
      </c>
      <c r="E4" s="1828">
        <v>44119</v>
      </c>
      <c r="F4" s="1829">
        <v>44151</v>
      </c>
      <c r="G4" s="1899">
        <v>101000600</v>
      </c>
    </row>
    <row r="5" spans="1:7" ht="15" x14ac:dyDescent="0.25">
      <c r="A5" t="s">
        <v>699</v>
      </c>
      <c r="B5" s="135" t="str">
        <f>COVER!A38</f>
        <v>Andrew Wise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33239</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600000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3386324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3386324</v>
      </c>
      <c r="D92" s="2" t="str">
        <f t="shared" si="0"/>
        <v>Error?</v>
      </c>
      <c r="G92" s="1899">
        <v>102640600</v>
      </c>
    </row>
    <row r="93" spans="1:7" ht="15" x14ac:dyDescent="0.25">
      <c r="A93" s="5">
        <v>32</v>
      </c>
      <c r="B93" s="1832">
        <f>'Assets-Liab 5-6'!C41</f>
        <v>3386324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726922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676922</v>
      </c>
      <c r="D123" s="2" t="str">
        <f t="shared" si="0"/>
        <v>Error?</v>
      </c>
      <c r="G123" s="1899">
        <v>203000400</v>
      </c>
    </row>
    <row r="124" spans="1:7" ht="15" x14ac:dyDescent="0.25">
      <c r="A124" s="5">
        <v>63</v>
      </c>
      <c r="B124" s="1832">
        <f>'Assets-Liab 5-6'!D41</f>
        <v>726922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442055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442055</v>
      </c>
      <c r="D140" s="2" t="str">
        <f t="shared" si="1"/>
        <v>Error?</v>
      </c>
    </row>
    <row r="141" spans="1:7" x14ac:dyDescent="0.2">
      <c r="A141" s="5">
        <v>80</v>
      </c>
      <c r="B141" s="1832">
        <f>'Assets-Liab 5-6'!E41</f>
        <v>442055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35529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35529</v>
      </c>
      <c r="D170" s="2" t="str">
        <f t="shared" si="1"/>
        <v>Error?</v>
      </c>
    </row>
    <row r="171" spans="1:4" x14ac:dyDescent="0.2">
      <c r="A171" s="5">
        <v>110</v>
      </c>
      <c r="B171" s="1832">
        <f>'Assets-Liab 5-6'!F41</f>
        <v>35529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127372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46240</v>
      </c>
      <c r="D189" s="2" t="str">
        <f t="shared" si="1"/>
        <v>Error?</v>
      </c>
    </row>
    <row r="190" spans="1:4" x14ac:dyDescent="0.2">
      <c r="A190" s="5">
        <v>129</v>
      </c>
      <c r="B190" s="1832">
        <f>'Assets-Liab 5-6'!G41</f>
        <v>127372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1184131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1184131</v>
      </c>
      <c r="D212" s="2" t="str">
        <f t="shared" si="2"/>
        <v>Error?</v>
      </c>
    </row>
    <row r="213" spans="1:4" x14ac:dyDescent="0.2">
      <c r="A213" s="12">
        <v>152</v>
      </c>
      <c r="B213" s="1832">
        <f>'Assets-Liab 5-6'!H41</f>
        <v>1184131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329076</v>
      </c>
      <c r="D273" s="2" t="str">
        <f t="shared" si="3"/>
        <v>Error?</v>
      </c>
    </row>
    <row r="274" spans="1:4" x14ac:dyDescent="0.2">
      <c r="A274" s="5">
        <v>213</v>
      </c>
      <c r="B274" s="1832">
        <f>'Assets-Liab 5-6'!M17</f>
        <v>20912280</v>
      </c>
      <c r="D274" s="2" t="str">
        <f t="shared" si="3"/>
        <v>Error?</v>
      </c>
    </row>
    <row r="275" spans="1:4" x14ac:dyDescent="0.2">
      <c r="A275" s="5">
        <v>214</v>
      </c>
      <c r="B275" s="1832">
        <f>'Assets-Liab 5-6'!M18</f>
        <v>9252422</v>
      </c>
      <c r="D275" s="2" t="str">
        <f t="shared" si="3"/>
        <v>Error?</v>
      </c>
    </row>
    <row r="276" spans="1:4" x14ac:dyDescent="0.2">
      <c r="A276" s="5">
        <v>215</v>
      </c>
      <c r="B276" s="1832">
        <f>'Assets-Liab 5-6'!M19</f>
        <v>1955795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32449573</v>
      </c>
      <c r="C279" s="2" t="s">
        <v>569</v>
      </c>
      <c r="D279" s="2" t="str">
        <f t="shared" si="3"/>
        <v>Error?</v>
      </c>
    </row>
    <row r="280" spans="1:4" x14ac:dyDescent="0.2">
      <c r="A280" s="5">
        <v>219</v>
      </c>
      <c r="B280" s="1832">
        <f>'Assets-Liab 5-6'!M40</f>
        <v>32449573</v>
      </c>
      <c r="D280" s="2" t="str">
        <f t="shared" si="3"/>
        <v>Error?</v>
      </c>
    </row>
    <row r="281" spans="1:4" x14ac:dyDescent="0.2">
      <c r="A281" s="5">
        <v>220</v>
      </c>
      <c r="B281" s="1832">
        <f>'Assets-Liab 5-6'!M41</f>
        <v>32449573</v>
      </c>
      <c r="C281" s="2" t="s">
        <v>569</v>
      </c>
      <c r="D281" s="2" t="str">
        <f t="shared" si="3"/>
        <v>Error?</v>
      </c>
    </row>
    <row r="282" spans="1:4" x14ac:dyDescent="0.2">
      <c r="A282" s="5">
        <v>221</v>
      </c>
      <c r="B282" s="1832">
        <f>'Assets-Liab 5-6'!N21</f>
        <v>442055</v>
      </c>
      <c r="D282" s="2" t="str">
        <f t="shared" si="3"/>
        <v>Error?</v>
      </c>
    </row>
    <row r="283" spans="1:4" x14ac:dyDescent="0.2">
      <c r="A283" s="5">
        <v>222</v>
      </c>
      <c r="B283" s="1832">
        <f>'Assets-Liab 5-6'!N22</f>
        <v>13882883</v>
      </c>
      <c r="D283" s="2" t="str">
        <f t="shared" si="3"/>
        <v>Error?</v>
      </c>
    </row>
    <row r="284" spans="1:4" x14ac:dyDescent="0.2">
      <c r="A284" s="5">
        <v>223</v>
      </c>
      <c r="B284" s="1832">
        <f>'Assets-Liab 5-6'!N23</f>
        <v>14324938</v>
      </c>
      <c r="C284" s="2" t="s">
        <v>569</v>
      </c>
      <c r="D284" s="2" t="str">
        <f t="shared" si="3"/>
        <v>Error?</v>
      </c>
    </row>
    <row r="285" spans="1:4" x14ac:dyDescent="0.2">
      <c r="A285" s="5">
        <v>224</v>
      </c>
      <c r="B285" s="1832">
        <f>'Assets-Liab 5-6'!N36</f>
        <v>14324938</v>
      </c>
      <c r="D285" s="2" t="str">
        <f t="shared" si="3"/>
        <v>Error?</v>
      </c>
    </row>
    <row r="286" spans="1:4" x14ac:dyDescent="0.2">
      <c r="A286" s="10">
        <v>225</v>
      </c>
      <c r="B286" s="1832"/>
      <c r="D286" s="2" t="str">
        <f t="shared" si="3"/>
        <v>OK</v>
      </c>
    </row>
    <row r="287" spans="1:4" x14ac:dyDescent="0.2">
      <c r="A287" s="5">
        <v>226</v>
      </c>
      <c r="B287" s="1832">
        <f>'Assets-Liab 5-6'!N37</f>
        <v>14324938</v>
      </c>
      <c r="C287" s="2" t="s">
        <v>569</v>
      </c>
      <c r="D287" s="2" t="str">
        <f t="shared" si="3"/>
        <v>Error?</v>
      </c>
    </row>
    <row r="288" spans="1:4" x14ac:dyDescent="0.2">
      <c r="A288" s="5">
        <v>227</v>
      </c>
      <c r="B288" s="1832">
        <f>'Assets-Liab 5-6'!N41</f>
        <v>14324938</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28332</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1073558</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5554710</v>
      </c>
      <c r="D705" s="2" t="str">
        <f t="shared" si="10"/>
        <v>Error?</v>
      </c>
    </row>
    <row r="706" spans="1:4" x14ac:dyDescent="0.2">
      <c r="A706" s="5">
        <v>645</v>
      </c>
      <c r="B706" s="1832">
        <f>'Expenditures 15-22'!C16</f>
        <v>1776</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61799</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55584</v>
      </c>
      <c r="D718" s="2" t="str">
        <f t="shared" si="10"/>
        <v>Error?</v>
      </c>
    </row>
    <row r="719" spans="1:4" x14ac:dyDescent="0.2">
      <c r="A719" s="5">
        <v>658</v>
      </c>
      <c r="B719" s="1832">
        <f>'Expenditures 15-22'!C15</f>
        <v>14720</v>
      </c>
      <c r="D719" s="2" t="str">
        <f t="shared" si="10"/>
        <v>Error?</v>
      </c>
    </row>
    <row r="720" spans="1:4" x14ac:dyDescent="0.2">
      <c r="A720" s="5">
        <v>659</v>
      </c>
      <c r="B720" s="1832">
        <f>'Expenditures 15-22'!C33</f>
        <v>7003400</v>
      </c>
      <c r="C720" s="2" t="s">
        <v>569</v>
      </c>
      <c r="D720" s="2" t="str">
        <f t="shared" si="10"/>
        <v>Error?</v>
      </c>
    </row>
    <row r="721" spans="1:4" x14ac:dyDescent="0.2">
      <c r="A721" s="5">
        <v>660</v>
      </c>
      <c r="B721" s="1832">
        <f>'Expenditures 15-22'!C36</f>
        <v>237417</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81574</v>
      </c>
      <c r="D723" s="2" t="str">
        <f t="shared" si="10"/>
        <v>Error?</v>
      </c>
    </row>
    <row r="724" spans="1:4" x14ac:dyDescent="0.2">
      <c r="A724" s="5">
        <v>663</v>
      </c>
      <c r="B724" s="1832">
        <f>'Expenditures 15-22'!C39</f>
        <v>118886</v>
      </c>
      <c r="D724" s="2" t="str">
        <f t="shared" si="10"/>
        <v>Error?</v>
      </c>
    </row>
    <row r="725" spans="1:4" x14ac:dyDescent="0.2">
      <c r="A725" s="5">
        <v>664</v>
      </c>
      <c r="B725" s="1832">
        <f>'Expenditures 15-22'!C40</f>
        <v>210217</v>
      </c>
      <c r="D725" s="2" t="str">
        <f t="shared" si="10"/>
        <v>Error?</v>
      </c>
    </row>
    <row r="726" spans="1:4" x14ac:dyDescent="0.2">
      <c r="A726" s="5">
        <v>665</v>
      </c>
      <c r="B726" s="1832">
        <f>'Expenditures 15-22'!C41</f>
        <v>1031</v>
      </c>
      <c r="D726" s="2" t="str">
        <f t="shared" si="10"/>
        <v>Error?</v>
      </c>
    </row>
    <row r="727" spans="1:4" x14ac:dyDescent="0.2">
      <c r="A727" s="5">
        <v>666</v>
      </c>
      <c r="B727" s="1832">
        <f>'Expenditures 15-22'!C42</f>
        <v>649125</v>
      </c>
      <c r="C727" s="2" t="s">
        <v>569</v>
      </c>
      <c r="D727" s="2" t="str">
        <f t="shared" si="10"/>
        <v>Error?</v>
      </c>
    </row>
    <row r="728" spans="1:4" x14ac:dyDescent="0.2">
      <c r="A728" s="5">
        <v>667</v>
      </c>
      <c r="B728" s="1832">
        <f>'Expenditures 15-22'!C44</f>
        <v>98780</v>
      </c>
      <c r="D728" s="2" t="str">
        <f t="shared" si="10"/>
        <v>Error?</v>
      </c>
    </row>
    <row r="729" spans="1:4" x14ac:dyDescent="0.2">
      <c r="A729" s="5">
        <v>668</v>
      </c>
      <c r="B729" s="1832">
        <f>'Expenditures 15-22'!C45</f>
        <v>282500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381280</v>
      </c>
      <c r="C731" s="2" t="s">
        <v>569</v>
      </c>
      <c r="D731" s="2" t="str">
        <f t="shared" si="10"/>
        <v>Error?</v>
      </c>
    </row>
    <row r="732" spans="1:4" x14ac:dyDescent="0.2">
      <c r="A732" s="5">
        <v>671</v>
      </c>
      <c r="B732" s="1832">
        <f>'Expenditures 15-22'!C49</f>
        <v>2400</v>
      </c>
      <c r="D732" s="2" t="str">
        <f t="shared" si="10"/>
        <v>Error?</v>
      </c>
    </row>
    <row r="733" spans="1:4" x14ac:dyDescent="0.2">
      <c r="A733" s="5">
        <v>672</v>
      </c>
      <c r="B733" s="1832">
        <f>'Expenditures 15-22'!C50</f>
        <v>247224</v>
      </c>
      <c r="D733" s="2" t="str">
        <f t="shared" si="10"/>
        <v>Error?</v>
      </c>
    </row>
    <row r="734" spans="1:4" x14ac:dyDescent="0.2">
      <c r="A734" s="5">
        <v>673</v>
      </c>
      <c r="B734" s="1832">
        <f>'Expenditures 15-22'!C53</f>
        <v>249624</v>
      </c>
      <c r="C734" s="2" t="s">
        <v>569</v>
      </c>
      <c r="D734" s="2" t="str">
        <f t="shared" si="10"/>
        <v>Error?</v>
      </c>
    </row>
    <row r="735" spans="1:4" x14ac:dyDescent="0.2">
      <c r="A735" s="5">
        <v>674</v>
      </c>
      <c r="B735" s="1832">
        <f>'Expenditures 15-22'!C55</f>
        <v>600045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600045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145830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19435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165265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22400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22400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2067739</v>
      </c>
      <c r="C755" s="2" t="s">
        <v>569</v>
      </c>
      <c r="D755" s="2" t="str">
        <f t="shared" si="10"/>
        <v>Error?</v>
      </c>
    </row>
    <row r="756" spans="1:4" x14ac:dyDescent="0.2">
      <c r="A756" s="5">
        <v>695</v>
      </c>
      <c r="B756" s="1832">
        <f>'Expenditures 15-22'!C75</f>
        <v>204502</v>
      </c>
      <c r="D756" s="2" t="str">
        <f t="shared" si="10"/>
        <v>Error?</v>
      </c>
    </row>
    <row r="757" spans="1:4" x14ac:dyDescent="0.2">
      <c r="A757" s="5">
        <v>696</v>
      </c>
      <c r="B757" s="1832">
        <f>'Expenditures 15-22'!C114</f>
        <v>9275641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562693</v>
      </c>
      <c r="D763" s="2" t="str">
        <f t="shared" si="10"/>
        <v>Error?</v>
      </c>
    </row>
    <row r="764" spans="1:4" x14ac:dyDescent="0.2">
      <c r="A764" s="5">
        <v>703</v>
      </c>
      <c r="B764" s="1832">
        <f>'Expenditures 15-22'!D16</f>
        <v>27</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10348</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1037</v>
      </c>
      <c r="D776" s="2" t="str">
        <f t="shared" si="11"/>
        <v>Error?</v>
      </c>
    </row>
    <row r="777" spans="1:4" x14ac:dyDescent="0.2">
      <c r="A777" s="5">
        <v>716</v>
      </c>
      <c r="B777" s="1832">
        <f>'Expenditures 15-22'!D15</f>
        <v>221</v>
      </c>
      <c r="D777" s="2" t="str">
        <f t="shared" si="11"/>
        <v>Error?</v>
      </c>
    </row>
    <row r="778" spans="1:4" x14ac:dyDescent="0.2">
      <c r="A778" s="5">
        <v>717</v>
      </c>
      <c r="B778" s="1832">
        <f>'Expenditures 15-22'!D33</f>
        <v>684738</v>
      </c>
      <c r="C778" s="2" t="s">
        <v>569</v>
      </c>
      <c r="D778" s="2" t="str">
        <f t="shared" si="11"/>
        <v>Error?</v>
      </c>
    </row>
    <row r="779" spans="1:4" x14ac:dyDescent="0.2">
      <c r="A779" s="5">
        <v>718</v>
      </c>
      <c r="B779" s="1832">
        <f>'Expenditures 15-22'!D36</f>
        <v>30552</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8003</v>
      </c>
      <c r="D781" s="2" t="str">
        <f t="shared" si="11"/>
        <v>Error?</v>
      </c>
    </row>
    <row r="782" spans="1:4" x14ac:dyDescent="0.2">
      <c r="A782" s="5">
        <v>721</v>
      </c>
      <c r="B782" s="1832">
        <f>'Expenditures 15-22'!D39</f>
        <v>2318</v>
      </c>
      <c r="D782" s="2" t="str">
        <f t="shared" si="11"/>
        <v>Error?</v>
      </c>
    </row>
    <row r="783" spans="1:4" x14ac:dyDescent="0.2">
      <c r="A783" s="5">
        <v>722</v>
      </c>
      <c r="B783" s="1832">
        <f>'Expenditures 15-22'!D40</f>
        <v>17034</v>
      </c>
      <c r="D783" s="2" t="str">
        <f t="shared" si="11"/>
        <v>Error?</v>
      </c>
    </row>
    <row r="784" spans="1:4" x14ac:dyDescent="0.2">
      <c r="A784" s="5">
        <v>723</v>
      </c>
      <c r="B784" s="1832">
        <f>'Expenditures 15-22'!D41</f>
        <v>6</v>
      </c>
      <c r="D784" s="2" t="str">
        <f t="shared" si="11"/>
        <v>Error?</v>
      </c>
    </row>
    <row r="785" spans="1:4" x14ac:dyDescent="0.2">
      <c r="A785" s="5">
        <v>724</v>
      </c>
      <c r="B785" s="1832">
        <f>'Expenditures 15-22'!D42</f>
        <v>57913</v>
      </c>
      <c r="C785" s="2" t="s">
        <v>569</v>
      </c>
      <c r="D785" s="2" t="str">
        <f t="shared" si="11"/>
        <v>Error?</v>
      </c>
    </row>
    <row r="786" spans="1:4" x14ac:dyDescent="0.2">
      <c r="A786" s="5">
        <v>725</v>
      </c>
      <c r="B786" s="1832">
        <f>'Expenditures 15-22'!D44</f>
        <v>11929</v>
      </c>
      <c r="D786" s="2" t="str">
        <f t="shared" si="11"/>
        <v>Error?</v>
      </c>
    </row>
    <row r="787" spans="1:4" x14ac:dyDescent="0.2">
      <c r="A787" s="5">
        <v>726</v>
      </c>
      <c r="B787" s="1832">
        <f>'Expenditures 15-22'!D45</f>
        <v>19986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31915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23598</v>
      </c>
      <c r="D791" s="2" t="str">
        <f t="shared" si="11"/>
        <v>Error?</v>
      </c>
    </row>
    <row r="792" spans="1:4" x14ac:dyDescent="0.2">
      <c r="A792" s="5">
        <v>731</v>
      </c>
      <c r="B792" s="1832">
        <f>'Expenditures 15-22'!D53</f>
        <v>23598</v>
      </c>
      <c r="C792" s="2" t="s">
        <v>569</v>
      </c>
      <c r="D792" s="2" t="str">
        <f t="shared" si="11"/>
        <v>Error?</v>
      </c>
    </row>
    <row r="793" spans="1:4" x14ac:dyDescent="0.2">
      <c r="A793" s="5">
        <v>732</v>
      </c>
      <c r="B793" s="1832">
        <f>'Expenditures 15-22'!D55</f>
        <v>94114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94114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41247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41247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248787</v>
      </c>
      <c r="C813" s="2" t="s">
        <v>569</v>
      </c>
      <c r="D813" s="2" t="str">
        <f t="shared" si="11"/>
        <v>Error?</v>
      </c>
    </row>
    <row r="814" spans="1:4" x14ac:dyDescent="0.2">
      <c r="A814" s="5">
        <v>753</v>
      </c>
      <c r="B814" s="1832">
        <f>'Expenditures 15-22'!D75</f>
        <v>21787</v>
      </c>
      <c r="D814" s="2" t="str">
        <f t="shared" si="11"/>
        <v>Error?</v>
      </c>
    </row>
    <row r="815" spans="1:4" x14ac:dyDescent="0.2">
      <c r="A815" s="5">
        <v>754</v>
      </c>
      <c r="B815" s="1832">
        <f>'Expenditures 15-22'!D114</f>
        <v>955312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76250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78804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3376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6845</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10221</v>
      </c>
      <c r="C843" s="2" t="s">
        <v>569</v>
      </c>
      <c r="D843" s="2" t="str">
        <f t="shared" si="12"/>
        <v>Error?</v>
      </c>
    </row>
    <row r="844" spans="1:4" x14ac:dyDescent="0.2">
      <c r="A844" s="5">
        <v>783</v>
      </c>
      <c r="B844" s="1832">
        <f>'Expenditures 15-22'!E44</f>
        <v>15057</v>
      </c>
      <c r="D844" s="2" t="str">
        <f t="shared" si="12"/>
        <v>Error?</v>
      </c>
    </row>
    <row r="845" spans="1:4" x14ac:dyDescent="0.2">
      <c r="A845" s="5">
        <v>784</v>
      </c>
      <c r="B845" s="1832">
        <f>'Expenditures 15-22'!E45</f>
        <v>87171</v>
      </c>
      <c r="D845" s="2" t="str">
        <f t="shared" si="12"/>
        <v>Error?</v>
      </c>
    </row>
    <row r="846" spans="1:4" x14ac:dyDescent="0.2">
      <c r="A846" s="5">
        <v>785</v>
      </c>
      <c r="B846" s="1832">
        <f>'Expenditures 15-22'!E46</f>
        <v>44874</v>
      </c>
      <c r="D846" s="2" t="str">
        <f t="shared" si="12"/>
        <v>Error?</v>
      </c>
    </row>
    <row r="847" spans="1:4" x14ac:dyDescent="0.2">
      <c r="A847" s="5">
        <v>786</v>
      </c>
      <c r="B847" s="1832">
        <f>'Expenditures 15-22'!E47</f>
        <v>147102</v>
      </c>
      <c r="C847" s="2" t="s">
        <v>569</v>
      </c>
      <c r="D847" s="2" t="str">
        <f t="shared" si="12"/>
        <v>Error?</v>
      </c>
    </row>
    <row r="848" spans="1:4" x14ac:dyDescent="0.2">
      <c r="A848" s="5">
        <v>787</v>
      </c>
      <c r="B848" s="1832">
        <f>'Expenditures 15-22'!E49</f>
        <v>152730</v>
      </c>
      <c r="D848" s="2" t="str">
        <f t="shared" si="12"/>
        <v>Error?</v>
      </c>
    </row>
    <row r="849" spans="1:4" x14ac:dyDescent="0.2">
      <c r="A849" s="5">
        <v>788</v>
      </c>
      <c r="B849" s="1832">
        <f>'Expenditures 15-22'!E50</f>
        <v>747</v>
      </c>
      <c r="D849" s="2" t="str">
        <f t="shared" si="12"/>
        <v>Error?</v>
      </c>
    </row>
    <row r="850" spans="1:4" x14ac:dyDescent="0.2">
      <c r="A850" s="5">
        <v>789</v>
      </c>
      <c r="B850" s="1832">
        <f>'Expenditures 15-22'!E53</f>
        <v>153477</v>
      </c>
      <c r="C850" s="2" t="s">
        <v>569</v>
      </c>
      <c r="D850" s="2" t="str">
        <f t="shared" si="12"/>
        <v>Error?</v>
      </c>
    </row>
    <row r="851" spans="1:4" x14ac:dyDescent="0.2">
      <c r="A851" s="5">
        <v>790</v>
      </c>
      <c r="B851" s="1832">
        <f>'Expenditures 15-22'!E55</f>
        <v>1252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1252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2441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1862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4303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316355</v>
      </c>
      <c r="C871" s="2" t="s">
        <v>569</v>
      </c>
      <c r="D871" s="2" t="str">
        <f t="shared" si="12"/>
        <v>Error?</v>
      </c>
    </row>
    <row r="872" spans="1:4" x14ac:dyDescent="0.2">
      <c r="A872" s="5">
        <v>811</v>
      </c>
      <c r="B872" s="1832">
        <f>'Expenditures 15-22'!E75</f>
        <v>8432</v>
      </c>
      <c r="D872" s="2" t="str">
        <f t="shared" si="12"/>
        <v>Error?</v>
      </c>
    </row>
    <row r="873" spans="1:4" x14ac:dyDescent="0.2">
      <c r="A873" s="5">
        <v>812</v>
      </c>
      <c r="B873" s="1832">
        <f>'Expenditures 15-22'!E114</f>
        <v>420828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153042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124</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4178</v>
      </c>
      <c r="D892" s="2" t="str">
        <f t="shared" si="12"/>
        <v>Error?</v>
      </c>
    </row>
    <row r="893" spans="1:4" x14ac:dyDescent="0.2">
      <c r="A893" s="5">
        <v>832</v>
      </c>
      <c r="B893" s="1832">
        <f>'Expenditures 15-22'!F15</f>
        <v>6305</v>
      </c>
      <c r="D893" s="2" t="str">
        <f t="shared" si="12"/>
        <v>Error?</v>
      </c>
    </row>
    <row r="894" spans="1:4" x14ac:dyDescent="0.2">
      <c r="A894" s="5">
        <v>833</v>
      </c>
      <c r="B894" s="1832">
        <f>'Expenditures 15-22'!F33</f>
        <v>169389</v>
      </c>
      <c r="C894" s="2" t="s">
        <v>569</v>
      </c>
      <c r="D894" s="2" t="str">
        <f t="shared" si="12"/>
        <v>Error?</v>
      </c>
    </row>
    <row r="895" spans="1:4" x14ac:dyDescent="0.2">
      <c r="A895" s="5">
        <v>834</v>
      </c>
      <c r="B895" s="1832">
        <f>'Expenditures 15-22'!F36</f>
        <v>108</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2982</v>
      </c>
      <c r="D897" s="2" t="str">
        <f t="shared" si="13"/>
        <v>Error?</v>
      </c>
    </row>
    <row r="898" spans="1:4" x14ac:dyDescent="0.2">
      <c r="A898" s="5">
        <v>837</v>
      </c>
      <c r="B898" s="1832">
        <f>'Expenditures 15-22'!F39</f>
        <v>333</v>
      </c>
      <c r="D898" s="2" t="str">
        <f t="shared" si="13"/>
        <v>Error?</v>
      </c>
    </row>
    <row r="899" spans="1:4" x14ac:dyDescent="0.2">
      <c r="A899" s="5">
        <v>838</v>
      </c>
      <c r="B899" s="1832">
        <f>'Expenditures 15-22'!F40</f>
        <v>760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4183</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54665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54665</v>
      </c>
      <c r="C905" s="2" t="s">
        <v>569</v>
      </c>
      <c r="D905" s="2" t="str">
        <f t="shared" si="13"/>
        <v>Error?</v>
      </c>
    </row>
    <row r="906" spans="1:4" x14ac:dyDescent="0.2">
      <c r="A906" s="5">
        <v>845</v>
      </c>
      <c r="B906" s="1832">
        <f>'Expenditures 15-22'!F49</f>
        <v>1317</v>
      </c>
      <c r="D906" s="2" t="str">
        <f t="shared" si="13"/>
        <v>Error?</v>
      </c>
    </row>
    <row r="907" spans="1:4" x14ac:dyDescent="0.2">
      <c r="A907" s="5">
        <v>846</v>
      </c>
      <c r="B907" s="1832">
        <f>'Expenditures 15-22'!F50</f>
        <v>2599</v>
      </c>
      <c r="D907" s="2" t="str">
        <f t="shared" si="13"/>
        <v>Error?</v>
      </c>
    </row>
    <row r="908" spans="1:4" x14ac:dyDescent="0.2">
      <c r="A908" s="5">
        <v>847</v>
      </c>
      <c r="B908" s="1832">
        <f>'Expenditures 15-22'!F53</f>
        <v>3916</v>
      </c>
      <c r="C908" s="2" t="s">
        <v>569</v>
      </c>
      <c r="D908" s="2" t="str">
        <f t="shared" si="13"/>
        <v>Error?</v>
      </c>
    </row>
    <row r="909" spans="1:4" x14ac:dyDescent="0.2">
      <c r="A909" s="5">
        <v>848</v>
      </c>
      <c r="B909" s="1832">
        <f>'Expenditures 15-22'!F55</f>
        <v>1865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1865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5293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148088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153381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4739</v>
      </c>
      <c r="D921" s="2" t="str">
        <f t="shared" si="13"/>
        <v>Error?</v>
      </c>
    </row>
    <row r="922" spans="1:4" x14ac:dyDescent="0.2">
      <c r="A922" s="5">
        <v>861</v>
      </c>
      <c r="B922" s="1832">
        <f>'Expenditures 15-22'!F69</f>
        <v>22412</v>
      </c>
      <c r="D922" s="2" t="str">
        <f t="shared" si="13"/>
        <v>Error?</v>
      </c>
    </row>
    <row r="923" spans="1:4" x14ac:dyDescent="0.2">
      <c r="A923" s="5">
        <v>862</v>
      </c>
      <c r="B923" s="1832">
        <f>'Expenditures 15-22'!F70</f>
        <v>14288</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41439</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259449</v>
      </c>
      <c r="C929" s="2" t="s">
        <v>569</v>
      </c>
      <c r="D929" s="2" t="str">
        <f t="shared" si="13"/>
        <v>Error?</v>
      </c>
    </row>
    <row r="930" spans="1:4" x14ac:dyDescent="0.2">
      <c r="A930" s="5">
        <v>869</v>
      </c>
      <c r="B930" s="1832">
        <f>'Expenditures 15-22'!F75</f>
        <v>17173</v>
      </c>
      <c r="D930" s="2" t="str">
        <f t="shared" si="13"/>
        <v>Error?</v>
      </c>
    </row>
    <row r="931" spans="1:4" x14ac:dyDescent="0.2">
      <c r="A931" s="5">
        <v>870</v>
      </c>
      <c r="B931" s="1832">
        <f>'Expenditures 15-22'!F114</f>
        <v>446011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26343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28030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602815</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602815</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2008</v>
      </c>
      <c r="D965" s="2" t="str">
        <f t="shared" si="14"/>
        <v>Error?</v>
      </c>
    </row>
    <row r="966" spans="1:4" x14ac:dyDescent="0.2">
      <c r="A966" s="5">
        <v>905</v>
      </c>
      <c r="B966" s="1832">
        <f>'Expenditures 15-22'!G53</f>
        <v>2008</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604823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632853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322137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8601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497441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927</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927</v>
      </c>
      <c r="C1021" s="2" t="s">
        <v>569</v>
      </c>
      <c r="D1021" s="2" t="str">
        <f t="shared" si="14"/>
        <v>Error?</v>
      </c>
    </row>
    <row r="1022" spans="1:4" x14ac:dyDescent="0.2">
      <c r="A1022" s="5">
        <v>961</v>
      </c>
      <c r="B1022" s="1832">
        <f>'Expenditures 15-22'!H49</f>
        <v>13388</v>
      </c>
      <c r="D1022" s="2" t="str">
        <f t="shared" si="14"/>
        <v>Error?</v>
      </c>
    </row>
    <row r="1023" spans="1:4" x14ac:dyDescent="0.2">
      <c r="A1023" s="5">
        <v>962</v>
      </c>
      <c r="B1023" s="1832">
        <f>'Expenditures 15-22'!H50</f>
        <v>1656</v>
      </c>
      <c r="D1023" s="2" t="str">
        <f t="shared" ref="D1023:D1086" si="15">IF(ISBLANK(B1023),"OK",IF(A1023-B1023=0,"OK","Error?"))</f>
        <v>Error?</v>
      </c>
    </row>
    <row r="1024" spans="1:4" x14ac:dyDescent="0.2">
      <c r="A1024" s="5">
        <v>963</v>
      </c>
      <c r="B1024" s="1832">
        <f>'Expenditures 15-22'!H53</f>
        <v>15044</v>
      </c>
      <c r="C1024" s="2" t="s">
        <v>569</v>
      </c>
      <c r="D1024" s="2" t="str">
        <f t="shared" si="15"/>
        <v>Error?</v>
      </c>
    </row>
    <row r="1025" spans="1:4" x14ac:dyDescent="0.2">
      <c r="A1025" s="5">
        <v>964</v>
      </c>
      <c r="B1025" s="1832">
        <f>'Expenditures 15-22'!H55</f>
        <v>948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948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334</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334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17253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486134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1000828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6695175</v>
      </c>
      <c r="C1093" s="2" t="s">
        <v>569</v>
      </c>
      <c r="D1093" s="2" t="str">
        <f t="shared" si="16"/>
        <v>Error?</v>
      </c>
    </row>
    <row r="1094" spans="1:4" x14ac:dyDescent="0.2">
      <c r="A1094" s="5">
        <v>1033</v>
      </c>
      <c r="B1094" s="1832">
        <f>'Expenditures 15-22'!K16</f>
        <v>1803</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72271</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69455</v>
      </c>
      <c r="C1106" s="2" t="s">
        <v>569</v>
      </c>
      <c r="D1106" s="2" t="str">
        <f t="shared" si="16"/>
        <v>Error?</v>
      </c>
    </row>
    <row r="1107" spans="1:4" x14ac:dyDescent="0.2">
      <c r="A1107" s="5">
        <v>1046</v>
      </c>
      <c r="B1107" s="1832">
        <f>'Expenditures 15-22'!K15</f>
        <v>21246</v>
      </c>
      <c r="C1107" s="2" t="s">
        <v>569</v>
      </c>
      <c r="D1107" s="2" t="str">
        <f t="shared" si="16"/>
        <v>Error?</v>
      </c>
    </row>
    <row r="1108" spans="1:4" x14ac:dyDescent="0.2">
      <c r="A1108" s="5">
        <v>1047</v>
      </c>
      <c r="B1108" s="1832">
        <f>'Expenditures 15-22'!K33</f>
        <v>8461802</v>
      </c>
      <c r="C1108" s="2" t="s">
        <v>569</v>
      </c>
      <c r="D1108" s="2" t="str">
        <f t="shared" si="16"/>
        <v>Error?</v>
      </c>
    </row>
    <row r="1109" spans="1:4" x14ac:dyDescent="0.2">
      <c r="A1109" s="5">
        <v>1048</v>
      </c>
      <c r="B1109" s="1832">
        <f>'Expenditures 15-22'!K36</f>
        <v>268077</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95935</v>
      </c>
      <c r="C1111" s="2" t="s">
        <v>569</v>
      </c>
      <c r="D1111" s="2" t="str">
        <f t="shared" si="16"/>
        <v>Error?</v>
      </c>
    </row>
    <row r="1112" spans="1:4" x14ac:dyDescent="0.2">
      <c r="A1112" s="5">
        <v>1051</v>
      </c>
      <c r="B1112" s="1832">
        <f>'Expenditures 15-22'!K39</f>
        <v>121537</v>
      </c>
      <c r="C1112" s="2" t="s">
        <v>569</v>
      </c>
      <c r="D1112" s="2" t="str">
        <f t="shared" si="16"/>
        <v>Error?</v>
      </c>
    </row>
    <row r="1113" spans="1:4" x14ac:dyDescent="0.2">
      <c r="A1113" s="5">
        <v>1052</v>
      </c>
      <c r="B1113" s="1832">
        <f>'Expenditures 15-22'!K40</f>
        <v>234856</v>
      </c>
      <c r="C1113" s="2" t="s">
        <v>569</v>
      </c>
      <c r="D1113" s="2" t="str">
        <f t="shared" si="16"/>
        <v>Error?</v>
      </c>
    </row>
    <row r="1114" spans="1:4" x14ac:dyDescent="0.2">
      <c r="A1114" s="5">
        <v>1053</v>
      </c>
      <c r="B1114" s="1832">
        <f>'Expenditures 15-22'!K41</f>
        <v>1037</v>
      </c>
      <c r="C1114" s="2" t="s">
        <v>569</v>
      </c>
      <c r="D1114" s="2" t="str">
        <f t="shared" si="16"/>
        <v>Error?</v>
      </c>
    </row>
    <row r="1115" spans="1:4" x14ac:dyDescent="0.2">
      <c r="A1115" s="5">
        <v>1054</v>
      </c>
      <c r="B1115" s="1832">
        <f>'Expenditures 15-22'!K42</f>
        <v>721442</v>
      </c>
      <c r="C1115" s="2" t="s">
        <v>569</v>
      </c>
      <c r="D1115" s="2" t="str">
        <f t="shared" si="16"/>
        <v>Error?</v>
      </c>
    </row>
    <row r="1116" spans="1:4" x14ac:dyDescent="0.2">
      <c r="A1116" s="5">
        <v>1055</v>
      </c>
      <c r="B1116" s="1832">
        <f>'Expenditures 15-22'!K44</f>
        <v>125766</v>
      </c>
      <c r="C1116" s="2" t="s">
        <v>569</v>
      </c>
      <c r="D1116" s="2" t="str">
        <f t="shared" si="16"/>
        <v>Error?</v>
      </c>
    </row>
    <row r="1117" spans="1:4" x14ac:dyDescent="0.2">
      <c r="A1117" s="5">
        <v>1056</v>
      </c>
      <c r="B1117" s="1832">
        <f>'Expenditures 15-22'!K45</f>
        <v>1048064</v>
      </c>
      <c r="C1117" s="2" t="s">
        <v>569</v>
      </c>
      <c r="D1117" s="2" t="str">
        <f t="shared" si="16"/>
        <v>Error?</v>
      </c>
    </row>
    <row r="1118" spans="1:4" x14ac:dyDescent="0.2">
      <c r="A1118" s="5">
        <v>1057</v>
      </c>
      <c r="B1118" s="1832">
        <f>'Expenditures 15-22'!K46</f>
        <v>44874</v>
      </c>
      <c r="C1118" s="2" t="s">
        <v>569</v>
      </c>
      <c r="D1118" s="2" t="str">
        <f t="shared" si="16"/>
        <v>Error?</v>
      </c>
    </row>
    <row r="1119" spans="1:4" x14ac:dyDescent="0.2">
      <c r="A1119" s="5">
        <v>1058</v>
      </c>
      <c r="B1119" s="1832">
        <f>'Expenditures 15-22'!K47</f>
        <v>1218704</v>
      </c>
      <c r="C1119" s="2" t="s">
        <v>569</v>
      </c>
      <c r="D1119" s="2" t="str">
        <f t="shared" si="16"/>
        <v>Error?</v>
      </c>
    </row>
    <row r="1120" spans="1:4" x14ac:dyDescent="0.2">
      <c r="A1120" s="5">
        <v>1059</v>
      </c>
      <c r="B1120" s="1832">
        <f>'Expenditures 15-22'!K49</f>
        <v>169835</v>
      </c>
      <c r="C1120" s="2" t="s">
        <v>569</v>
      </c>
      <c r="D1120" s="2" t="str">
        <f t="shared" si="16"/>
        <v>Error?</v>
      </c>
    </row>
    <row r="1121" spans="1:4" x14ac:dyDescent="0.2">
      <c r="A1121" s="5">
        <v>1060</v>
      </c>
      <c r="B1121" s="1832">
        <f>'Expenditures 15-22'!K50</f>
        <v>277832</v>
      </c>
      <c r="C1121" s="2" t="s">
        <v>569</v>
      </c>
      <c r="D1121" s="2" t="str">
        <f t="shared" si="16"/>
        <v>Error?</v>
      </c>
    </row>
    <row r="1122" spans="1:4" x14ac:dyDescent="0.2">
      <c r="A1122" s="5">
        <v>1061</v>
      </c>
      <c r="B1122" s="1832">
        <f>'Expenditures 15-22'!K53</f>
        <v>447667</v>
      </c>
      <c r="C1122" s="2" t="s">
        <v>569</v>
      </c>
      <c r="D1122" s="2" t="str">
        <f t="shared" si="16"/>
        <v>Error?</v>
      </c>
    </row>
    <row r="1123" spans="1:4" x14ac:dyDescent="0.2">
      <c r="A1123" s="5">
        <v>1062</v>
      </c>
      <c r="B1123" s="1832">
        <f>'Expenditures 15-22'!K55</f>
        <v>698224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698224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195145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169385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364530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4739</v>
      </c>
      <c r="C1135" s="2" t="s">
        <v>569</v>
      </c>
      <c r="D1135" s="2" t="str">
        <f t="shared" si="16"/>
        <v>Error?</v>
      </c>
    </row>
    <row r="1136" spans="1:4" x14ac:dyDescent="0.2">
      <c r="A1136" s="5">
        <v>1075</v>
      </c>
      <c r="B1136" s="1832">
        <f>'Expenditures 15-22'!K69</f>
        <v>44812</v>
      </c>
      <c r="C1136" s="2" t="s">
        <v>569</v>
      </c>
      <c r="D1136" s="2" t="str">
        <f t="shared" si="16"/>
        <v>Error?</v>
      </c>
    </row>
    <row r="1137" spans="1:4" x14ac:dyDescent="0.2">
      <c r="A1137" s="5">
        <v>1076</v>
      </c>
      <c r="B1137" s="1832">
        <f>'Expenditures 15-22'!K70</f>
        <v>14288</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63839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3514406</v>
      </c>
      <c r="C1143" s="2" t="s">
        <v>569</v>
      </c>
      <c r="D1143" s="2" t="str">
        <f t="shared" si="16"/>
        <v>Error?</v>
      </c>
    </row>
    <row r="1144" spans="1:4" x14ac:dyDescent="0.2">
      <c r="A1144" s="5">
        <v>1083</v>
      </c>
      <c r="B1144" s="1832">
        <f>'Expenditures 15-22'!K75</f>
        <v>251894</v>
      </c>
      <c r="C1144" s="2" t="s">
        <v>569</v>
      </c>
      <c r="D1144" s="2" t="str">
        <f t="shared" si="16"/>
        <v>Error?</v>
      </c>
    </row>
    <row r="1145" spans="1:4" x14ac:dyDescent="0.2">
      <c r="A1145" s="5">
        <v>1084</v>
      </c>
      <c r="B1145" s="1832">
        <f>'Expenditures 15-22'!K102</f>
        <v>503371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12731473</v>
      </c>
      <c r="C1152" s="2" t="s">
        <v>569</v>
      </c>
      <c r="D1152" s="2" t="str">
        <f t="shared" si="17"/>
        <v>Error?</v>
      </c>
    </row>
    <row r="1153" spans="1:4" x14ac:dyDescent="0.2">
      <c r="A1153" s="5">
        <v>1092</v>
      </c>
      <c r="B1153" s="1832">
        <f>'Expenditures 15-22'!K115</f>
        <v>-749375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337195</v>
      </c>
      <c r="D1221" s="2" t="str">
        <f t="shared" si="18"/>
        <v>Error?</v>
      </c>
    </row>
    <row r="1222" spans="1:4" x14ac:dyDescent="0.2">
      <c r="A1222" s="10">
        <v>1161</v>
      </c>
      <c r="B1222" s="1832"/>
      <c r="D1222" s="2" t="str">
        <f t="shared" si="18"/>
        <v>OK</v>
      </c>
    </row>
    <row r="1223" spans="1:4" x14ac:dyDescent="0.2">
      <c r="A1223" s="5">
        <v>1162</v>
      </c>
      <c r="B1223" s="1832">
        <f>'Expenditures 15-22'!C127</f>
        <v>337195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337195</v>
      </c>
      <c r="C1225" s="2" t="s">
        <v>569</v>
      </c>
      <c r="D1225" s="2" t="str">
        <f t="shared" si="18"/>
        <v>Error?</v>
      </c>
    </row>
    <row r="1226" spans="1:4" x14ac:dyDescent="0.2">
      <c r="A1226" s="5">
        <v>1165</v>
      </c>
      <c r="B1226" s="1832">
        <f>'Expenditures 15-22'!C151</f>
        <v>337195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51293</v>
      </c>
      <c r="D1229" s="2" t="str">
        <f t="shared" si="18"/>
        <v>Error?</v>
      </c>
    </row>
    <row r="1230" spans="1:4" x14ac:dyDescent="0.2">
      <c r="A1230" s="10">
        <v>1169</v>
      </c>
      <c r="B1230" s="1832"/>
      <c r="D1230" s="2" t="str">
        <f t="shared" si="18"/>
        <v>OK</v>
      </c>
    </row>
    <row r="1231" spans="1:4" x14ac:dyDescent="0.2">
      <c r="A1231" s="5">
        <v>1170</v>
      </c>
      <c r="B1231" s="1832">
        <f>'Expenditures 15-22'!D127</f>
        <v>51293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51293</v>
      </c>
      <c r="C1233" s="2" t="s">
        <v>569</v>
      </c>
      <c r="D1233" s="2" t="str">
        <f t="shared" si="18"/>
        <v>Error?</v>
      </c>
    </row>
    <row r="1234" spans="1:4" x14ac:dyDescent="0.2">
      <c r="A1234" s="5">
        <v>1173</v>
      </c>
      <c r="B1234" s="1832">
        <f>'Expenditures 15-22'!D151</f>
        <v>51293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333318</v>
      </c>
      <c r="D1237" s="2" t="str">
        <f t="shared" si="18"/>
        <v>Error?</v>
      </c>
    </row>
    <row r="1238" spans="1:4" x14ac:dyDescent="0.2">
      <c r="A1238" s="10">
        <v>1177</v>
      </c>
      <c r="B1238" s="1832"/>
      <c r="D1238" s="2" t="str">
        <f t="shared" si="18"/>
        <v>OK</v>
      </c>
    </row>
    <row r="1239" spans="1:4" x14ac:dyDescent="0.2">
      <c r="A1239" s="5">
        <v>1178</v>
      </c>
      <c r="B1239" s="1832">
        <f>'Expenditures 15-22'!E127</f>
        <v>333318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333318</v>
      </c>
      <c r="C1241" s="2" t="s">
        <v>569</v>
      </c>
      <c r="D1241" s="2" t="str">
        <f t="shared" si="18"/>
        <v>Error?</v>
      </c>
    </row>
    <row r="1242" spans="1:4" x14ac:dyDescent="0.2">
      <c r="A1242" s="5">
        <v>1181</v>
      </c>
      <c r="B1242" s="1832">
        <f>'Expenditures 15-22'!E151</f>
        <v>333318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431029</v>
      </c>
      <c r="D1245" s="2" t="str">
        <f t="shared" si="18"/>
        <v>Error?</v>
      </c>
    </row>
    <row r="1246" spans="1:4" x14ac:dyDescent="0.2">
      <c r="A1246" s="10">
        <v>1185</v>
      </c>
      <c r="B1246" s="1832"/>
      <c r="D1246" s="2" t="str">
        <f t="shared" si="18"/>
        <v>OK</v>
      </c>
    </row>
    <row r="1247" spans="1:4" x14ac:dyDescent="0.2">
      <c r="A1247" s="5">
        <v>1186</v>
      </c>
      <c r="B1247" s="1832">
        <f>'Expenditures 15-22'!F127</f>
        <v>431029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431029</v>
      </c>
      <c r="C1249" s="2" t="s">
        <v>569</v>
      </c>
      <c r="D1249" s="2" t="str">
        <f t="shared" si="18"/>
        <v>Error?</v>
      </c>
    </row>
    <row r="1250" spans="1:4" x14ac:dyDescent="0.2">
      <c r="A1250" s="5">
        <v>1189</v>
      </c>
      <c r="B1250" s="1832">
        <f>'Expenditures 15-22'!F151</f>
        <v>431029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33552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33552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33552</v>
      </c>
      <c r="C1258" s="2" t="s">
        <v>569</v>
      </c>
      <c r="D1258" s="2" t="str">
        <f t="shared" si="18"/>
        <v>Error?</v>
      </c>
    </row>
    <row r="1259" spans="1:4" x14ac:dyDescent="0.2">
      <c r="A1259" s="5">
        <v>1198</v>
      </c>
      <c r="B1259" s="1832">
        <f>'Expenditures 15-22'!G151</f>
        <v>33552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88</v>
      </c>
      <c r="D1262" s="2" t="str">
        <f t="shared" si="18"/>
        <v>Error?</v>
      </c>
    </row>
    <row r="1263" spans="1:4" x14ac:dyDescent="0.2">
      <c r="A1263" s="10">
        <v>1202</v>
      </c>
      <c r="B1263" s="1832"/>
      <c r="D1263" s="2" t="str">
        <f t="shared" si="18"/>
        <v>OK</v>
      </c>
    </row>
    <row r="1264" spans="1:4" x14ac:dyDescent="0.2">
      <c r="A1264" s="5">
        <v>1203</v>
      </c>
      <c r="B1264" s="1832">
        <f>'Expenditures 15-22'!H127</f>
        <v>88</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88</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88</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1186475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1186475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1186475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1186475</v>
      </c>
      <c r="C1288" s="2" t="s">
        <v>569</v>
      </c>
      <c r="D1288" s="2" t="str">
        <f t="shared" si="19"/>
        <v>Error?</v>
      </c>
    </row>
    <row r="1289" spans="1:4" x14ac:dyDescent="0.2">
      <c r="A1289" s="5">
        <v>1228</v>
      </c>
      <c r="B1289" s="1832">
        <f>'Expenditures 15-22'!K152</f>
        <v>-189856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424686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570000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994686</v>
      </c>
      <c r="C1317" s="2" t="s">
        <v>569</v>
      </c>
      <c r="D1317" s="2" t="str">
        <f t="shared" si="19"/>
        <v>Error?</v>
      </c>
    </row>
    <row r="1318" spans="1:4" x14ac:dyDescent="0.2">
      <c r="A1318" s="5">
        <v>1257</v>
      </c>
      <c r="B1318" s="1832">
        <f>'Expenditures 15-22'!H174</f>
        <v>994686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424686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570000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994686</v>
      </c>
      <c r="C1331" s="2" t="s">
        <v>569</v>
      </c>
      <c r="D1331" s="2" t="str">
        <f t="shared" si="19"/>
        <v>Error?</v>
      </c>
    </row>
    <row r="1332" spans="1:4" x14ac:dyDescent="0.2">
      <c r="A1332" s="5">
        <v>1271</v>
      </c>
      <c r="B1332" s="1832">
        <f>'Expenditures 15-22'!K174</f>
        <v>994686</v>
      </c>
      <c r="C1332" s="2" t="s">
        <v>569</v>
      </c>
      <c r="D1332" s="2" t="str">
        <f t="shared" si="19"/>
        <v>Error?</v>
      </c>
    </row>
    <row r="1333" spans="1:4" x14ac:dyDescent="0.2">
      <c r="A1333" s="5">
        <v>1272</v>
      </c>
      <c r="B1333" s="1832">
        <f>'Expenditures 15-22'!K175</f>
        <v>-47050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299572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299572</v>
      </c>
      <c r="C1339" s="2" t="s">
        <v>569</v>
      </c>
      <c r="D1339" s="2" t="str">
        <f t="shared" si="19"/>
        <v>Error?</v>
      </c>
    </row>
    <row r="1340" spans="1:4" x14ac:dyDescent="0.2">
      <c r="A1340" s="5">
        <v>1279</v>
      </c>
      <c r="B1340" s="1832">
        <f>'Expenditures 15-22'!C210</f>
        <v>299572</v>
      </c>
      <c r="C1340" s="2" t="s">
        <v>569</v>
      </c>
      <c r="D1340" s="2" t="str">
        <f t="shared" si="19"/>
        <v>Error?</v>
      </c>
    </row>
    <row r="1341" spans="1:4" x14ac:dyDescent="0.2">
      <c r="A1341" s="5">
        <v>1280</v>
      </c>
      <c r="B1341" s="1832">
        <f>'Expenditures 15-22'!D182</f>
        <v>20418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20418</v>
      </c>
      <c r="C1345" s="2" t="s">
        <v>569</v>
      </c>
      <c r="D1345" s="2" t="str">
        <f t="shared" si="20"/>
        <v>Error?</v>
      </c>
    </row>
    <row r="1346" spans="1:4" x14ac:dyDescent="0.2">
      <c r="A1346" s="5">
        <v>1285</v>
      </c>
      <c r="B1346" s="1832">
        <f>'Expenditures 15-22'!D210</f>
        <v>20418</v>
      </c>
      <c r="C1346" s="2" t="s">
        <v>569</v>
      </c>
      <c r="D1346" s="2" t="str">
        <f t="shared" si="20"/>
        <v>Error?</v>
      </c>
    </row>
    <row r="1347" spans="1:4" x14ac:dyDescent="0.2">
      <c r="A1347" s="5">
        <v>1286</v>
      </c>
      <c r="B1347" s="1832">
        <f>'Expenditures 15-22'!E182</f>
        <v>369250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369250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369250</v>
      </c>
      <c r="C1353" s="2" t="s">
        <v>569</v>
      </c>
      <c r="D1353" s="2" t="str">
        <f t="shared" si="20"/>
        <v>Error?</v>
      </c>
    </row>
    <row r="1354" spans="1:4" x14ac:dyDescent="0.2">
      <c r="A1354" s="5">
        <v>1293</v>
      </c>
      <c r="B1354" s="1832">
        <f>'Expenditures 15-22'!F182</f>
        <v>50819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50819</v>
      </c>
      <c r="C1358" s="2" t="s">
        <v>569</v>
      </c>
      <c r="D1358" s="2" t="str">
        <f t="shared" si="20"/>
        <v>Error?</v>
      </c>
    </row>
    <row r="1359" spans="1:4" x14ac:dyDescent="0.2">
      <c r="A1359" s="5">
        <v>1298</v>
      </c>
      <c r="B1359" s="1832">
        <f>'Expenditures 15-22'!F210</f>
        <v>50819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4915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4915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4915</v>
      </c>
      <c r="C1376" s="2" t="s">
        <v>569</v>
      </c>
      <c r="D1376" s="2" t="str">
        <f t="shared" si="20"/>
        <v>Error?</v>
      </c>
    </row>
    <row r="1377" spans="1:4" x14ac:dyDescent="0.2">
      <c r="A1377" s="5">
        <v>1316</v>
      </c>
      <c r="B1377" s="1832">
        <f>'Expenditures 15-22'!K182</f>
        <v>744974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744974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744974</v>
      </c>
      <c r="C1388" s="2" t="s">
        <v>569</v>
      </c>
      <c r="D1388" s="2" t="str">
        <f t="shared" si="20"/>
        <v>Error?</v>
      </c>
    </row>
    <row r="1389" spans="1:4" x14ac:dyDescent="0.2">
      <c r="A1389" s="5">
        <v>1328</v>
      </c>
      <c r="B1389" s="1832">
        <f>'Expenditures 15-22'!K211</f>
        <v>-18684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26</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896</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2332</v>
      </c>
      <c r="D1408" s="2" t="str">
        <f t="shared" si="21"/>
        <v>Error?</v>
      </c>
    </row>
    <row r="1409" spans="1:4" x14ac:dyDescent="0.2">
      <c r="A1409" s="5">
        <v>1348</v>
      </c>
      <c r="B1409" s="1832">
        <f>'Expenditures 15-22'!D224</f>
        <v>213</v>
      </c>
      <c r="D1409" s="2" t="str">
        <f t="shared" si="21"/>
        <v>Error?</v>
      </c>
    </row>
    <row r="1410" spans="1:4" x14ac:dyDescent="0.2">
      <c r="A1410" s="5">
        <v>1349</v>
      </c>
      <c r="B1410" s="1832">
        <f>'Expenditures 15-22'!D229</f>
        <v>172461</v>
      </c>
      <c r="C1410" s="2" t="s">
        <v>569</v>
      </c>
      <c r="D1410" s="2" t="str">
        <f t="shared" si="21"/>
        <v>Error?</v>
      </c>
    </row>
    <row r="1411" spans="1:4" x14ac:dyDescent="0.2">
      <c r="A1411" s="5">
        <v>1350</v>
      </c>
      <c r="B1411" s="1832">
        <f>'Expenditures 15-22'!D232</f>
        <v>3442</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5101</v>
      </c>
      <c r="D1413" s="2" t="str">
        <f t="shared" si="21"/>
        <v>Error?</v>
      </c>
    </row>
    <row r="1414" spans="1:4" x14ac:dyDescent="0.2">
      <c r="A1414" s="5">
        <v>1353</v>
      </c>
      <c r="B1414" s="1832">
        <f>'Expenditures 15-22'!D235</f>
        <v>1724</v>
      </c>
      <c r="D1414" s="2" t="str">
        <f t="shared" si="21"/>
        <v>Error?</v>
      </c>
    </row>
    <row r="1415" spans="1:4" x14ac:dyDescent="0.2">
      <c r="A1415" s="5">
        <v>1354</v>
      </c>
      <c r="B1415" s="1832">
        <f>'Expenditures 15-22'!D236</f>
        <v>3048</v>
      </c>
      <c r="D1415" s="2" t="str">
        <f t="shared" si="21"/>
        <v>Error?</v>
      </c>
    </row>
    <row r="1416" spans="1:4" x14ac:dyDescent="0.2">
      <c r="A1416" s="5">
        <v>1355</v>
      </c>
      <c r="B1416" s="1832">
        <f>'Expenditures 15-22'!D237</f>
        <v>142</v>
      </c>
      <c r="D1416" s="2" t="str">
        <f t="shared" si="21"/>
        <v>Error?</v>
      </c>
    </row>
    <row r="1417" spans="1:4" x14ac:dyDescent="0.2">
      <c r="A1417" s="5">
        <v>1356</v>
      </c>
      <c r="B1417" s="1832">
        <f>'Expenditures 15-22'!D238</f>
        <v>13457</v>
      </c>
      <c r="C1417" s="2" t="s">
        <v>569</v>
      </c>
      <c r="D1417" s="2" t="str">
        <f t="shared" si="21"/>
        <v>Error?</v>
      </c>
    </row>
    <row r="1418" spans="1:4" x14ac:dyDescent="0.2">
      <c r="A1418" s="5">
        <v>1357</v>
      </c>
      <c r="B1418" s="1832">
        <f>'Expenditures 15-22'!D240</f>
        <v>1432</v>
      </c>
      <c r="D1418" s="2" t="str">
        <f t="shared" si="21"/>
        <v>Error?</v>
      </c>
    </row>
    <row r="1419" spans="1:4" x14ac:dyDescent="0.2">
      <c r="A1419" s="5">
        <v>1358</v>
      </c>
      <c r="B1419" s="1832">
        <f>'Expenditures 15-22'!D241</f>
        <v>13932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15364</v>
      </c>
      <c r="C1421" s="2" t="s">
        <v>569</v>
      </c>
      <c r="D1421" s="2" t="str">
        <f t="shared" si="21"/>
        <v>Error?</v>
      </c>
    </row>
    <row r="1422" spans="1:4" x14ac:dyDescent="0.2">
      <c r="A1422" s="5">
        <v>1361</v>
      </c>
      <c r="B1422" s="1832">
        <f>'Expenditures 15-22'!D245</f>
        <v>436</v>
      </c>
      <c r="D1422" s="2" t="str">
        <f t="shared" si="21"/>
        <v>Error?</v>
      </c>
    </row>
    <row r="1423" spans="1:4" x14ac:dyDescent="0.2">
      <c r="A1423" s="5">
        <v>1362</v>
      </c>
      <c r="B1423" s="1832">
        <f>'Expenditures 15-22'!D246</f>
        <v>13373</v>
      </c>
      <c r="D1423" s="2" t="str">
        <f t="shared" si="21"/>
        <v>Error?</v>
      </c>
    </row>
    <row r="1424" spans="1:4" x14ac:dyDescent="0.2">
      <c r="A1424" s="5">
        <v>1363</v>
      </c>
      <c r="B1424" s="1832">
        <f>'Expenditures 15-22'!D257</f>
        <v>13809</v>
      </c>
      <c r="C1424" s="2" t="s">
        <v>569</v>
      </c>
      <c r="D1424" s="2" t="str">
        <f t="shared" si="21"/>
        <v>Error?</v>
      </c>
    </row>
    <row r="1425" spans="1:4" x14ac:dyDescent="0.2">
      <c r="A1425" s="5">
        <v>1364</v>
      </c>
      <c r="B1425" s="1832">
        <f>'Expenditures 15-22'!D259</f>
        <v>38072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38072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26574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58824</v>
      </c>
      <c r="D1431" s="2" t="str">
        <f t="shared" si="21"/>
        <v>Error?</v>
      </c>
    </row>
    <row r="1432" spans="1:4" x14ac:dyDescent="0.2">
      <c r="A1432" s="5">
        <v>1371</v>
      </c>
      <c r="B1432" s="1832">
        <f>'Expenditures 15-22'!D267</f>
        <v>51592</v>
      </c>
      <c r="D1432" s="2" t="str">
        <f t="shared" si="21"/>
        <v>Error?</v>
      </c>
    </row>
    <row r="1433" spans="1:4" x14ac:dyDescent="0.2">
      <c r="A1433" s="5">
        <v>1372</v>
      </c>
      <c r="B1433" s="1832">
        <f>'Expenditures 15-22'!D268</f>
        <v>1571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138561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4090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4090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223353</v>
      </c>
      <c r="C1446" s="2" t="s">
        <v>569</v>
      </c>
      <c r="D1446" s="2" t="str">
        <f t="shared" si="21"/>
        <v>Error?</v>
      </c>
    </row>
    <row r="1447" spans="1:4" x14ac:dyDescent="0.2">
      <c r="A1447" s="5">
        <v>1386</v>
      </c>
      <c r="B1447" s="1832">
        <f>'Expenditures 15-22'!D280</f>
        <v>34041</v>
      </c>
      <c r="D1447" s="2" t="str">
        <f t="shared" si="21"/>
        <v>Error?</v>
      </c>
    </row>
    <row r="1448" spans="1:4" x14ac:dyDescent="0.2">
      <c r="A1448" s="5">
        <v>1387</v>
      </c>
      <c r="B1448" s="1832">
        <f>'Expenditures 15-22'!D295</f>
        <v>429855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26</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896</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2332</v>
      </c>
      <c r="C1472" s="2" t="s">
        <v>569</v>
      </c>
      <c r="D1472" s="2" t="str">
        <f t="shared" si="22"/>
        <v>Error?</v>
      </c>
    </row>
    <row r="1473" spans="1:4" x14ac:dyDescent="0.2">
      <c r="A1473" s="5">
        <v>1412</v>
      </c>
      <c r="B1473" s="1832">
        <f>'Expenditures 15-22'!K224</f>
        <v>213</v>
      </c>
      <c r="C1473" s="2" t="s">
        <v>569</v>
      </c>
      <c r="D1473" s="2" t="str">
        <f t="shared" si="22"/>
        <v>Error?</v>
      </c>
    </row>
    <row r="1474" spans="1:4" x14ac:dyDescent="0.2">
      <c r="A1474" s="5">
        <v>1413</v>
      </c>
      <c r="B1474" s="1832">
        <f>'Expenditures 15-22'!K229</f>
        <v>172461</v>
      </c>
      <c r="C1474" s="2" t="s">
        <v>569</v>
      </c>
      <c r="D1474" s="2" t="str">
        <f t="shared" si="22"/>
        <v>Error?</v>
      </c>
    </row>
    <row r="1475" spans="1:4" x14ac:dyDescent="0.2">
      <c r="A1475" s="5">
        <v>1414</v>
      </c>
      <c r="B1475" s="1832">
        <f>'Expenditures 15-22'!K232</f>
        <v>3442</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5101</v>
      </c>
      <c r="C1477" s="2" t="s">
        <v>569</v>
      </c>
      <c r="D1477" s="2" t="str">
        <f t="shared" si="22"/>
        <v>Error?</v>
      </c>
    </row>
    <row r="1478" spans="1:4" x14ac:dyDescent="0.2">
      <c r="A1478" s="5">
        <v>1417</v>
      </c>
      <c r="B1478" s="1832">
        <f>'Expenditures 15-22'!K235</f>
        <v>1724</v>
      </c>
      <c r="C1478" s="2" t="s">
        <v>569</v>
      </c>
      <c r="D1478" s="2" t="str">
        <f t="shared" si="22"/>
        <v>Error?</v>
      </c>
    </row>
    <row r="1479" spans="1:4" x14ac:dyDescent="0.2">
      <c r="A1479" s="5">
        <v>1418</v>
      </c>
      <c r="B1479" s="1832">
        <f>'Expenditures 15-22'!K236</f>
        <v>3048</v>
      </c>
      <c r="C1479" s="2" t="s">
        <v>569</v>
      </c>
      <c r="D1479" s="2" t="str">
        <f t="shared" si="22"/>
        <v>Error?</v>
      </c>
    </row>
    <row r="1480" spans="1:4" x14ac:dyDescent="0.2">
      <c r="A1480" s="5">
        <v>1419</v>
      </c>
      <c r="B1480" s="1832">
        <f>'Expenditures 15-22'!K237</f>
        <v>142</v>
      </c>
      <c r="C1480" s="2" t="s">
        <v>569</v>
      </c>
      <c r="D1480" s="2" t="str">
        <f t="shared" si="22"/>
        <v>Error?</v>
      </c>
    </row>
    <row r="1481" spans="1:4" x14ac:dyDescent="0.2">
      <c r="A1481" s="5">
        <v>1420</v>
      </c>
      <c r="B1481" s="1832">
        <f>'Expenditures 15-22'!K238</f>
        <v>13457</v>
      </c>
      <c r="C1481" s="2" t="s">
        <v>569</v>
      </c>
      <c r="D1481" s="2" t="str">
        <f t="shared" si="22"/>
        <v>Error?</v>
      </c>
    </row>
    <row r="1482" spans="1:4" x14ac:dyDescent="0.2">
      <c r="A1482" s="5">
        <v>1421</v>
      </c>
      <c r="B1482" s="1832">
        <f>'Expenditures 15-22'!K240</f>
        <v>1432</v>
      </c>
      <c r="C1482" s="2" t="s">
        <v>569</v>
      </c>
      <c r="D1482" s="2" t="str">
        <f t="shared" si="22"/>
        <v>Error?</v>
      </c>
    </row>
    <row r="1483" spans="1:4" x14ac:dyDescent="0.2">
      <c r="A1483" s="5">
        <v>1422</v>
      </c>
      <c r="B1483" s="1832">
        <f>'Expenditures 15-22'!K241</f>
        <v>13932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15364</v>
      </c>
      <c r="C1485" s="2" t="s">
        <v>569</v>
      </c>
      <c r="D1485" s="2" t="str">
        <f t="shared" si="22"/>
        <v>Error?</v>
      </c>
    </row>
    <row r="1486" spans="1:4" x14ac:dyDescent="0.2">
      <c r="A1486" s="5">
        <v>1425</v>
      </c>
      <c r="B1486" s="1832">
        <f>'Expenditures 15-22'!K245</f>
        <v>436</v>
      </c>
      <c r="C1486" s="2" t="s">
        <v>569</v>
      </c>
      <c r="D1486" s="2" t="str">
        <f t="shared" si="22"/>
        <v>Error?</v>
      </c>
    </row>
    <row r="1487" spans="1:4" x14ac:dyDescent="0.2">
      <c r="A1487" s="5">
        <v>1426</v>
      </c>
      <c r="B1487" s="1832">
        <f>'Expenditures 15-22'!K246</f>
        <v>13373</v>
      </c>
      <c r="C1487" s="2" t="s">
        <v>569</v>
      </c>
      <c r="D1487" s="2" t="str">
        <f t="shared" si="22"/>
        <v>Error?</v>
      </c>
    </row>
    <row r="1488" spans="1:4" x14ac:dyDescent="0.2">
      <c r="A1488" s="5">
        <v>1427</v>
      </c>
      <c r="B1488" s="1832">
        <f>'Expenditures 15-22'!K257</f>
        <v>13809</v>
      </c>
      <c r="C1488" s="2" t="s">
        <v>569</v>
      </c>
      <c r="D1488" s="2" t="str">
        <f t="shared" si="22"/>
        <v>Error?</v>
      </c>
    </row>
    <row r="1489" spans="1:4" x14ac:dyDescent="0.2">
      <c r="A1489" s="5">
        <v>1428</v>
      </c>
      <c r="B1489" s="1832">
        <f>'Expenditures 15-22'!K259</f>
        <v>38072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38072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26574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58824</v>
      </c>
      <c r="C1495" s="2" t="s">
        <v>569</v>
      </c>
      <c r="D1495" s="2" t="str">
        <f t="shared" si="22"/>
        <v>Error?</v>
      </c>
    </row>
    <row r="1496" spans="1:4" x14ac:dyDescent="0.2">
      <c r="A1496" s="5">
        <v>1435</v>
      </c>
      <c r="B1496" s="1832">
        <f>'Expenditures 15-22'!K267</f>
        <v>51592</v>
      </c>
      <c r="C1496" s="2" t="s">
        <v>569</v>
      </c>
      <c r="D1496" s="2" t="str">
        <f t="shared" si="22"/>
        <v>Error?</v>
      </c>
    </row>
    <row r="1497" spans="1:4" x14ac:dyDescent="0.2">
      <c r="A1497" s="5">
        <v>1436</v>
      </c>
      <c r="B1497" s="1832">
        <f>'Expenditures 15-22'!K268</f>
        <v>1571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138561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4090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4090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223353</v>
      </c>
      <c r="C1510" s="2" t="s">
        <v>569</v>
      </c>
      <c r="D1510" s="2" t="str">
        <f t="shared" si="22"/>
        <v>Error?</v>
      </c>
    </row>
    <row r="1511" spans="1:4" x14ac:dyDescent="0.2">
      <c r="A1511" s="5">
        <v>1450</v>
      </c>
      <c r="B1511" s="1832">
        <f>'Expenditures 15-22'!K280</f>
        <v>34041</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429855</v>
      </c>
      <c r="C1517" s="2" t="s">
        <v>569</v>
      </c>
      <c r="D1517" s="2" t="str">
        <f t="shared" si="22"/>
        <v>Error?</v>
      </c>
    </row>
    <row r="1518" spans="1:4" x14ac:dyDescent="0.2">
      <c r="A1518" s="5">
        <v>1457</v>
      </c>
      <c r="B1518" s="1832">
        <f>'Expenditures 15-22'!K296</f>
        <v>71192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175457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175457</v>
      </c>
      <c r="C1535" s="2" t="s">
        <v>569</v>
      </c>
      <c r="D1535" s="2" t="str">
        <f t="shared" ref="D1535:D1598" si="23">IF(ISBLANK(B1535),"OK",IF(A1535-B1535=0,"OK","Error?"))</f>
        <v>Error?</v>
      </c>
    </row>
    <row r="1536" spans="1:4" x14ac:dyDescent="0.2">
      <c r="A1536" s="5">
        <v>1475</v>
      </c>
      <c r="B1536" s="1832">
        <f>'Expenditures 15-22'!E312</f>
        <v>175457</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4500155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4500155</v>
      </c>
      <c r="C1547" s="2" t="s">
        <v>569</v>
      </c>
      <c r="D1547" s="2" t="str">
        <f t="shared" si="23"/>
        <v>Error?</v>
      </c>
    </row>
    <row r="1548" spans="1:4" x14ac:dyDescent="0.2">
      <c r="A1548" s="5">
        <v>1487</v>
      </c>
      <c r="B1548" s="1832">
        <f>'Expenditures 15-22'!G312</f>
        <v>4500155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4675612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4675612</v>
      </c>
      <c r="C1559" s="2" t="s">
        <v>569</v>
      </c>
      <c r="D1559" s="2" t="str">
        <f t="shared" si="23"/>
        <v>Error?</v>
      </c>
    </row>
    <row r="1560" spans="1:4" x14ac:dyDescent="0.2">
      <c r="A1560" s="5">
        <v>1499</v>
      </c>
      <c r="B1560" s="1832">
        <f>'Expenditures 15-22'!K312</f>
        <v>4675612</v>
      </c>
      <c r="C1560" s="2" t="s">
        <v>569</v>
      </c>
      <c r="D1560" s="2" t="str">
        <f t="shared" si="23"/>
        <v>Error?</v>
      </c>
    </row>
    <row r="1561" spans="1:4" x14ac:dyDescent="0.2">
      <c r="A1561" s="5">
        <v>1500</v>
      </c>
      <c r="B1561" s="1832">
        <f>'Expenditures 15-22'!K313</f>
        <v>-4621784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4091330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3386324</v>
      </c>
      <c r="C1630" s="2" t="s">
        <v>569</v>
      </c>
      <c r="D1630" s="2" t="str">
        <f t="shared" si="24"/>
        <v>Error?</v>
      </c>
    </row>
    <row r="1631" spans="1:4" x14ac:dyDescent="0.2">
      <c r="A1631" s="5">
        <v>1570</v>
      </c>
      <c r="B1631" s="1832">
        <f>'Acct Summary 7-8'!D79</f>
        <v>1084012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726922</v>
      </c>
      <c r="C1644" s="2" t="s">
        <v>569</v>
      </c>
      <c r="D1644" s="2" t="str">
        <f t="shared" si="24"/>
        <v>Error?</v>
      </c>
    </row>
    <row r="1645" spans="1:4" x14ac:dyDescent="0.2">
      <c r="A1645" s="5">
        <v>1584</v>
      </c>
      <c r="B1645" s="1832">
        <f>'Acct Summary 7-8'!E79</f>
        <v>337609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442055</v>
      </c>
      <c r="C1658" s="2" t="s">
        <v>569</v>
      </c>
      <c r="D1658" s="2" t="str">
        <f t="shared" si="24"/>
        <v>Error?</v>
      </c>
    </row>
    <row r="1659" spans="1:4" x14ac:dyDescent="0.2">
      <c r="A1659" s="5">
        <v>1598</v>
      </c>
      <c r="B1659" s="1832">
        <f>'Acct Summary 7-8'!F79</f>
        <v>54512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35529</v>
      </c>
      <c r="C1672" s="2" t="s">
        <v>569</v>
      </c>
      <c r="D1672" s="2" t="str">
        <f t="shared" si="25"/>
        <v>Error?</v>
      </c>
    </row>
    <row r="1673" spans="1:4" x14ac:dyDescent="0.2">
      <c r="A1673" s="5">
        <v>1612</v>
      </c>
      <c r="B1673" s="1832">
        <f>'Acct Summary 7-8'!G79</f>
        <v>56180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127372</v>
      </c>
      <c r="C1686" s="2" t="s">
        <v>569</v>
      </c>
      <c r="D1686" s="2" t="str">
        <f t="shared" si="25"/>
        <v>Error?</v>
      </c>
    </row>
    <row r="1687" spans="1:4" x14ac:dyDescent="0.2">
      <c r="A1687" s="5">
        <v>1626</v>
      </c>
      <c r="B1687" s="1832">
        <f>'Acct Summary 7-8'!H79</f>
        <v>4732357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1184131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10232650</v>
      </c>
      <c r="C1744" s="2" t="s">
        <v>569</v>
      </c>
      <c r="D1744" s="2" t="str">
        <f t="shared" si="26"/>
        <v>Error?</v>
      </c>
    </row>
    <row r="1745" spans="1:5" x14ac:dyDescent="0.2">
      <c r="A1745" s="5">
        <v>1684</v>
      </c>
      <c r="B1745" s="1832">
        <f>'Tax Sched 23'!B5</f>
        <v>853294</v>
      </c>
      <c r="C1745" s="2" t="s">
        <v>569</v>
      </c>
      <c r="D1745" s="2" t="str">
        <f t="shared" si="26"/>
        <v>Error?</v>
      </c>
    </row>
    <row r="1746" spans="1:5" x14ac:dyDescent="0.2">
      <c r="A1746" s="5">
        <v>1685</v>
      </c>
      <c r="B1746" s="1832">
        <f>'Tax Sched 23'!B6</f>
        <v>939805</v>
      </c>
      <c r="C1746" s="2" t="s">
        <v>569</v>
      </c>
      <c r="D1746" s="2" t="str">
        <f t="shared" si="26"/>
        <v>Error?</v>
      </c>
    </row>
    <row r="1747" spans="1:5" x14ac:dyDescent="0.2">
      <c r="A1747" s="5">
        <v>1686</v>
      </c>
      <c r="B1747" s="1832">
        <f>'Tax Sched 23'!B7</f>
        <v>641284</v>
      </c>
      <c r="C1747" s="2" t="s">
        <v>569</v>
      </c>
      <c r="D1747" s="2" t="str">
        <f t="shared" si="26"/>
        <v>Error?</v>
      </c>
    </row>
    <row r="1748" spans="1:5" x14ac:dyDescent="0.2">
      <c r="A1748" s="5">
        <v>1687</v>
      </c>
      <c r="B1748" s="1832">
        <f>'Tax Sched 23'!B8</f>
        <v>191518</v>
      </c>
      <c r="C1748" s="2" t="s">
        <v>569</v>
      </c>
      <c r="D1748" s="2" t="str">
        <f t="shared" si="26"/>
        <v>Error?</v>
      </c>
    </row>
    <row r="1749" spans="1:5" x14ac:dyDescent="0.2">
      <c r="A1749" s="5">
        <v>1688</v>
      </c>
      <c r="B1749" s="1832">
        <f>'Tax Sched 23'!B10</f>
        <v>39311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13191521</v>
      </c>
      <c r="C1759" s="2" t="s">
        <v>569</v>
      </c>
      <c r="D1759" s="2" t="str">
        <f t="shared" si="26"/>
        <v>Error?</v>
      </c>
    </row>
    <row r="1760" spans="1:5" x14ac:dyDescent="0.2">
      <c r="A1760" s="5">
        <v>1699</v>
      </c>
      <c r="B1760" s="1832">
        <f>'Tax Sched 23'!D4</f>
        <v>4934423</v>
      </c>
      <c r="C1760" s="2" t="s">
        <v>569</v>
      </c>
      <c r="D1760" s="2" t="str">
        <f t="shared" si="26"/>
        <v>Error?</v>
      </c>
    </row>
    <row r="1761" spans="1:7" x14ac:dyDescent="0.2">
      <c r="A1761" s="5">
        <v>1700</v>
      </c>
      <c r="B1761" s="1832">
        <f>'Tax Sched 23'!D5</f>
        <v>437417</v>
      </c>
      <c r="C1761" s="2" t="s">
        <v>569</v>
      </c>
      <c r="D1761" s="2" t="str">
        <f t="shared" si="26"/>
        <v>Error?</v>
      </c>
    </row>
    <row r="1762" spans="1:7" s="8" customFormat="1" x14ac:dyDescent="0.2">
      <c r="A1762" s="5">
        <v>1701</v>
      </c>
      <c r="B1762" s="1832">
        <f>'Tax Sched 23'!D6</f>
        <v>461285</v>
      </c>
      <c r="C1762" s="2" t="s">
        <v>569</v>
      </c>
      <c r="D1762" s="2" t="str">
        <f t="shared" si="26"/>
        <v>Error?</v>
      </c>
      <c r="E1762" s="9"/>
      <c r="G1762"/>
    </row>
    <row r="1763" spans="1:7" x14ac:dyDescent="0.2">
      <c r="A1763" s="5">
        <v>1702</v>
      </c>
      <c r="B1763" s="1832">
        <f>'Tax Sched 23'!D7</f>
        <v>297330</v>
      </c>
      <c r="C1763" s="2" t="s">
        <v>569</v>
      </c>
      <c r="D1763" s="2" t="str">
        <f t="shared" si="26"/>
        <v>Error?</v>
      </c>
    </row>
    <row r="1764" spans="1:7" x14ac:dyDescent="0.2">
      <c r="A1764" s="5">
        <v>1703</v>
      </c>
      <c r="B1764" s="1832">
        <f>'Tax Sched 23'!D8</f>
        <v>92044</v>
      </c>
      <c r="C1764" s="2" t="s">
        <v>569</v>
      </c>
      <c r="D1764" s="2" t="str">
        <f t="shared" si="26"/>
        <v>Error?</v>
      </c>
    </row>
    <row r="1765" spans="1:7" x14ac:dyDescent="0.2">
      <c r="A1765" s="5">
        <v>1704</v>
      </c>
      <c r="B1765" s="1832">
        <f>'Tax Sched 23'!D10</f>
        <v>19590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6394512</v>
      </c>
      <c r="C1775" s="2" t="s">
        <v>569</v>
      </c>
      <c r="D1775" s="2" t="str">
        <f t="shared" si="26"/>
        <v>Error?</v>
      </c>
    </row>
    <row r="1776" spans="1:7" x14ac:dyDescent="0.2">
      <c r="A1776" s="5">
        <v>1715</v>
      </c>
      <c r="B1776" s="1832">
        <f>'Tax Sched 23'!C4</f>
        <v>5298227</v>
      </c>
      <c r="D1776" s="2" t="str">
        <f t="shared" si="26"/>
        <v>Error?</v>
      </c>
    </row>
    <row r="1777" spans="1:4" x14ac:dyDescent="0.2">
      <c r="A1777" s="5">
        <v>1716</v>
      </c>
      <c r="B1777" s="1832">
        <f>'Tax Sched 23'!C5</f>
        <v>415877</v>
      </c>
      <c r="D1777" s="2" t="str">
        <f t="shared" si="26"/>
        <v>Error?</v>
      </c>
    </row>
    <row r="1778" spans="1:4" x14ac:dyDescent="0.2">
      <c r="A1778" s="5">
        <v>1717</v>
      </c>
      <c r="B1778" s="1832">
        <f>'Tax Sched 23'!C6</f>
        <v>478520</v>
      </c>
      <c r="D1778" s="2" t="str">
        <f t="shared" si="26"/>
        <v>Error?</v>
      </c>
    </row>
    <row r="1779" spans="1:4" x14ac:dyDescent="0.2">
      <c r="A1779" s="5">
        <v>1718</v>
      </c>
      <c r="B1779" s="1832">
        <f>'Tax Sched 23'!C7</f>
        <v>343954</v>
      </c>
      <c r="D1779" s="2" t="str">
        <f t="shared" si="26"/>
        <v>Error?</v>
      </c>
    </row>
    <row r="1780" spans="1:4" x14ac:dyDescent="0.2">
      <c r="A1780" s="5">
        <v>1719</v>
      </c>
      <c r="B1780" s="1832">
        <f>'Tax Sched 23'!C8</f>
        <v>99474</v>
      </c>
      <c r="D1780" s="2" t="str">
        <f t="shared" si="26"/>
        <v>Error?</v>
      </c>
    </row>
    <row r="1781" spans="1:4" x14ac:dyDescent="0.2">
      <c r="A1781" s="5">
        <v>1720</v>
      </c>
      <c r="B1781" s="1832">
        <f>'Tax Sched 23'!C10</f>
        <v>19721</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6797009</v>
      </c>
      <c r="C1791" s="2" t="s">
        <v>569</v>
      </c>
      <c r="D1791" s="2" t="str">
        <f t="shared" ref="D1791:D1854" si="27">IF(ISBLANK(B1791),"OK",IF(A1791-B1791=0,"OK","Error?"))</f>
        <v>Error?</v>
      </c>
    </row>
    <row r="1792" spans="1:4" x14ac:dyDescent="0.2">
      <c r="A1792" s="5">
        <v>1731</v>
      </c>
      <c r="B1792" s="1832">
        <f>'Tax Sched 23'!F4</f>
        <v>5082904</v>
      </c>
      <c r="C1792" s="2" t="s">
        <v>569</v>
      </c>
      <c r="D1792" s="2" t="str">
        <f t="shared" si="27"/>
        <v>Error?</v>
      </c>
    </row>
    <row r="1793" spans="1:4" x14ac:dyDescent="0.2">
      <c r="A1793" s="5">
        <v>1732</v>
      </c>
      <c r="B1793" s="1832">
        <f>'Tax Sched 23'!F5</f>
        <v>398976</v>
      </c>
      <c r="C1793" s="2" t="s">
        <v>569</v>
      </c>
      <c r="D1793" s="2" t="str">
        <f t="shared" si="27"/>
        <v>Error?</v>
      </c>
    </row>
    <row r="1794" spans="1:4" x14ac:dyDescent="0.2">
      <c r="A1794" s="5">
        <v>1733</v>
      </c>
      <c r="B1794" s="1832">
        <f>'Tax Sched 23'!F6</f>
        <v>459072</v>
      </c>
      <c r="C1794" s="2" t="s">
        <v>569</v>
      </c>
      <c r="D1794" s="2" t="str">
        <f t="shared" si="27"/>
        <v>Error?</v>
      </c>
    </row>
    <row r="1795" spans="1:4" x14ac:dyDescent="0.2">
      <c r="A1795" s="5">
        <v>1734</v>
      </c>
      <c r="B1795" s="1832">
        <f>'Tax Sched 23'!F7</f>
        <v>329976</v>
      </c>
      <c r="C1795" s="2" t="s">
        <v>569</v>
      </c>
      <c r="D1795" s="2" t="str">
        <f t="shared" si="27"/>
        <v>Error?</v>
      </c>
    </row>
    <row r="1796" spans="1:4" x14ac:dyDescent="0.2">
      <c r="A1796" s="5">
        <v>1735</v>
      </c>
      <c r="B1796" s="1832">
        <f>'Tax Sched 23'!F8</f>
        <v>95431</v>
      </c>
      <c r="C1796" s="2" t="s">
        <v>569</v>
      </c>
      <c r="D1796" s="2" t="str">
        <f t="shared" si="27"/>
        <v>Error?</v>
      </c>
    </row>
    <row r="1797" spans="1:4" x14ac:dyDescent="0.2">
      <c r="A1797" s="5">
        <v>1736</v>
      </c>
      <c r="B1797" s="1832">
        <f>'Tax Sched 23'!F10</f>
        <v>18919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6520774</v>
      </c>
      <c r="C1807" s="2" t="s">
        <v>569</v>
      </c>
      <c r="D1807" s="2" t="str">
        <f t="shared" si="27"/>
        <v>Error?</v>
      </c>
    </row>
    <row r="1808" spans="1:4" x14ac:dyDescent="0.2">
      <c r="A1808" s="5">
        <v>1747</v>
      </c>
      <c r="B1808" s="1832">
        <f>'Tax Sched 23'!E4</f>
        <v>10381131</v>
      </c>
      <c r="D1808" s="2" t="str">
        <f t="shared" si="27"/>
        <v>Error?</v>
      </c>
    </row>
    <row r="1809" spans="1:4" x14ac:dyDescent="0.2">
      <c r="A1809" s="5">
        <v>1748</v>
      </c>
      <c r="B1809" s="1832">
        <f>'Tax Sched 23'!E5</f>
        <v>814853</v>
      </c>
      <c r="D1809" s="2" t="str">
        <f t="shared" si="27"/>
        <v>Error?</v>
      </c>
    </row>
    <row r="1810" spans="1:4" x14ac:dyDescent="0.2">
      <c r="A1810" s="5">
        <v>1749</v>
      </c>
      <c r="B1810" s="1832">
        <f>'Tax Sched 23'!E6</f>
        <v>937592</v>
      </c>
      <c r="D1810" s="2" t="str">
        <f t="shared" si="27"/>
        <v>Error?</v>
      </c>
    </row>
    <row r="1811" spans="1:4" x14ac:dyDescent="0.2">
      <c r="A1811" s="5">
        <v>1750</v>
      </c>
      <c r="B1811" s="1832">
        <f>'Tax Sched 23'!E7</f>
        <v>673930</v>
      </c>
      <c r="D1811" s="2" t="str">
        <f t="shared" si="27"/>
        <v>Error?</v>
      </c>
    </row>
    <row r="1812" spans="1:4" x14ac:dyDescent="0.2">
      <c r="A1812" s="5">
        <v>1751</v>
      </c>
      <c r="B1812" s="1832">
        <f>'Tax Sched 23'!E8</f>
        <v>194905</v>
      </c>
      <c r="D1812" s="2" t="str">
        <f t="shared" si="27"/>
        <v>Error?</v>
      </c>
    </row>
    <row r="1813" spans="1:4" x14ac:dyDescent="0.2">
      <c r="A1813" s="5">
        <v>1752</v>
      </c>
      <c r="B1813" s="1832">
        <f>'Tax Sched 23'!E10</f>
        <v>38640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13317783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14496362</v>
      </c>
      <c r="C1939" s="2" t="s">
        <v>569</v>
      </c>
      <c r="D1939" s="2" t="str">
        <f t="shared" si="29"/>
        <v>Error?</v>
      </c>
    </row>
    <row r="1940" spans="1:5" x14ac:dyDescent="0.2">
      <c r="A1940" s="5">
        <v>1879</v>
      </c>
      <c r="B1940" s="1832">
        <f>'Short-Term Long-Term Debt 24'!F49</f>
        <v>1073558</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329076</v>
      </c>
      <c r="D2008" s="2" t="str">
        <f t="shared" si="30"/>
        <v>Error?</v>
      </c>
    </row>
    <row r="2009" spans="1:4" x14ac:dyDescent="0.2">
      <c r="A2009" s="5">
        <v>1948</v>
      </c>
      <c r="B2009" s="1832">
        <f>'Cap Outlay Deprec 26'!C8</f>
        <v>16493990</v>
      </c>
      <c r="D2009" s="2" t="str">
        <f t="shared" si="30"/>
        <v>Error?</v>
      </c>
    </row>
    <row r="2010" spans="1:4" x14ac:dyDescent="0.2">
      <c r="A2010" s="5">
        <v>1949</v>
      </c>
      <c r="B2010" s="1832">
        <f>'Cap Outlay Deprec 26'!C10</f>
        <v>9246847</v>
      </c>
      <c r="D2010" s="2" t="str">
        <f t="shared" si="30"/>
        <v>Error?</v>
      </c>
    </row>
    <row r="2011" spans="1:4" x14ac:dyDescent="0.2">
      <c r="A2011" s="5">
        <v>1950</v>
      </c>
      <c r="B2011" s="1832">
        <f>'Cap Outlay Deprec 26'!C12</f>
        <v>4136843</v>
      </c>
      <c r="D2011" s="2" t="str">
        <f t="shared" si="30"/>
        <v>Error?</v>
      </c>
    </row>
    <row r="2012" spans="1:4" x14ac:dyDescent="0.2">
      <c r="A2012" s="5">
        <v>1951</v>
      </c>
      <c r="B2012" s="1832">
        <f>'Cap Outlay Deprec 26'!C13</f>
        <v>1442305</v>
      </c>
      <c r="D2012" s="2" t="str">
        <f t="shared" si="30"/>
        <v>Error?</v>
      </c>
    </row>
    <row r="2013" spans="1:4" x14ac:dyDescent="0.2">
      <c r="A2013" s="5">
        <v>1952</v>
      </c>
      <c r="B2013" s="1832">
        <f>'Cap Outlay Deprec 26'!C16</f>
        <v>31649061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4418290</v>
      </c>
      <c r="D2015" s="2" t="str">
        <f t="shared" si="30"/>
        <v>Error?</v>
      </c>
    </row>
    <row r="2016" spans="1:4" x14ac:dyDescent="0.2">
      <c r="A2016" s="5">
        <v>1955</v>
      </c>
      <c r="B2016" s="1832">
        <f>'Cap Outlay Deprec 26'!D10</f>
        <v>5575</v>
      </c>
      <c r="D2016" s="2" t="str">
        <f t="shared" si="30"/>
        <v>Error?</v>
      </c>
    </row>
    <row r="2017" spans="1:4" x14ac:dyDescent="0.2">
      <c r="A2017" s="5">
        <v>1956</v>
      </c>
      <c r="B2017" s="1832">
        <f>'Cap Outlay Deprec 26'!D12</f>
        <v>742695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5166560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3252052</v>
      </c>
      <c r="D2023" s="2" t="str">
        <f t="shared" si="30"/>
        <v>Error?</v>
      </c>
    </row>
    <row r="2024" spans="1:4" x14ac:dyDescent="0.2">
      <c r="A2024" s="5">
        <v>1963</v>
      </c>
      <c r="B2024" s="1832">
        <f>'Cap Outlay Deprec 26'!E13</f>
        <v>1113996</v>
      </c>
      <c r="D2024" s="2" t="str">
        <f t="shared" si="30"/>
        <v>Error?</v>
      </c>
    </row>
    <row r="2025" spans="1:4" x14ac:dyDescent="0.2">
      <c r="A2025" s="5">
        <v>1964</v>
      </c>
      <c r="B2025" s="1832">
        <f>'Cap Outlay Deprec 26'!E16</f>
        <v>4366048</v>
      </c>
      <c r="C2025" s="2" t="s">
        <v>569</v>
      </c>
      <c r="D2025" s="2" t="str">
        <f t="shared" si="30"/>
        <v>Error?</v>
      </c>
    </row>
    <row r="2026" spans="1:4" x14ac:dyDescent="0.2">
      <c r="A2026" s="5">
        <v>1965</v>
      </c>
      <c r="B2026" s="1832">
        <f>'Cap Outlay Deprec 26'!F5</f>
        <v>329076</v>
      </c>
      <c r="C2026" s="2" t="s">
        <v>569</v>
      </c>
      <c r="D2026" s="2" t="str">
        <f t="shared" si="30"/>
        <v>Error?</v>
      </c>
    </row>
    <row r="2027" spans="1:4" x14ac:dyDescent="0.2">
      <c r="A2027" s="5">
        <v>1966</v>
      </c>
      <c r="B2027" s="1832">
        <f>'Cap Outlay Deprec 26'!F8</f>
        <v>20912280</v>
      </c>
      <c r="C2027" s="2" t="s">
        <v>569</v>
      </c>
      <c r="D2027" s="2" t="str">
        <f t="shared" si="30"/>
        <v>Error?</v>
      </c>
    </row>
    <row r="2028" spans="1:4" x14ac:dyDescent="0.2">
      <c r="A2028" s="5">
        <v>1967</v>
      </c>
      <c r="B2028" s="1832">
        <f>'Cap Outlay Deprec 26'!F10</f>
        <v>9252422</v>
      </c>
      <c r="C2028" s="2" t="s">
        <v>569</v>
      </c>
      <c r="D2028" s="2" t="str">
        <f t="shared" si="30"/>
        <v>Error?</v>
      </c>
    </row>
    <row r="2029" spans="1:4" x14ac:dyDescent="0.2">
      <c r="A2029" s="5">
        <v>1968</v>
      </c>
      <c r="B2029" s="1832">
        <f>'Cap Outlay Deprec 26'!F12</f>
        <v>1627486</v>
      </c>
      <c r="C2029" s="2" t="s">
        <v>569</v>
      </c>
      <c r="D2029" s="2" t="str">
        <f t="shared" si="30"/>
        <v>Error?</v>
      </c>
    </row>
    <row r="2030" spans="1:4" x14ac:dyDescent="0.2">
      <c r="A2030" s="5">
        <v>1969</v>
      </c>
      <c r="B2030" s="1832">
        <f>'Cap Outlay Deprec 26'!F13</f>
        <v>328309</v>
      </c>
      <c r="C2030" s="2" t="s">
        <v>569</v>
      </c>
      <c r="D2030" s="2" t="str">
        <f t="shared" si="30"/>
        <v>Error?</v>
      </c>
    </row>
    <row r="2031" spans="1:4" x14ac:dyDescent="0.2">
      <c r="A2031" s="5">
        <v>1970</v>
      </c>
      <c r="B2031" s="1832">
        <f>'Cap Outlay Deprec 26'!F16</f>
        <v>32449573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7226012</v>
      </c>
      <c r="D2033" s="2" t="str">
        <f t="shared" si="30"/>
        <v>Error?</v>
      </c>
    </row>
    <row r="2034" spans="1:4" x14ac:dyDescent="0.2">
      <c r="A2034" s="5">
        <v>1973</v>
      </c>
      <c r="B2034" s="1832">
        <f>'Cap Outlay Deprec 26'!H10</f>
        <v>942237</v>
      </c>
      <c r="D2034" s="2" t="str">
        <f t="shared" si="30"/>
        <v>Error?</v>
      </c>
    </row>
    <row r="2035" spans="1:4" x14ac:dyDescent="0.2">
      <c r="A2035" s="5">
        <v>1974</v>
      </c>
      <c r="B2035" s="1832">
        <f>'Cap Outlay Deprec 26'!H12</f>
        <v>3113783</v>
      </c>
      <c r="D2035" s="2" t="str">
        <f t="shared" si="30"/>
        <v>Error?</v>
      </c>
    </row>
    <row r="2036" spans="1:4" x14ac:dyDescent="0.2">
      <c r="A2036" s="5">
        <v>1975</v>
      </c>
      <c r="B2036" s="1832">
        <f>'Cap Outlay Deprec 26'!H13</f>
        <v>1208783</v>
      </c>
      <c r="D2036" s="2" t="str">
        <f t="shared" si="30"/>
        <v>Error?</v>
      </c>
    </row>
    <row r="2037" spans="1:4" x14ac:dyDescent="0.2">
      <c r="A2037" s="5">
        <v>1976</v>
      </c>
      <c r="B2037" s="1832">
        <f>'Cap Outlay Deprec 26'!H16</f>
        <v>12490815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378865</v>
      </c>
      <c r="D2039" s="2" t="str">
        <f t="shared" si="30"/>
        <v>Error?</v>
      </c>
    </row>
    <row r="2040" spans="1:4" x14ac:dyDescent="0.2">
      <c r="A2040" s="5">
        <v>1979</v>
      </c>
      <c r="B2040" s="1832">
        <f>'Cap Outlay Deprec 26'!I10</f>
        <v>450968</v>
      </c>
      <c r="D2040" s="2" t="str">
        <f t="shared" si="30"/>
        <v>Error?</v>
      </c>
    </row>
    <row r="2041" spans="1:4" x14ac:dyDescent="0.2">
      <c r="A2041" s="5">
        <v>1980</v>
      </c>
      <c r="B2041" s="1832">
        <f>'Cap Outlay Deprec 26'!I12</f>
        <v>162746</v>
      </c>
      <c r="D2041" s="2" t="str">
        <f t="shared" si="30"/>
        <v>Error?</v>
      </c>
    </row>
    <row r="2042" spans="1:4" x14ac:dyDescent="0.2">
      <c r="A2042" s="5">
        <v>1981</v>
      </c>
      <c r="B2042" s="1832">
        <f>'Cap Outlay Deprec 26'!I13</f>
        <v>606</v>
      </c>
      <c r="D2042" s="2" t="str">
        <f t="shared" si="30"/>
        <v>Error?</v>
      </c>
    </row>
    <row r="2043" spans="1:4" x14ac:dyDescent="0.2">
      <c r="A2043" s="5">
        <v>1982</v>
      </c>
      <c r="B2043" s="1832">
        <f>'Cap Outlay Deprec 26'!I16</f>
        <v>993185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2704394</v>
      </c>
      <c r="D2047" s="2" t="str">
        <f t="shared" ref="D2047:D2110" si="31">IF(ISBLANK(B2047),"OK",IF(A2047-B2047=0,"OK","Error?"))</f>
        <v>Error?</v>
      </c>
    </row>
    <row r="2048" spans="1:4" x14ac:dyDescent="0.2">
      <c r="A2048" s="5">
        <v>1987</v>
      </c>
      <c r="B2048" s="1832">
        <f>'Cap Outlay Deprec 26'!J13</f>
        <v>883504</v>
      </c>
      <c r="D2048" s="2" t="str">
        <f t="shared" si="31"/>
        <v>Error?</v>
      </c>
    </row>
    <row r="2049" spans="1:4" x14ac:dyDescent="0.2">
      <c r="A2049" s="5">
        <v>1988</v>
      </c>
      <c r="B2049" s="1832">
        <f>'Cap Outlay Deprec 26'!J16</f>
        <v>3587898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7604877</v>
      </c>
      <c r="C2051" s="2" t="s">
        <v>569</v>
      </c>
      <c r="D2051" s="2" t="str">
        <f t="shared" si="31"/>
        <v>Error?</v>
      </c>
    </row>
    <row r="2052" spans="1:4" x14ac:dyDescent="0.2">
      <c r="A2052" s="5">
        <v>1991</v>
      </c>
      <c r="B2052" s="1832">
        <f>'Cap Outlay Deprec 26'!K10</f>
        <v>1393205</v>
      </c>
      <c r="C2052" s="2" t="s">
        <v>569</v>
      </c>
      <c r="D2052" s="2" t="str">
        <f t="shared" si="31"/>
        <v>Error?</v>
      </c>
    </row>
    <row r="2053" spans="1:4" x14ac:dyDescent="0.2">
      <c r="A2053" s="5">
        <v>1992</v>
      </c>
      <c r="B2053" s="1832">
        <f>'Cap Outlay Deprec 26'!K12</f>
        <v>572135</v>
      </c>
      <c r="C2053" s="2" t="s">
        <v>569</v>
      </c>
      <c r="D2053" s="2" t="str">
        <f t="shared" si="31"/>
        <v>Error?</v>
      </c>
    </row>
    <row r="2054" spans="1:4" x14ac:dyDescent="0.2">
      <c r="A2054" s="5">
        <v>1993</v>
      </c>
      <c r="B2054" s="1832">
        <f>'Cap Outlay Deprec 26'!K13</f>
        <v>325885</v>
      </c>
      <c r="C2054" s="2" t="s">
        <v>569</v>
      </c>
      <c r="D2054" s="2" t="str">
        <f t="shared" si="31"/>
        <v>Error?</v>
      </c>
    </row>
    <row r="2055" spans="1:4" x14ac:dyDescent="0.2">
      <c r="A2055" s="5">
        <v>1994</v>
      </c>
      <c r="B2055" s="1832">
        <f>'Cap Outlay Deprec 26'!K16</f>
        <v>9896102</v>
      </c>
      <c r="C2055" s="2" t="s">
        <v>569</v>
      </c>
      <c r="D2055" s="2" t="str">
        <f t="shared" si="31"/>
        <v>Error?</v>
      </c>
    </row>
    <row r="2056" spans="1:4" x14ac:dyDescent="0.2">
      <c r="A2056" s="5">
        <v>1995</v>
      </c>
      <c r="B2056" s="1832">
        <f>'Cap Outlay Deprec 26'!L5</f>
        <v>329076</v>
      </c>
      <c r="C2056" s="2" t="s">
        <v>569</v>
      </c>
      <c r="D2056" s="2" t="str">
        <f t="shared" si="31"/>
        <v>Error?</v>
      </c>
    </row>
    <row r="2057" spans="1:4" x14ac:dyDescent="0.2">
      <c r="A2057" s="5">
        <v>1996</v>
      </c>
      <c r="B2057" s="1832">
        <f>'Cap Outlay Deprec 26'!L8</f>
        <v>13307403</v>
      </c>
      <c r="C2057" s="2" t="s">
        <v>569</v>
      </c>
      <c r="D2057" s="2" t="str">
        <f t="shared" si="31"/>
        <v>Error?</v>
      </c>
    </row>
    <row r="2058" spans="1:4" x14ac:dyDescent="0.2">
      <c r="A2058" s="5">
        <v>1997</v>
      </c>
      <c r="B2058" s="1832">
        <f>'Cap Outlay Deprec 26'!L10</f>
        <v>7859217</v>
      </c>
      <c r="C2058" s="2" t="s">
        <v>569</v>
      </c>
      <c r="D2058" s="2" t="str">
        <f t="shared" si="31"/>
        <v>Error?</v>
      </c>
    </row>
    <row r="2059" spans="1:4" x14ac:dyDescent="0.2">
      <c r="A2059" s="5">
        <v>1998</v>
      </c>
      <c r="B2059" s="1832">
        <f>'Cap Outlay Deprec 26'!L12</f>
        <v>1055351</v>
      </c>
      <c r="C2059" s="2" t="s">
        <v>569</v>
      </c>
      <c r="D2059" s="2" t="str">
        <f t="shared" si="31"/>
        <v>Error?</v>
      </c>
    </row>
    <row r="2060" spans="1:4" x14ac:dyDescent="0.2">
      <c r="A2060" s="5">
        <v>1999</v>
      </c>
      <c r="B2060" s="1832">
        <f>'Cap Outlay Deprec 26'!L13</f>
        <v>2424</v>
      </c>
      <c r="C2060" s="2" t="s">
        <v>569</v>
      </c>
      <c r="D2060" s="2" t="str">
        <f t="shared" si="31"/>
        <v>Error?</v>
      </c>
    </row>
    <row r="2061" spans="1:4" x14ac:dyDescent="0.2">
      <c r="A2061" s="5">
        <v>2000</v>
      </c>
      <c r="B2061" s="1832">
        <f>'Cap Outlay Deprec 26'!L16</f>
        <v>22553471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486134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503371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28332</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81132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10943152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774746</v>
      </c>
      <c r="C2553" s="2" t="s">
        <v>569</v>
      </c>
      <c r="D2553" s="2" t="str">
        <f t="shared" si="38"/>
        <v>Error?</v>
      </c>
    </row>
    <row r="2554" spans="1:4" x14ac:dyDescent="0.2">
      <c r="A2554" s="5">
        <v>2493</v>
      </c>
      <c r="B2554" s="1832">
        <f>'Acct Summary 7-8'!C7</f>
        <v>264200</v>
      </c>
      <c r="C2554" s="2" t="s">
        <v>569</v>
      </c>
      <c r="D2554" s="2" t="str">
        <f t="shared" si="38"/>
        <v>Error?</v>
      </c>
    </row>
    <row r="2555" spans="1:4" x14ac:dyDescent="0.2">
      <c r="A2555" s="5">
        <v>2494</v>
      </c>
      <c r="B2555" s="1832">
        <f>'Acct Summary 7-8'!C8</f>
        <v>11982098</v>
      </c>
      <c r="C2555" s="2" t="s">
        <v>569</v>
      </c>
      <c r="D2555" s="2" t="str">
        <f t="shared" si="38"/>
        <v>Error?</v>
      </c>
    </row>
    <row r="2556" spans="1:4" x14ac:dyDescent="0.2">
      <c r="A2556" s="5">
        <v>2495</v>
      </c>
      <c r="B2556" s="1832">
        <f>'Acct Summary 7-8'!C12</f>
        <v>8461802</v>
      </c>
      <c r="C2556" s="2" t="s">
        <v>569</v>
      </c>
      <c r="D2556" s="2" t="str">
        <f t="shared" si="38"/>
        <v>Error?</v>
      </c>
    </row>
    <row r="2557" spans="1:4" x14ac:dyDescent="0.2">
      <c r="A2557" s="5">
        <v>2496</v>
      </c>
      <c r="B2557" s="1832">
        <f>'Acct Summary 7-8'!C13</f>
        <v>3514406</v>
      </c>
      <c r="C2557" s="2" t="s">
        <v>569</v>
      </c>
      <c r="D2557" s="2" t="str">
        <f t="shared" si="38"/>
        <v>Error?</v>
      </c>
    </row>
    <row r="2558" spans="1:4" x14ac:dyDescent="0.2">
      <c r="A2558" s="5">
        <v>2497</v>
      </c>
      <c r="B2558" s="1832">
        <f>'Acct Summary 7-8'!C14</f>
        <v>251894</v>
      </c>
      <c r="C2558" s="2" t="s">
        <v>569</v>
      </c>
      <c r="D2558" s="2" t="str">
        <f t="shared" si="38"/>
        <v>Error?</v>
      </c>
    </row>
    <row r="2559" spans="1:4" x14ac:dyDescent="0.2">
      <c r="A2559" s="5">
        <v>2498</v>
      </c>
      <c r="B2559" s="1832">
        <f>'Acct Summary 7-8'!C15</f>
        <v>503371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12731473</v>
      </c>
      <c r="C2561" s="2" t="s">
        <v>569</v>
      </c>
      <c r="D2561" s="2" t="str">
        <f t="shared" si="39"/>
        <v>Error?</v>
      </c>
    </row>
    <row r="2562" spans="1:4" x14ac:dyDescent="0.2">
      <c r="A2562" s="5">
        <v>2501</v>
      </c>
      <c r="B2562" s="1832">
        <f>'Acct Summary 7-8'!C20</f>
        <v>-749375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946619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996619</v>
      </c>
      <c r="C2568" s="2" t="s">
        <v>569</v>
      </c>
      <c r="D2568" s="2" t="str">
        <f t="shared" si="39"/>
        <v>Error?</v>
      </c>
    </row>
    <row r="2569" spans="1:4" x14ac:dyDescent="0.2">
      <c r="A2569" s="5">
        <v>2508</v>
      </c>
      <c r="B2569" s="1832">
        <f>'Acct Summary 7-8'!D13</f>
        <v>1186475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1186475</v>
      </c>
      <c r="C2573" s="2" t="s">
        <v>569</v>
      </c>
      <c r="D2573" s="2" t="str">
        <f t="shared" si="39"/>
        <v>Error?</v>
      </c>
    </row>
    <row r="2574" spans="1:4" x14ac:dyDescent="0.2">
      <c r="A2574" s="5">
        <v>2513</v>
      </c>
      <c r="B2574" s="1832">
        <f>'Acct Summary 7-8'!D20</f>
        <v>-189856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641560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84730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726290</v>
      </c>
      <c r="C2595" s="2" t="s">
        <v>569</v>
      </c>
      <c r="D2595" s="2" t="str">
        <f t="shared" si="39"/>
        <v>Error?</v>
      </c>
    </row>
    <row r="2596" spans="1:4" x14ac:dyDescent="0.2">
      <c r="A2596" s="5">
        <v>2535</v>
      </c>
      <c r="B2596" s="1832">
        <f>'Acct Summary 7-8'!F13</f>
        <v>744974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744974</v>
      </c>
      <c r="C2600" s="2" t="s">
        <v>569</v>
      </c>
      <c r="D2600" s="2" t="str">
        <f t="shared" si="39"/>
        <v>Error?</v>
      </c>
    </row>
    <row r="2601" spans="1:4" x14ac:dyDescent="0.2">
      <c r="A2601" s="5">
        <v>2540</v>
      </c>
      <c r="B2601" s="1832">
        <f>'Acct Summary 7-8'!F20</f>
        <v>-18684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501047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501047</v>
      </c>
      <c r="C2606" s="2" t="s">
        <v>569</v>
      </c>
      <c r="D2606" s="2" t="str">
        <f t="shared" si="39"/>
        <v>Error?</v>
      </c>
    </row>
    <row r="2607" spans="1:4" x14ac:dyDescent="0.2">
      <c r="A2607" s="5">
        <v>2546</v>
      </c>
      <c r="B2607" s="1832">
        <f>'Acct Summary 7-8'!G12</f>
        <v>172461</v>
      </c>
      <c r="C2607" s="2" t="s">
        <v>569</v>
      </c>
      <c r="D2607" s="2" t="str">
        <f t="shared" si="39"/>
        <v>Error?</v>
      </c>
    </row>
    <row r="2608" spans="1:4" x14ac:dyDescent="0.2">
      <c r="A2608" s="5">
        <v>2547</v>
      </c>
      <c r="B2608" s="1832">
        <f>'Acct Summary 7-8'!G13</f>
        <v>223353</v>
      </c>
      <c r="C2608" s="2" t="s">
        <v>569</v>
      </c>
      <c r="D2608" s="2" t="str">
        <f t="shared" si="39"/>
        <v>Error?</v>
      </c>
    </row>
    <row r="2609" spans="1:4" x14ac:dyDescent="0.2">
      <c r="A2609" s="5">
        <v>2548</v>
      </c>
      <c r="B2609" s="1832">
        <f>'Acct Summary 7-8'!G14</f>
        <v>34041</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429855</v>
      </c>
      <c r="C2612" s="2" t="s">
        <v>569</v>
      </c>
      <c r="D2612" s="2" t="str">
        <f t="shared" si="39"/>
        <v>Error?</v>
      </c>
    </row>
    <row r="2613" spans="1:4" x14ac:dyDescent="0.2">
      <c r="A2613" s="5">
        <v>2552</v>
      </c>
      <c r="B2613" s="1832">
        <f>'Acct Summary 7-8'!G20</f>
        <v>71192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947636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947636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994686</v>
      </c>
      <c r="C2634" s="2" t="s">
        <v>569</v>
      </c>
      <c r="D2634" s="2" t="str">
        <f t="shared" si="40"/>
        <v>Error?</v>
      </c>
    </row>
    <row r="2635" spans="1:4" x14ac:dyDescent="0.2">
      <c r="A2635" s="5">
        <v>2574</v>
      </c>
      <c r="B2635" s="1832">
        <f>'Acct Summary 7-8'!E17</f>
        <v>994686</v>
      </c>
      <c r="C2635" s="2" t="s">
        <v>569</v>
      </c>
      <c r="D2635" s="2" t="str">
        <f t="shared" si="40"/>
        <v>Error?</v>
      </c>
    </row>
    <row r="2636" spans="1:4" x14ac:dyDescent="0.2">
      <c r="A2636" s="5">
        <v>2575</v>
      </c>
      <c r="B2636" s="1832">
        <f>'Acct Summary 7-8'!E20</f>
        <v>-47050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53828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53828</v>
      </c>
      <c r="C2658" s="2" t="s">
        <v>569</v>
      </c>
      <c r="D2658" s="2" t="str">
        <f t="shared" si="40"/>
        <v>Error?</v>
      </c>
    </row>
    <row r="2659" spans="1:4" x14ac:dyDescent="0.2">
      <c r="A2659" s="5">
        <v>2598</v>
      </c>
      <c r="B2659" s="1832">
        <f>'Acct Summary 7-8'!H13</f>
        <v>4675612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4675612</v>
      </c>
      <c r="C2661" s="2" t="s">
        <v>569</v>
      </c>
      <c r="D2661" s="2" t="str">
        <f t="shared" si="40"/>
        <v>Error?</v>
      </c>
    </row>
    <row r="2662" spans="1:4" x14ac:dyDescent="0.2">
      <c r="A2662" s="5">
        <v>2601</v>
      </c>
      <c r="B2662" s="1832">
        <f>'Acct Summary 7-8'!H20</f>
        <v>-4621784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16037</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17237</v>
      </c>
      <c r="C2789" s="2" t="s">
        <v>569</v>
      </c>
      <c r="D2789" s="2" t="str">
        <f t="shared" si="42"/>
        <v>Error?</v>
      </c>
    </row>
    <row r="2790" spans="1:4" x14ac:dyDescent="0.2">
      <c r="A2790" s="5">
        <v>2729</v>
      </c>
      <c r="B2790" s="1832">
        <f>'Expenditures 15-22'!E102</f>
        <v>17237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15738</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299</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898600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1793037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142990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1793037</v>
      </c>
      <c r="D2912" s="2" t="str">
        <f t="shared" si="44"/>
        <v>Error?</v>
      </c>
    </row>
    <row r="2913" spans="1:4" x14ac:dyDescent="0.2">
      <c r="A2913" s="5">
        <v>2852</v>
      </c>
      <c r="B2913" s="1832">
        <f>'Assets-Liab 5-6'!I41</f>
        <v>1793037</v>
      </c>
      <c r="C2913" s="2" t="s">
        <v>569</v>
      </c>
      <c r="D2913" s="2" t="str">
        <f t="shared" si="44"/>
        <v>Error?</v>
      </c>
    </row>
    <row r="2914" spans="1:4" x14ac:dyDescent="0.2">
      <c r="A2914" s="5">
        <v>2853</v>
      </c>
      <c r="B2914" s="1832">
        <f>'Assets-Liab 5-6'!L33</f>
        <v>124063</v>
      </c>
      <c r="D2914" s="2" t="str">
        <f t="shared" si="44"/>
        <v>Error?</v>
      </c>
    </row>
    <row r="2915" spans="1:4" x14ac:dyDescent="0.2">
      <c r="A2915" s="10">
        <v>2854</v>
      </c>
      <c r="B2915" s="1832"/>
      <c r="D2915" s="2" t="str">
        <f t="shared" si="44"/>
        <v>OK</v>
      </c>
    </row>
    <row r="2916" spans="1:4" x14ac:dyDescent="0.2">
      <c r="A2916" s="5">
        <v>2855</v>
      </c>
      <c r="B2916" s="1832">
        <f>'Assets-Liab 5-6'!L34</f>
        <v>124063</v>
      </c>
      <c r="C2916" s="2" t="s">
        <v>569</v>
      </c>
      <c r="D2916" s="2" t="str">
        <f t="shared" si="44"/>
        <v>Error?</v>
      </c>
    </row>
    <row r="2917" spans="1:4" x14ac:dyDescent="0.2">
      <c r="A2917" s="5">
        <v>2856</v>
      </c>
      <c r="B2917" s="1832">
        <f>'Assets-Liab 5-6'!L41</f>
        <v>142990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17237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486134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503371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18927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67641</v>
      </c>
      <c r="C3225" s="2" t="s">
        <v>569</v>
      </c>
      <c r="D3225" s="2" t="str">
        <f t="shared" si="49"/>
        <v>Error?</v>
      </c>
    </row>
    <row r="3226" spans="1:4" x14ac:dyDescent="0.2">
      <c r="A3226" s="5">
        <v>3165</v>
      </c>
      <c r="B3226" s="1832">
        <f>'Acct Summary 7-8'!I8</f>
        <v>67641</v>
      </c>
      <c r="C3226" s="2" t="s">
        <v>569</v>
      </c>
      <c r="D3226" s="2" t="str">
        <f t="shared" si="49"/>
        <v>Error?</v>
      </c>
    </row>
    <row r="3227" spans="1:4" x14ac:dyDescent="0.2">
      <c r="A3227" s="5">
        <v>3166</v>
      </c>
      <c r="B3227" s="1832">
        <f>'Acct Summary 7-8'!I20</f>
        <v>67641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44369</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44369</v>
      </c>
      <c r="C3232" s="2" t="s">
        <v>569</v>
      </c>
      <c r="D3232" s="2" t="str">
        <f t="shared" si="49"/>
        <v>Error?</v>
      </c>
    </row>
    <row r="3233" spans="1:4" x14ac:dyDescent="0.2">
      <c r="A3233" s="5">
        <v>3172</v>
      </c>
      <c r="B3233" s="1832">
        <f>'Acct Summary 7-8'!C78</f>
        <v>-705006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151496</v>
      </c>
      <c r="D3236" s="2" t="str">
        <f t="shared" si="49"/>
        <v>Error?</v>
      </c>
    </row>
    <row r="3237" spans="1:4" x14ac:dyDescent="0.2">
      <c r="A3237" s="5">
        <v>3176</v>
      </c>
      <c r="B3237" s="1832">
        <f>'Acct Summary 7-8'!D76</f>
        <v>167234</v>
      </c>
      <c r="C3237" s="2" t="s">
        <v>569</v>
      </c>
      <c r="D3237" s="2" t="str">
        <f t="shared" si="49"/>
        <v>Error?</v>
      </c>
    </row>
    <row r="3238" spans="1:4" x14ac:dyDescent="0.2">
      <c r="A3238" s="5">
        <v>3177</v>
      </c>
      <c r="B3238" s="1832">
        <f>'Acct Summary 7-8'!D77</f>
        <v>-167234</v>
      </c>
      <c r="C3238" s="2" t="s">
        <v>569</v>
      </c>
      <c r="D3238" s="2" t="str">
        <f t="shared" si="49"/>
        <v>Error?</v>
      </c>
    </row>
    <row r="3239" spans="1:4" x14ac:dyDescent="0.2">
      <c r="A3239" s="5">
        <v>3178</v>
      </c>
      <c r="B3239" s="1832">
        <f>'Acct Summary 7-8'!D78</f>
        <v>-357090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299</v>
      </c>
      <c r="C3254" s="2" t="s">
        <v>569</v>
      </c>
      <c r="D3254" s="2" t="str">
        <f t="shared" si="49"/>
        <v>Error?</v>
      </c>
    </row>
    <row r="3255" spans="1:4" x14ac:dyDescent="0.2">
      <c r="A3255" s="5">
        <v>3194</v>
      </c>
      <c r="B3255" s="1832">
        <f>'Acct Summary 7-8'!F77</f>
        <v>-299</v>
      </c>
      <c r="C3255" s="2" t="s">
        <v>569</v>
      </c>
      <c r="D3255" s="2" t="str">
        <f t="shared" si="49"/>
        <v>Error?</v>
      </c>
    </row>
    <row r="3256" spans="1:4" x14ac:dyDescent="0.2">
      <c r="A3256" s="5">
        <v>3195</v>
      </c>
      <c r="B3256" s="1832">
        <f>'Acct Summary 7-8'!F78</f>
        <v>-18983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71192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151496</v>
      </c>
      <c r="D3273" s="2" t="str">
        <f t="shared" si="50"/>
        <v>Error?</v>
      </c>
    </row>
    <row r="3274" spans="1:4" x14ac:dyDescent="0.2">
      <c r="A3274" s="5">
        <v>3213</v>
      </c>
      <c r="B3274" s="1832">
        <f>'Acct Summary 7-8'!E44</f>
        <v>151496</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151496</v>
      </c>
      <c r="C3277" s="2" t="s">
        <v>569</v>
      </c>
      <c r="D3277" s="2" t="str">
        <f t="shared" si="50"/>
        <v>Error?</v>
      </c>
    </row>
    <row r="3278" spans="1:4" x14ac:dyDescent="0.2">
      <c r="A3278" s="5">
        <v>3217</v>
      </c>
      <c r="B3278" s="1832">
        <f>'Acct Summary 7-8'!E78</f>
        <v>104446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1073558</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1073558</v>
      </c>
      <c r="C3299" s="2" t="s">
        <v>569</v>
      </c>
      <c r="D3299" s="2" t="str">
        <f t="shared" si="50"/>
        <v>Error?</v>
      </c>
    </row>
    <row r="3300" spans="1:4" x14ac:dyDescent="0.2">
      <c r="A3300" s="5">
        <v>3239</v>
      </c>
      <c r="B3300" s="1832">
        <f>'Acct Summary 7-8'!H78</f>
        <v>-3548226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28332</v>
      </c>
      <c r="C3318" s="2" t="s">
        <v>569</v>
      </c>
      <c r="D3318" s="2" t="str">
        <f t="shared" si="50"/>
        <v>Error?</v>
      </c>
    </row>
    <row r="3319" spans="1:4" x14ac:dyDescent="0.2">
      <c r="A3319" s="5">
        <v>3258</v>
      </c>
      <c r="B3319" s="1832">
        <f>'Acct Summary 7-8'!I77</f>
        <v>-28332</v>
      </c>
      <c r="C3319" s="2" t="s">
        <v>569</v>
      </c>
      <c r="D3319" s="2" t="str">
        <f t="shared" si="50"/>
        <v>Error?</v>
      </c>
    </row>
    <row r="3320" spans="1:4" x14ac:dyDescent="0.2">
      <c r="A3320" s="5">
        <v>3259</v>
      </c>
      <c r="B3320" s="1832">
        <f>'Acct Summary 7-8'!I78</f>
        <v>39309</v>
      </c>
      <c r="C3320" s="2" t="s">
        <v>569</v>
      </c>
      <c r="D3320" s="2" t="str">
        <f t="shared" si="50"/>
        <v>Error?</v>
      </c>
    </row>
    <row r="3321" spans="1:4" x14ac:dyDescent="0.2">
      <c r="A3321" s="5">
        <v>3260</v>
      </c>
      <c r="B3321" s="1832">
        <f>'Acct Summary 7-8'!I79</f>
        <v>1753728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1793037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1227427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100326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2499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5740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1687</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1337679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84304</v>
      </c>
      <c r="D3387" s="2" t="str">
        <f t="shared" si="51"/>
        <v>Error?</v>
      </c>
    </row>
    <row r="3388" spans="1:4" x14ac:dyDescent="0.2">
      <c r="A3388" s="5">
        <v>3327</v>
      </c>
      <c r="B3388" s="1832">
        <f>'Expenditures 15-22'!D217</f>
        <v>78148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84304</v>
      </c>
      <c r="C3390" s="2" t="s">
        <v>569</v>
      </c>
      <c r="D3390" s="2" t="str">
        <f t="shared" si="51"/>
        <v>Error?</v>
      </c>
    </row>
    <row r="3391" spans="1:4" x14ac:dyDescent="0.2">
      <c r="A3391" s="5">
        <v>3330</v>
      </c>
      <c r="B3391" s="1832">
        <f>'Expenditures 15-22'!K217</f>
        <v>78148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2786324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726922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442055</v>
      </c>
      <c r="D3417" s="2" t="str">
        <f t="shared" si="52"/>
        <v>Error?</v>
      </c>
    </row>
    <row r="3418" spans="1:4" x14ac:dyDescent="0.2">
      <c r="A3418" s="10">
        <v>3357</v>
      </c>
      <c r="B3418" s="1832"/>
      <c r="D3418" s="2" t="str">
        <f t="shared" si="52"/>
        <v>OK</v>
      </c>
    </row>
    <row r="3419" spans="1:4" x14ac:dyDescent="0.2">
      <c r="A3419" s="5">
        <v>3358</v>
      </c>
      <c r="B3419" s="1832">
        <f>'Assets-Liab 5-6'!F4</f>
        <v>35529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127372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1184131</v>
      </c>
      <c r="D3425" s="2" t="str">
        <f t="shared" si="52"/>
        <v>Error?</v>
      </c>
    </row>
    <row r="3426" spans="1:4" x14ac:dyDescent="0.2">
      <c r="A3426" s="10">
        <v>3365</v>
      </c>
      <c r="B3426" s="1832"/>
      <c r="D3426" s="2" t="str">
        <f t="shared" si="52"/>
        <v>OK</v>
      </c>
    </row>
    <row r="3427" spans="1:4" x14ac:dyDescent="0.2">
      <c r="A3427" s="5">
        <v>3366</v>
      </c>
      <c r="B3427" s="1832">
        <f>'Assets-Liab 5-6'!I4</f>
        <v>894437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142990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293659</v>
      </c>
      <c r="C3446" s="2" t="s">
        <v>569</v>
      </c>
      <c r="D3446" s="2" t="str">
        <f t="shared" si="52"/>
        <v>Error?</v>
      </c>
    </row>
    <row r="3447" spans="1:4" x14ac:dyDescent="0.2">
      <c r="A3447" s="5">
        <v>3386</v>
      </c>
      <c r="B3447" s="1832">
        <f>'Tax Sched 23'!D16</f>
        <v>152423</v>
      </c>
      <c r="C3447" s="2" t="s">
        <v>569</v>
      </c>
      <c r="D3447" s="2" t="str">
        <f t="shared" si="52"/>
        <v>Error?</v>
      </c>
    </row>
    <row r="3448" spans="1:4" x14ac:dyDescent="0.2">
      <c r="A3448" s="5">
        <v>3387</v>
      </c>
      <c r="B3448" s="1832">
        <f>'Tax Sched 23'!C16</f>
        <v>141236</v>
      </c>
      <c r="D3448" s="2" t="str">
        <f t="shared" si="52"/>
        <v>Error?</v>
      </c>
    </row>
    <row r="3449" spans="1:4" x14ac:dyDescent="0.2">
      <c r="A3449" s="5">
        <v>3388</v>
      </c>
      <c r="B3449" s="1832">
        <f>'Tax Sched 23'!F16</f>
        <v>135496</v>
      </c>
      <c r="C3449" s="2" t="s">
        <v>569</v>
      </c>
      <c r="D3449" s="2" t="str">
        <f t="shared" si="52"/>
        <v>Error?</v>
      </c>
    </row>
    <row r="3450" spans="1:4" x14ac:dyDescent="0.2">
      <c r="A3450" s="5">
        <v>3389</v>
      </c>
      <c r="B3450" s="1832">
        <f>'Tax Sched 23'!E16</f>
        <v>276732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6292964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18275062</v>
      </c>
      <c r="C4122" s="2" t="s">
        <v>569</v>
      </c>
      <c r="D4122" s="2" t="str">
        <f t="shared" si="63"/>
        <v>Error?</v>
      </c>
    </row>
    <row r="4123" spans="1:4" x14ac:dyDescent="0.2">
      <c r="A4123" s="5">
        <v>4062</v>
      </c>
      <c r="B4123" s="1832">
        <f>'Acct Summary 7-8'!D10</f>
        <v>996619</v>
      </c>
      <c r="C4123" s="2" t="s">
        <v>569</v>
      </c>
      <c r="D4123" s="2" t="str">
        <f t="shared" si="63"/>
        <v>Error?</v>
      </c>
    </row>
    <row r="4124" spans="1:4" x14ac:dyDescent="0.2">
      <c r="A4124" s="5">
        <v>4063</v>
      </c>
      <c r="B4124" s="1832">
        <f>'Acct Summary 7-8'!E10</f>
        <v>947636</v>
      </c>
      <c r="C4124" s="2" t="s">
        <v>569</v>
      </c>
      <c r="D4124" s="2" t="str">
        <f t="shared" si="63"/>
        <v>Error?</v>
      </c>
    </row>
    <row r="4125" spans="1:4" x14ac:dyDescent="0.2">
      <c r="A4125" s="5">
        <v>4064</v>
      </c>
      <c r="B4125" s="1832">
        <f>'Acct Summary 7-8'!F10</f>
        <v>726290</v>
      </c>
      <c r="C4125" s="2" t="s">
        <v>569</v>
      </c>
      <c r="D4125" s="2" t="str">
        <f t="shared" si="63"/>
        <v>Error?</v>
      </c>
    </row>
    <row r="4126" spans="1:4" x14ac:dyDescent="0.2">
      <c r="A4126" s="5">
        <v>4065</v>
      </c>
      <c r="B4126" s="1832">
        <f>'Acct Summary 7-8'!G10</f>
        <v>501047</v>
      </c>
      <c r="C4126" s="2" t="s">
        <v>569</v>
      </c>
      <c r="D4126" s="2" t="str">
        <f t="shared" si="63"/>
        <v>Error?</v>
      </c>
    </row>
    <row r="4127" spans="1:4" x14ac:dyDescent="0.2">
      <c r="A4127" s="5">
        <v>4066</v>
      </c>
      <c r="B4127" s="1832">
        <f>'Acct Summary 7-8'!H10</f>
        <v>53828</v>
      </c>
      <c r="C4127" s="2" t="s">
        <v>569</v>
      </c>
      <c r="D4127" s="2" t="str">
        <f t="shared" si="63"/>
        <v>Error?</v>
      </c>
    </row>
    <row r="4128" spans="1:4" x14ac:dyDescent="0.2">
      <c r="A4128" s="5">
        <v>4067</v>
      </c>
      <c r="B4128" s="1832">
        <f>'Acct Summary 7-8'!I10</f>
        <v>67641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6292964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19024437</v>
      </c>
      <c r="C4136" s="2" t="s">
        <v>569</v>
      </c>
      <c r="D4136" s="2" t="str">
        <f t="shared" si="63"/>
        <v>Error?</v>
      </c>
    </row>
    <row r="4137" spans="1:4" x14ac:dyDescent="0.2">
      <c r="A4137" s="5">
        <v>4076</v>
      </c>
      <c r="B4137" s="1832">
        <f>'Acct Summary 7-8'!D19</f>
        <v>1186475</v>
      </c>
      <c r="C4137" s="2" t="s">
        <v>569</v>
      </c>
      <c r="D4137" s="2" t="str">
        <f t="shared" si="63"/>
        <v>Error?</v>
      </c>
    </row>
    <row r="4138" spans="1:4" x14ac:dyDescent="0.2">
      <c r="A4138" s="5">
        <v>4077</v>
      </c>
      <c r="B4138" s="1832">
        <f>'Acct Summary 7-8'!E19</f>
        <v>994686</v>
      </c>
      <c r="C4138" s="2" t="s">
        <v>569</v>
      </c>
      <c r="D4138" s="2" t="str">
        <f t="shared" si="63"/>
        <v>Error?</v>
      </c>
    </row>
    <row r="4139" spans="1:4" x14ac:dyDescent="0.2">
      <c r="A4139" s="5">
        <v>4078</v>
      </c>
      <c r="B4139" s="1832">
        <f>'Acct Summary 7-8'!F19</f>
        <v>744974</v>
      </c>
      <c r="C4139" s="2" t="s">
        <v>569</v>
      </c>
      <c r="D4139" s="2" t="str">
        <f t="shared" si="63"/>
        <v>Error?</v>
      </c>
    </row>
    <row r="4140" spans="1:4" x14ac:dyDescent="0.2">
      <c r="A4140" s="5">
        <v>4079</v>
      </c>
      <c r="B4140" s="1832">
        <f>'Acct Summary 7-8'!G19</f>
        <v>429855</v>
      </c>
      <c r="C4140" s="2" t="s">
        <v>569</v>
      </c>
      <c r="D4140" s="2" t="str">
        <f t="shared" si="63"/>
        <v>Error?</v>
      </c>
    </row>
    <row r="4141" spans="1:4" x14ac:dyDescent="0.2">
      <c r="A4141" s="5">
        <v>4080</v>
      </c>
      <c r="B4141" s="1832">
        <f>'Acct Summary 7-8'!H19</f>
        <v>4675612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14324938</v>
      </c>
      <c r="C4171" s="2" t="s">
        <v>569</v>
      </c>
      <c r="D4171" s="2" t="str">
        <f t="shared" si="64"/>
        <v>Error?</v>
      </c>
    </row>
    <row r="4172" spans="1:4" x14ac:dyDescent="0.2">
      <c r="A4172" s="5">
        <v>4111</v>
      </c>
      <c r="B4172" s="1832">
        <f>'Short-Term Long-Term Debt 24'!J49</f>
        <v>13882883</v>
      </c>
      <c r="C4172" s="2" t="s">
        <v>569</v>
      </c>
      <c r="D4172" s="2" t="str">
        <f t="shared" si="64"/>
        <v>Error?</v>
      </c>
    </row>
    <row r="4173" spans="1:4" x14ac:dyDescent="0.2">
      <c r="A4173" s="5">
        <v>4112</v>
      </c>
      <c r="B4173" s="1832">
        <f>'Short-Term Long-Term Debt 24'!H49</f>
        <v>570000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-674982</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1826.9</v>
      </c>
      <c r="C4265" s="2" t="s">
        <v>569</v>
      </c>
      <c r="D4265" s="2" t="str">
        <f t="shared" si="65"/>
        <v>Error?</v>
      </c>
      <c r="E4265" s="125"/>
    </row>
    <row r="4266" spans="1:5" x14ac:dyDescent="0.2">
      <c r="A4266" s="12">
        <v>4205</v>
      </c>
      <c r="B4266" s="1832">
        <f>('FP Info 3'!F10)*100000</f>
        <v>143.4</v>
      </c>
      <c r="C4266" s="2" t="s">
        <v>569</v>
      </c>
      <c r="D4266" s="2" t="str">
        <f t="shared" si="65"/>
        <v>Error?</v>
      </c>
      <c r="E4266" s="125"/>
    </row>
    <row r="4267" spans="1:5" x14ac:dyDescent="0.2">
      <c r="A4267" s="12">
        <v>4206</v>
      </c>
      <c r="B4267" s="1832">
        <f>('FP Info 3'!H10)*100000</f>
        <v>118.6</v>
      </c>
      <c r="C4267" s="2" t="s">
        <v>569</v>
      </c>
      <c r="D4267" s="2" t="str">
        <f t="shared" si="65"/>
        <v>Error?</v>
      </c>
      <c r="E4267" s="125"/>
    </row>
    <row r="4268" spans="1:5" x14ac:dyDescent="0.2">
      <c r="A4268" s="12">
        <v>4207</v>
      </c>
      <c r="B4268" s="1832">
        <f>('FP Info 3'!J10)*100000</f>
        <v>2089</v>
      </c>
      <c r="C4268" s="2" t="s">
        <v>569</v>
      </c>
      <c r="D4268" s="2" t="str">
        <f t="shared" si="65"/>
        <v>Error?</v>
      </c>
    </row>
    <row r="4269" spans="1:5" x14ac:dyDescent="0.2">
      <c r="A4269" s="12">
        <v>4208</v>
      </c>
      <c r="B4269" s="1832">
        <f>'FP Info 3'!J16</f>
        <v>5941812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12436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17364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7591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7190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6.8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568237520</v>
      </c>
      <c r="D4995" s="2" t="str">
        <f t="shared" si="77"/>
        <v>Error?</v>
      </c>
    </row>
    <row r="4996" spans="1:4" x14ac:dyDescent="0.2">
      <c r="A4996" s="12">
        <v>4935</v>
      </c>
      <c r="B4996" s="1832">
        <f>'FP Info 3'!H31</f>
        <v>39208388.880000003</v>
      </c>
      <c r="D4996" s="2" t="str">
        <f t="shared" si="77"/>
        <v>Error?</v>
      </c>
    </row>
    <row r="4997" spans="1:4" x14ac:dyDescent="0.2">
      <c r="A4997" s="12">
        <v>4936</v>
      </c>
      <c r="B4997" s="1832">
        <f>'FP Info 3'!H37</f>
        <v>14324938</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10232650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10232650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78483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78483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64610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64610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41576</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198</v>
      </c>
      <c r="D5094" s="2" t="str">
        <f t="shared" si="78"/>
        <v>Error?</v>
      </c>
    </row>
    <row r="5095" spans="1:4" x14ac:dyDescent="0.2">
      <c r="A5095" s="5">
        <v>5034</v>
      </c>
      <c r="B5095" s="1832">
        <f>'Revenues 9-14'!C74</f>
        <v>3592</v>
      </c>
      <c r="D5095" s="2" t="str">
        <f t="shared" si="78"/>
        <v>Error?</v>
      </c>
    </row>
    <row r="5096" spans="1:4" x14ac:dyDescent="0.2">
      <c r="A5096" s="5">
        <v>5035</v>
      </c>
      <c r="B5096" s="1832">
        <f>'Revenues 9-14'!C75</f>
        <v>124426</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2</v>
      </c>
      <c r="D5101" s="2" t="str">
        <f t="shared" si="78"/>
        <v>Error?</v>
      </c>
    </row>
    <row r="5102" spans="1:4" x14ac:dyDescent="0.2">
      <c r="A5102" s="5">
        <v>5041</v>
      </c>
      <c r="B5102" s="1832">
        <f>'Revenues 9-14'!C82</f>
        <v>2</v>
      </c>
      <c r="C5102" s="2" t="s">
        <v>569</v>
      </c>
      <c r="D5102" s="2" t="str">
        <f t="shared" si="78"/>
        <v>Error?</v>
      </c>
    </row>
    <row r="5103" spans="1:4" x14ac:dyDescent="0.2">
      <c r="A5103" s="5">
        <v>5042</v>
      </c>
      <c r="B5103" s="1832">
        <f>'Revenues 9-14'!C84</f>
        <v>35340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77560</v>
      </c>
      <c r="D5111" s="2" t="str">
        <f t="shared" si="78"/>
        <v>Error?</v>
      </c>
    </row>
    <row r="5112" spans="1:4" x14ac:dyDescent="0.2">
      <c r="A5112" s="5">
        <v>5051</v>
      </c>
      <c r="B5112" s="1832">
        <f>'Revenues 9-14'!C93</f>
        <v>112900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872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328376</v>
      </c>
      <c r="D5118" s="2" t="str">
        <f t="shared" si="78"/>
        <v>Error?</v>
      </c>
    </row>
    <row r="5119" spans="1:4" x14ac:dyDescent="0.2">
      <c r="A5119" s="5">
        <v>5058</v>
      </c>
      <c r="B5119" s="1832">
        <f>'Revenues 9-14'!C107</f>
        <v>833</v>
      </c>
      <c r="D5119" s="2" t="str">
        <f t="shared" ref="D5119:D5182" si="79">IF(ISBLANK(B5119),"OK",IF(A5119-B5119=0,"OK","Error?"))</f>
        <v>Error?</v>
      </c>
    </row>
    <row r="5120" spans="1:4" x14ac:dyDescent="0.2">
      <c r="A5120" s="5">
        <v>5059</v>
      </c>
      <c r="B5120" s="1832">
        <f>'Revenues 9-14'!C108</f>
        <v>330081</v>
      </c>
      <c r="C5120" s="2" t="s">
        <v>569</v>
      </c>
      <c r="D5120" s="2" t="str">
        <f t="shared" si="79"/>
        <v>Error?</v>
      </c>
    </row>
    <row r="5121" spans="1:4" x14ac:dyDescent="0.2">
      <c r="A5121" s="5">
        <v>5060</v>
      </c>
      <c r="B5121" s="1832">
        <f>'Revenues 9-14'!C109</f>
        <v>10943152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708604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708604</v>
      </c>
      <c r="C5132" s="2" t="s">
        <v>569</v>
      </c>
      <c r="D5132" s="2" t="str">
        <f t="shared" si="79"/>
        <v>Error?</v>
      </c>
    </row>
    <row r="5133" spans="1:4" x14ac:dyDescent="0.2">
      <c r="A5133" s="5">
        <v>5072</v>
      </c>
      <c r="B5133" s="1832">
        <f>'Revenues 9-14'!C125</f>
        <v>65550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65550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592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66142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774746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57443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4419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61862</v>
      </c>
      <c r="C5246" s="2" t="s">
        <v>569</v>
      </c>
      <c r="D5246" s="2" t="str">
        <f t="shared" si="80"/>
        <v>Error?</v>
      </c>
    </row>
    <row r="5247" spans="1:4" x14ac:dyDescent="0.2">
      <c r="A5247" s="5">
        <v>5186</v>
      </c>
      <c r="B5247" s="1832">
        <f>'Revenues 9-14'!C200</f>
        <v>66260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7591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66260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2907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39364</v>
      </c>
      <c r="D5278" s="2" t="str">
        <f t="shared" si="81"/>
        <v>Error?</v>
      </c>
    </row>
    <row r="5279" spans="1:4" x14ac:dyDescent="0.2">
      <c r="A5279" s="5">
        <v>5218</v>
      </c>
      <c r="B5279" s="1832">
        <f>'Revenues 9-14'!C214</f>
        <v>49226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91497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264200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264200</v>
      </c>
      <c r="C5326" s="2" t="s">
        <v>569</v>
      </c>
      <c r="D5326" s="2" t="str">
        <f t="shared" si="82"/>
        <v>Error?</v>
      </c>
    </row>
    <row r="5327" spans="1:5" x14ac:dyDescent="0.2">
      <c r="A5327" s="5">
        <v>5266</v>
      </c>
      <c r="B5327" s="1832">
        <f>'Revenues 9-14'!C268</f>
        <v>11982098</v>
      </c>
      <c r="C5327" s="2" t="s">
        <v>569</v>
      </c>
      <c r="D5327" s="2" t="str">
        <f t="shared" si="82"/>
        <v>Error?</v>
      </c>
    </row>
    <row r="5328" spans="1:5" x14ac:dyDescent="0.2">
      <c r="A5328" s="5">
        <v>5267</v>
      </c>
      <c r="B5328" s="1832">
        <f>'Revenues 9-14'!D5</f>
        <v>853294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853294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15693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15693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77632</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77632</v>
      </c>
      <c r="C5355" s="2" t="s">
        <v>569</v>
      </c>
      <c r="D5355" s="2" t="str">
        <f t="shared" si="82"/>
        <v>Error?</v>
      </c>
    </row>
    <row r="5356" spans="1:4" x14ac:dyDescent="0.2">
      <c r="A5356" s="5">
        <v>5295</v>
      </c>
      <c r="B5356" s="1832">
        <f>'Revenues 9-14'!D109</f>
        <v>946619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996619</v>
      </c>
      <c r="C5508" s="2" t="s">
        <v>569</v>
      </c>
      <c r="D5508" s="2" t="str">
        <f t="shared" si="85"/>
        <v>Error?</v>
      </c>
    </row>
    <row r="5509" spans="1:4" x14ac:dyDescent="0.2">
      <c r="A5509" s="5">
        <v>5448</v>
      </c>
      <c r="B5509" s="1832">
        <f>'Revenues 9-14'!E5</f>
        <v>939805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939805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7831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7831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947636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947636</v>
      </c>
      <c r="C5552" s="2" t="s">
        <v>569</v>
      </c>
      <c r="D5552" s="2" t="str">
        <f t="shared" si="85"/>
        <v>Error?</v>
      </c>
    </row>
    <row r="5553" spans="1:4" x14ac:dyDescent="0.2">
      <c r="A5553" s="5">
        <v>5492</v>
      </c>
      <c r="B5553" s="1832">
        <f>'Revenues 9-14'!F5</f>
        <v>641284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641284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276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276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641560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9461</v>
      </c>
      <c r="D5615" s="2" t="str">
        <f t="shared" si="86"/>
        <v>Error?</v>
      </c>
    </row>
    <row r="5616" spans="1:4" x14ac:dyDescent="0.2">
      <c r="A5616" s="10">
        <v>5555</v>
      </c>
      <c r="B5616" s="1832"/>
      <c r="D5616" s="2" t="str">
        <f t="shared" si="86"/>
        <v>OK</v>
      </c>
    </row>
    <row r="5617" spans="1:5" x14ac:dyDescent="0.2">
      <c r="A5617" s="5">
        <v>5556</v>
      </c>
      <c r="B5617" s="1832">
        <f>'Revenues 9-14'!F153</f>
        <v>75269</v>
      </c>
      <c r="D5617" s="2" t="str">
        <f t="shared" si="86"/>
        <v>Error?</v>
      </c>
    </row>
    <row r="5618" spans="1:5" x14ac:dyDescent="0.2">
      <c r="A5618" s="5">
        <v>5557</v>
      </c>
      <c r="B5618" s="1832">
        <f>'Revenues 9-14'!F155</f>
        <v>84730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84730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84730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726290</v>
      </c>
      <c r="C5720" s="2" t="s">
        <v>569</v>
      </c>
      <c r="D5720" s="2" t="str">
        <f t="shared" si="88"/>
        <v>Error?</v>
      </c>
    </row>
    <row r="5721" spans="1:4" x14ac:dyDescent="0.2">
      <c r="A5721" s="5">
        <v>5660</v>
      </c>
      <c r="B5721" s="1832">
        <f>'Revenues 9-14'!G5</f>
        <v>191518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293659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485177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14200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14200</v>
      </c>
      <c r="C5730" s="2" t="s">
        <v>569</v>
      </c>
      <c r="D5730" s="2" t="str">
        <f t="shared" si="88"/>
        <v>Error?</v>
      </c>
    </row>
    <row r="5731" spans="1:4" x14ac:dyDescent="0.2">
      <c r="A5731" s="5">
        <v>5670</v>
      </c>
      <c r="B5731" s="1832">
        <f>'Revenues 9-14'!G65</f>
        <v>1670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1670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501047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38812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38812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15016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53828</v>
      </c>
      <c r="C5915" s="2" t="s">
        <v>569</v>
      </c>
      <c r="D5915" s="2" t="str">
        <f t="shared" si="91"/>
        <v>Error?</v>
      </c>
    </row>
    <row r="5916" spans="1:4" x14ac:dyDescent="0.2">
      <c r="A5916" s="5">
        <v>5855</v>
      </c>
      <c r="B5916" s="1832">
        <f>'Revenues 9-14'!I5</f>
        <v>39311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39311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28330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28330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67641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501047</v>
      </c>
      <c r="C6024" s="2" t="s">
        <v>569</v>
      </c>
      <c r="D6024" s="2" t="str">
        <f t="shared" si="93"/>
        <v>Error?</v>
      </c>
    </row>
    <row r="6025" spans="1:5" x14ac:dyDescent="0.2">
      <c r="A6025" s="5">
        <v>5964</v>
      </c>
      <c r="B6025" s="1832">
        <f>'Revenues 9-14'!H109</f>
        <v>53828</v>
      </c>
      <c r="C6025" s="2" t="s">
        <v>569</v>
      </c>
      <c r="D6025" s="2" t="str">
        <f t="shared" si="93"/>
        <v>Error?</v>
      </c>
    </row>
    <row r="6026" spans="1:5" x14ac:dyDescent="0.2">
      <c r="A6026" s="5">
        <v>5965</v>
      </c>
      <c r="B6026" s="1832">
        <f>'Revenues 9-14'!I109</f>
        <v>67641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79060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11514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879.9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-705006</v>
      </c>
      <c r="D6267" s="2" t="str">
        <f t="shared" si="96"/>
        <v>Error?</v>
      </c>
      <c r="E6267" s="2" t="s">
        <v>189</v>
      </c>
    </row>
    <row r="6268" spans="1:5" x14ac:dyDescent="0.2">
      <c r="A6268">
        <v>6207</v>
      </c>
      <c r="B6268" s="1832">
        <f>'Acct Summary 7-8'!D82</f>
        <v>-357090</v>
      </c>
      <c r="D6268" s="2" t="str">
        <f t="shared" si="96"/>
        <v>Error?</v>
      </c>
      <c r="E6268" s="2" t="s">
        <v>189</v>
      </c>
    </row>
    <row r="6269" spans="1:5" x14ac:dyDescent="0.2">
      <c r="A6269">
        <v>6208</v>
      </c>
      <c r="B6269" s="1832">
        <f>'Acct Summary 7-8'!E82</f>
        <v>104446</v>
      </c>
      <c r="D6269" s="2" t="str">
        <f t="shared" si="96"/>
        <v>Error?</v>
      </c>
      <c r="E6269" s="2" t="s">
        <v>189</v>
      </c>
    </row>
    <row r="6270" spans="1:5" x14ac:dyDescent="0.2">
      <c r="A6270">
        <v>6209</v>
      </c>
      <c r="B6270" s="1832">
        <f>'Acct Summary 7-8'!F82</f>
        <v>-18983</v>
      </c>
      <c r="D6270" s="2" t="str">
        <f t="shared" si="96"/>
        <v>Error?</v>
      </c>
      <c r="E6270" s="2" t="s">
        <v>189</v>
      </c>
    </row>
    <row r="6271" spans="1:5" x14ac:dyDescent="0.2">
      <c r="A6271">
        <v>6210</v>
      </c>
      <c r="B6271" s="1832">
        <f>'Acct Summary 7-8'!G82</f>
        <v>71192</v>
      </c>
      <c r="D6271" s="2" t="str">
        <f t="shared" ref="D6271:D6334" si="97">IF(ISBLANK(B6271),"OK",IF(A6271-B6271=0,"OK","Error?"))</f>
        <v>Error?</v>
      </c>
      <c r="E6271" s="2" t="s">
        <v>189</v>
      </c>
    </row>
    <row r="6272" spans="1:5" x14ac:dyDescent="0.2">
      <c r="A6272">
        <v>6211</v>
      </c>
      <c r="B6272" s="1832">
        <f>'Acct Summary 7-8'!H82</f>
        <v>-3548226</v>
      </c>
      <c r="D6272" s="2" t="str">
        <f t="shared" si="97"/>
        <v>Error?</v>
      </c>
      <c r="E6272" s="2" t="s">
        <v>189</v>
      </c>
    </row>
    <row r="6273" spans="1:5" x14ac:dyDescent="0.2">
      <c r="A6273">
        <v>6212</v>
      </c>
      <c r="B6273" s="1832">
        <f>'Acct Summary 7-8'!I82</f>
        <v>39309</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-0.2081921281011504</v>
      </c>
      <c r="D6276" s="2" t="str">
        <f t="shared" si="97"/>
        <v>Error?</v>
      </c>
      <c r="E6276" s="2" t="s">
        <v>189</v>
      </c>
    </row>
    <row r="6277" spans="1:5" x14ac:dyDescent="0.2">
      <c r="A6277">
        <v>6216</v>
      </c>
      <c r="B6277" s="1832">
        <f>'Acct Summary 7-8'!D83</f>
        <v>-0.4912356483914368</v>
      </c>
      <c r="D6277" s="2" t="str">
        <f t="shared" si="97"/>
        <v>Error?</v>
      </c>
      <c r="E6277" s="2" t="s">
        <v>189</v>
      </c>
    </row>
    <row r="6278" spans="1:5" x14ac:dyDescent="0.2">
      <c r="A6278">
        <v>6217</v>
      </c>
      <c r="B6278" s="1832">
        <f>'Acct Summary 7-8'!E83</f>
        <v>0.236273766838968</v>
      </c>
      <c r="D6278" s="2" t="str">
        <f t="shared" si="97"/>
        <v>Error?</v>
      </c>
      <c r="E6278" s="2" t="s">
        <v>189</v>
      </c>
    </row>
    <row r="6279" spans="1:5" x14ac:dyDescent="0.2">
      <c r="A6279">
        <v>6218</v>
      </c>
      <c r="B6279" s="1832">
        <f>'Acct Summary 7-8'!F83</f>
        <v>-0.53429592727068032</v>
      </c>
      <c r="D6279" s="2" t="str">
        <f t="shared" si="97"/>
        <v>Error?</v>
      </c>
      <c r="E6279" s="2" t="s">
        <v>189</v>
      </c>
    </row>
    <row r="6280" spans="1:5" x14ac:dyDescent="0.2">
      <c r="A6280">
        <v>6219</v>
      </c>
      <c r="B6280" s="1832">
        <f>'Acct Summary 7-8'!G83</f>
        <v>0.55892974908143078</v>
      </c>
      <c r="D6280" s="2" t="str">
        <f t="shared" si="97"/>
        <v>Error?</v>
      </c>
      <c r="E6280" s="2" t="s">
        <v>189</v>
      </c>
    </row>
    <row r="6281" spans="1:5" x14ac:dyDescent="0.2">
      <c r="A6281">
        <v>6220</v>
      </c>
      <c r="B6281" s="1832">
        <f>'Acct Summary 7-8'!H83</f>
        <v>-2.9964809636771608</v>
      </c>
      <c r="D6281" s="2" t="str">
        <f t="shared" si="97"/>
        <v>Error?</v>
      </c>
      <c r="E6281" s="2" t="s">
        <v>189</v>
      </c>
    </row>
    <row r="6282" spans="1:5" x14ac:dyDescent="0.2">
      <c r="A6282">
        <v>6221</v>
      </c>
      <c r="B6282" s="1832">
        <f>'Acct Summary 7-8'!I83</f>
        <v>2.1923139344029154E-2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15016</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97470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166703</v>
      </c>
      <c r="D6880" s="2" t="str">
        <f t="shared" si="106"/>
        <v>Error?</v>
      </c>
    </row>
    <row r="6881" spans="1:4" x14ac:dyDescent="0.2">
      <c r="A6881">
        <v>6820</v>
      </c>
      <c r="B6881" s="1832">
        <f>'Expenditures 15-22'!K22</f>
        <v>166703</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6542</v>
      </c>
      <c r="D7075" s="2" t="str">
        <f t="shared" si="109"/>
        <v>Error?</v>
      </c>
    </row>
    <row r="7076" spans="1:4" x14ac:dyDescent="0.2">
      <c r="A7076">
        <v>7015</v>
      </c>
      <c r="B7076" s="1832">
        <f>'Expenditures 15-22'!K218</f>
        <v>6542</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87384</v>
      </c>
      <c r="D7251" s="2" t="str">
        <f t="shared" si="112"/>
        <v>Error?</v>
      </c>
    </row>
    <row r="7252" spans="1:4" x14ac:dyDescent="0.2">
      <c r="A7252">
        <f t="shared" si="113"/>
        <v>7191</v>
      </c>
      <c r="B7252" s="1832">
        <f>'Expenditures 15-22'!D9</f>
        <v>10086</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993185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17950998</v>
      </c>
      <c r="D7817" s="2" t="str">
        <f t="shared" si="128"/>
        <v>Error?</v>
      </c>
      <c r="E7817" s="4" t="s">
        <v>1966</v>
      </c>
    </row>
    <row r="7818" spans="1:5" x14ac:dyDescent="0.2">
      <c r="A7818">
        <v>7757</v>
      </c>
      <c r="B7818" s="1832">
        <f>'PCTC-OEPP 27-28'!F172</f>
        <v>336222</v>
      </c>
      <c r="D7818" s="2" t="str">
        <f t="shared" si="128"/>
        <v>Error?</v>
      </c>
      <c r="E7818" s="4" t="s">
        <v>1980</v>
      </c>
    </row>
    <row r="7819" spans="1:5" x14ac:dyDescent="0.2">
      <c r="A7819">
        <v>7758</v>
      </c>
      <c r="B7819" s="1832">
        <f>'PCTC-OEPP 27-28'!F173</f>
        <v>5855</v>
      </c>
      <c r="D7819" s="2" t="str">
        <f t="shared" si="128"/>
        <v>Error?</v>
      </c>
      <c r="E7819" s="4" t="s">
        <v>1980</v>
      </c>
    </row>
    <row r="7820" spans="1:5" x14ac:dyDescent="0.2">
      <c r="A7820">
        <v>7759</v>
      </c>
      <c r="B7820" s="1832">
        <f>'ICR Computation 30'!E40</f>
        <v>-282020</v>
      </c>
      <c r="D7820" s="2" t="str">
        <f t="shared" si="128"/>
        <v>Error?</v>
      </c>
    </row>
    <row r="7821" spans="1:5" x14ac:dyDescent="0.2">
      <c r="A7821">
        <v>7760</v>
      </c>
      <c r="B7821" s="1832">
        <f>'ICR Computation 30'!G40</f>
        <v>-282020</v>
      </c>
      <c r="D7821" s="2" t="str">
        <f t="shared" si="128"/>
        <v>Error?</v>
      </c>
    </row>
    <row r="7822" spans="1:5" x14ac:dyDescent="0.2">
      <c r="A7822" s="1">
        <v>7761</v>
      </c>
      <c r="B7822" s="1832">
        <f>'PCTC-OEPP 27-28'!F14</f>
        <v>16087463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97470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21246</v>
      </c>
      <c r="D7830" s="2" t="str">
        <f t="shared" si="129"/>
        <v>Error?</v>
      </c>
      <c r="E7830" s="4" t="s">
        <v>1998</v>
      </c>
    </row>
    <row r="7831" spans="1:5" x14ac:dyDescent="0.2">
      <c r="A7831">
        <v>7770</v>
      </c>
      <c r="B7831" s="1832">
        <f>'PCTC-OEPP 27-28'!F52</f>
        <v>251894</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2317885</v>
      </c>
      <c r="D7834" s="2" t="str">
        <f t="shared" si="129"/>
        <v>Error?</v>
      </c>
      <c r="E7834" s="4" t="s">
        <v>1998</v>
      </c>
    </row>
    <row r="7835" spans="1:5" x14ac:dyDescent="0.2">
      <c r="A7835">
        <v>7774</v>
      </c>
      <c r="B7835" s="1832">
        <f>'PCTC-OEPP 27-28'!F78</f>
        <v>13769578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15649.026025684738</v>
      </c>
      <c r="D7837" s="2" t="str">
        <f t="shared" si="129"/>
        <v>Error?</v>
      </c>
      <c r="E7837" s="4" t="s">
        <v>1998</v>
      </c>
    </row>
    <row r="7838" spans="1:5" x14ac:dyDescent="0.2">
      <c r="A7838">
        <v>7777</v>
      </c>
      <c r="B7838" s="1832">
        <f>'PCTC-OEPP 27-28'!F96</f>
        <v>2</v>
      </c>
      <c r="D7838" s="2" t="str">
        <f t="shared" si="129"/>
        <v>Error?</v>
      </c>
      <c r="E7838" s="4" t="s">
        <v>1998</v>
      </c>
    </row>
    <row r="7839" spans="1:5" x14ac:dyDescent="0.2">
      <c r="A7839">
        <v>7778</v>
      </c>
      <c r="B7839" s="1832">
        <f>'PCTC-OEPP 27-28'!F102</f>
        <v>77632</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65550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84730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61862</v>
      </c>
      <c r="D7858" s="2" t="str">
        <f t="shared" si="129"/>
        <v>Error?</v>
      </c>
      <c r="E7858" s="4" t="s">
        <v>1998</v>
      </c>
    </row>
    <row r="7859" spans="1:5" x14ac:dyDescent="0.2">
      <c r="A7859">
        <v>7798</v>
      </c>
      <c r="B7859" s="1832">
        <f>'PCTC-OEPP 27-28'!F127</f>
        <v>66260</v>
      </c>
      <c r="D7859" s="2" t="str">
        <f t="shared" si="129"/>
        <v>Error?</v>
      </c>
      <c r="E7859" s="4" t="s">
        <v>1998</v>
      </c>
    </row>
    <row r="7860" spans="1:5" x14ac:dyDescent="0.2">
      <c r="A7860">
        <v>7799</v>
      </c>
      <c r="B7860" s="1832">
        <f>'PCTC-OEPP 27-28'!F128</f>
        <v>7591</v>
      </c>
      <c r="D7860" s="2" t="str">
        <f t="shared" si="129"/>
        <v>Error?</v>
      </c>
      <c r="E7860" s="4" t="s">
        <v>1998</v>
      </c>
    </row>
    <row r="7861" spans="1:5" x14ac:dyDescent="0.2">
      <c r="A7861">
        <v>7800</v>
      </c>
      <c r="B7861" s="1832">
        <f>'PCTC-OEPP 27-28'!F129</f>
        <v>39364</v>
      </c>
      <c r="D7861" s="2" t="str">
        <f t="shared" si="129"/>
        <v>Error?</v>
      </c>
      <c r="E7861" s="4" t="s">
        <v>1998</v>
      </c>
    </row>
    <row r="7862" spans="1:5" x14ac:dyDescent="0.2">
      <c r="A7862">
        <v>7801</v>
      </c>
      <c r="B7862" s="1832">
        <f>'PCTC-OEPP 27-28'!F130</f>
        <v>49226</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7190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12436</v>
      </c>
      <c r="D7874" s="2" t="str">
        <f t="shared" si="129"/>
        <v>Error?</v>
      </c>
      <c r="E7874" s="4" t="s">
        <v>1998</v>
      </c>
    </row>
    <row r="7875" spans="1:5" x14ac:dyDescent="0.2">
      <c r="A7875">
        <v>7814</v>
      </c>
      <c r="B7875" s="1832">
        <f>'PCTC-OEPP 27-28'!F170</f>
        <v>17364</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1447578</v>
      </c>
      <c r="D7877" s="2" t="str">
        <f t="shared" si="129"/>
        <v>Error?</v>
      </c>
      <c r="E7877" s="4" t="s">
        <v>1998</v>
      </c>
    </row>
    <row r="7878" spans="1:5" x14ac:dyDescent="0.2">
      <c r="A7878">
        <v>7817</v>
      </c>
      <c r="B7878" s="1832">
        <f>'PCTC-OEPP 27-28'!F176</f>
        <v>12322000</v>
      </c>
      <c r="D7878" s="2" t="str">
        <f t="shared" si="129"/>
        <v>Error?</v>
      </c>
      <c r="E7878" s="4" t="s">
        <v>1998</v>
      </c>
    </row>
    <row r="7879" spans="1:5" x14ac:dyDescent="0.2">
      <c r="A7879">
        <v>7818</v>
      </c>
      <c r="B7879" s="1832">
        <f>'PCTC-OEPP 27-28'!F178</f>
        <v>13315185</v>
      </c>
      <c r="D7879" s="2" t="str">
        <f t="shared" si="129"/>
        <v>Error?</v>
      </c>
      <c r="E7879" s="4" t="s">
        <v>1998</v>
      </c>
    </row>
    <row r="7880" spans="1:5" x14ac:dyDescent="0.2">
      <c r="A7880">
        <v>7819</v>
      </c>
      <c r="B7880" s="1832">
        <f>'PCTC-OEPP 27-28'!F180</f>
        <v>15132.611660415956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7" t="s">
        <v>1181</v>
      </c>
      <c r="B2" s="2557"/>
      <c r="C2" s="2557"/>
      <c r="D2" s="2557"/>
      <c r="E2" s="2557"/>
      <c r="F2" s="2557"/>
      <c r="G2" s="2557"/>
      <c r="H2" s="2557"/>
      <c r="I2" s="2557"/>
      <c r="J2" s="2557"/>
      <c r="K2" s="2557"/>
      <c r="L2" s="2557"/>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74" t="str">
        <f>"Year Ending June 30, "&amp;'AFR20'!E2</f>
        <v>Year Ending June 30, 2020</v>
      </c>
      <c r="B4" s="2575"/>
      <c r="C4" s="2575"/>
      <c r="D4" s="2575"/>
      <c r="E4" s="2575"/>
      <c r="F4" s="2575"/>
      <c r="G4" s="2575"/>
      <c r="H4" s="2575"/>
      <c r="I4" s="2575"/>
      <c r="J4" s="2575"/>
      <c r="K4" s="2575"/>
      <c r="L4" s="257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 xml:space="preserve">Center Cass SD 66 </v>
      </c>
      <c r="B7" s="2538"/>
      <c r="C7" s="2538"/>
      <c r="D7" s="2576"/>
      <c r="E7" s="2577">
        <f>COVER!A13</f>
        <v>19022066002</v>
      </c>
      <c r="F7" s="2578"/>
      <c r="G7" s="2544" t="str">
        <f>COVER!T23</f>
        <v>066-005027</v>
      </c>
      <c r="H7" s="2545"/>
      <c r="I7" s="2545"/>
      <c r="J7" s="2545"/>
      <c r="K7" s="2545"/>
      <c r="L7" s="254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7"/>
      <c r="B9" s="2548"/>
      <c r="C9" s="2548"/>
      <c r="D9" s="2548"/>
      <c r="E9" s="2548"/>
      <c r="F9" s="2549"/>
      <c r="G9" s="2550" t="str">
        <f>COVER!T13</f>
        <v>Gorenz and Associates, Ltd.</v>
      </c>
      <c r="H9" s="2551"/>
      <c r="I9" s="2551"/>
      <c r="J9" s="2551"/>
      <c r="K9" s="2551"/>
      <c r="L9" s="2552"/>
    </row>
    <row r="10" spans="1:29" ht="13.5" customHeight="1" x14ac:dyDescent="0.2">
      <c r="A10" s="2534" t="str">
        <f>COVER!A38</f>
        <v>Andrew Wise</v>
      </c>
      <c r="B10" s="2535"/>
      <c r="C10" s="2535"/>
      <c r="D10" s="2535"/>
      <c r="E10" s="2535"/>
      <c r="F10" s="2536"/>
      <c r="G10" s="2550" t="str">
        <f>COVER!T17</f>
        <v>4200 N Knoxville Ave.</v>
      </c>
      <c r="H10" s="2563"/>
      <c r="I10" s="2563"/>
      <c r="J10" s="2563"/>
      <c r="K10" s="2563"/>
      <c r="L10" s="2564"/>
    </row>
    <row r="11" spans="1:29" ht="13.5" customHeight="1" x14ac:dyDescent="0.2">
      <c r="A11" s="963" t="s">
        <v>1502</v>
      </c>
      <c r="B11" s="964"/>
      <c r="C11" s="965"/>
      <c r="D11" s="970"/>
      <c r="E11" s="965"/>
      <c r="F11" s="969"/>
      <c r="G11" s="2550" t="str">
        <f>COVER!T19</f>
        <v>Peoria</v>
      </c>
      <c r="H11" s="2563"/>
      <c r="I11" s="2563"/>
      <c r="J11" s="2563"/>
      <c r="K11" s="2563"/>
      <c r="L11" s="2564"/>
    </row>
    <row r="12" spans="1:29" ht="13.5" customHeight="1" x14ac:dyDescent="0.2">
      <c r="A12" s="2568" t="s">
        <v>1501</v>
      </c>
      <c r="B12" s="2569"/>
      <c r="C12" s="2569"/>
      <c r="D12" s="2569"/>
      <c r="E12" s="2569"/>
      <c r="F12" s="2570"/>
      <c r="G12" s="2565"/>
      <c r="H12" s="2566"/>
      <c r="I12" s="2566"/>
      <c r="J12" s="2566"/>
      <c r="K12" s="2566"/>
      <c r="L12" s="2567"/>
    </row>
    <row r="13" spans="1:29" ht="13.5" customHeight="1" x14ac:dyDescent="0.2">
      <c r="A13" s="2550"/>
      <c r="B13" s="2563"/>
      <c r="C13" s="2563"/>
      <c r="D13" s="2563"/>
      <c r="E13" s="2563"/>
      <c r="F13" s="2564"/>
      <c r="G13" s="2558" t="s">
        <v>1503</v>
      </c>
      <c r="H13" s="2559"/>
      <c r="I13" s="2571" t="str">
        <f>COVER!T25</f>
        <v>tpeffer@gorenzcpa.com</v>
      </c>
      <c r="J13" s="2572"/>
      <c r="K13" s="2572"/>
      <c r="L13" s="2573"/>
    </row>
    <row r="14" spans="1:29" ht="13.5" customHeight="1" x14ac:dyDescent="0.2">
      <c r="A14" s="2550" t="str">
        <f>COVER!A19</f>
        <v>699 Plainfield Road</v>
      </c>
      <c r="B14" s="2563"/>
      <c r="C14" s="2563"/>
      <c r="D14" s="2563"/>
      <c r="E14" s="2563"/>
      <c r="F14" s="2564"/>
      <c r="G14" s="974" t="s">
        <v>1175</v>
      </c>
      <c r="H14" s="972"/>
      <c r="I14" s="972"/>
      <c r="J14" s="972"/>
      <c r="K14" s="972"/>
      <c r="L14" s="973"/>
    </row>
    <row r="15" spans="1:29" ht="13.5" customHeight="1" x14ac:dyDescent="0.2">
      <c r="A15" s="2550" t="str">
        <f>COVER!A21</f>
        <v>Downers Grove</v>
      </c>
      <c r="B15" s="2563"/>
      <c r="C15" s="2563"/>
      <c r="D15" s="2563"/>
      <c r="E15" s="2563"/>
      <c r="F15" s="2564"/>
      <c r="G15" s="2560" t="str">
        <f>COVER!T15</f>
        <v>Thomas Peffer, CPA</v>
      </c>
      <c r="H15" s="2561"/>
      <c r="I15" s="2561"/>
      <c r="J15" s="2561"/>
      <c r="K15" s="2561"/>
      <c r="L15" s="2562"/>
    </row>
    <row r="16" spans="1:29" ht="12.2" customHeight="1" x14ac:dyDescent="0.2">
      <c r="A16" s="2540">
        <f>COVER!A25</f>
        <v>60516</v>
      </c>
      <c r="B16" s="2541"/>
      <c r="C16" s="2541"/>
      <c r="D16" s="2541"/>
      <c r="E16" s="2541"/>
      <c r="F16" s="2542"/>
      <c r="G16" s="2553"/>
      <c r="H16" s="2554"/>
      <c r="I16" s="2554"/>
      <c r="J16" s="2554"/>
      <c r="K16" s="2554"/>
      <c r="L16" s="2555"/>
    </row>
    <row r="17" spans="1:13" ht="12.2" customHeight="1" x14ac:dyDescent="0.2">
      <c r="A17" s="2556"/>
      <c r="B17" s="2541"/>
      <c r="C17" s="2541"/>
      <c r="D17" s="2541"/>
      <c r="E17" s="2541"/>
      <c r="F17" s="2542"/>
      <c r="G17" s="974" t="s">
        <v>1174</v>
      </c>
      <c r="H17" s="972"/>
      <c r="I17" s="972"/>
      <c r="J17" s="972"/>
      <c r="K17" s="976" t="s">
        <v>1173</v>
      </c>
      <c r="L17" s="969"/>
      <c r="M17" s="962"/>
    </row>
    <row r="18" spans="1:13" ht="12.2" customHeight="1" x14ac:dyDescent="0.2">
      <c r="A18" s="2534"/>
      <c r="B18" s="2535"/>
      <c r="C18" s="2535"/>
      <c r="D18" s="2535"/>
      <c r="E18" s="2535"/>
      <c r="F18" s="2536"/>
      <c r="G18" s="2537" t="str">
        <f>COVER!T21</f>
        <v>309-685-7621</v>
      </c>
      <c r="H18" s="2538"/>
      <c r="I18" s="2538"/>
      <c r="J18" s="2538"/>
      <c r="K18" s="2537" t="str">
        <f>COVER!X21</f>
        <v>309-685-4758</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9" t="str">
        <f>'Single Audit Cover'!A7</f>
        <v xml:space="preserve">Center Cass SD 66 </v>
      </c>
      <c r="B1" s="2580"/>
      <c r="C1" s="2580"/>
      <c r="D1" s="2580"/>
    </row>
    <row r="2" spans="1:11" s="991" customFormat="1" ht="12.75" x14ac:dyDescent="0.2">
      <c r="A2" s="2581">
        <f>'Single Audit Cover'!E7</f>
        <v>19022066002</v>
      </c>
      <c r="B2" s="2582"/>
      <c r="C2" s="2582"/>
      <c r="D2" s="2582"/>
    </row>
    <row r="3" spans="1:11" s="991" customFormat="1" ht="12.75" x14ac:dyDescent="0.2">
      <c r="A3" s="2579" t="s">
        <v>1496</v>
      </c>
      <c r="B3" s="2580"/>
      <c r="C3" s="2580"/>
      <c r="D3" s="258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4" t="str">
        <f>'Single Audit Cover'!A7</f>
        <v xml:space="preserve">Center Cass SD 66 </v>
      </c>
      <c r="B1" s="2584"/>
      <c r="C1" s="2584"/>
      <c r="D1" s="2584"/>
      <c r="E1" s="2584"/>
    </row>
    <row r="2" spans="1:5" x14ac:dyDescent="0.2">
      <c r="A2" s="2585">
        <f>'Single Audit Cover'!E7</f>
        <v>19022066002</v>
      </c>
      <c r="B2" s="2585"/>
      <c r="C2" s="2585"/>
      <c r="D2" s="2585"/>
      <c r="E2" s="2585"/>
    </row>
    <row r="3" spans="1:5" ht="4.5" customHeight="1" x14ac:dyDescent="0.2"/>
    <row r="4" spans="1:5" x14ac:dyDescent="0.2">
      <c r="A4" s="2584" t="s">
        <v>1234</v>
      </c>
      <c r="B4" s="2584"/>
      <c r="C4" s="2584"/>
      <c r="D4" s="2584"/>
      <c r="E4" s="2584"/>
    </row>
    <row r="5" spans="1:5" x14ac:dyDescent="0.2">
      <c r="A5" s="2587" t="str">
        <f>'Single Audit Cover'!A4</f>
        <v>Year Ending June 30, 2020</v>
      </c>
      <c r="B5" s="2587"/>
      <c r="C5" s="2587"/>
      <c r="D5" s="2587"/>
      <c r="E5" s="2587"/>
    </row>
    <row r="6" spans="1:5" x14ac:dyDescent="0.2">
      <c r="A6" s="2584" t="s">
        <v>1233</v>
      </c>
      <c r="B6" s="2584"/>
      <c r="C6" s="2584"/>
      <c r="D6" s="2584"/>
      <c r="E6" s="2584"/>
    </row>
    <row r="8" spans="1:5" x14ac:dyDescent="0.2">
      <c r="A8" s="1036" t="s">
        <v>1232</v>
      </c>
    </row>
    <row r="10" spans="1:5" x14ac:dyDescent="0.2">
      <c r="A10" s="1037" t="s">
        <v>1231</v>
      </c>
      <c r="B10" s="1038" t="s">
        <v>1230</v>
      </c>
      <c r="C10" s="1038"/>
      <c r="D10" s="1039">
        <f>SUM('Acct Summary 7-8'!C7:K7)</f>
        <v>264200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11514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-17364</v>
      </c>
    </row>
    <row r="19" spans="1:4" ht="13.5" thickBot="1" x14ac:dyDescent="0.25">
      <c r="A19" s="1041" t="s">
        <v>1224</v>
      </c>
      <c r="D19" s="1042">
        <f>SUM(D10:D17)</f>
        <v>258350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6"/>
      <c r="B24" s="2586"/>
      <c r="D24" s="1044"/>
    </row>
    <row r="25" spans="1:4" x14ac:dyDescent="0.2">
      <c r="A25" s="2583"/>
      <c r="B25" s="2583"/>
      <c r="D25" s="1044"/>
    </row>
    <row r="26" spans="1:4" x14ac:dyDescent="0.2">
      <c r="A26" s="2583"/>
      <c r="B26" s="2583"/>
      <c r="D26" s="1044"/>
    </row>
    <row r="27" spans="1:4" x14ac:dyDescent="0.2">
      <c r="A27" s="2583"/>
      <c r="B27" s="2583"/>
      <c r="D27" s="1044"/>
    </row>
    <row r="28" spans="1:4" x14ac:dyDescent="0.2">
      <c r="A28" s="2583"/>
      <c r="B28" s="2583"/>
      <c r="D28" s="1044"/>
    </row>
    <row r="29" spans="1:4" x14ac:dyDescent="0.2">
      <c r="A29" s="2583"/>
      <c r="B29" s="2583"/>
      <c r="D29" s="1044"/>
    </row>
    <row r="30" spans="1:4" x14ac:dyDescent="0.2">
      <c r="A30" s="2583"/>
      <c r="B30" s="2583"/>
      <c r="D30" s="1044"/>
    </row>
    <row r="32" spans="1:4" x14ac:dyDescent="0.2">
      <c r="A32" s="1036" t="s">
        <v>1222</v>
      </c>
      <c r="D32" s="1039">
        <f>SUM(D19:D30)</f>
        <v>258350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3"/>
      <c r="B40" s="2583"/>
      <c r="D40" s="1044"/>
    </row>
    <row r="41" spans="1:4" x14ac:dyDescent="0.2">
      <c r="A41" s="2583"/>
      <c r="B41" s="2583"/>
      <c r="D41" s="1047"/>
    </row>
    <row r="42" spans="1:4" x14ac:dyDescent="0.2">
      <c r="A42" s="2583"/>
      <c r="B42" s="2583"/>
      <c r="D42" s="1047"/>
    </row>
    <row r="43" spans="1:4" x14ac:dyDescent="0.2">
      <c r="A43" s="2583"/>
      <c r="B43" s="2583"/>
      <c r="D43" s="1047"/>
    </row>
    <row r="44" spans="1:4" x14ac:dyDescent="0.2">
      <c r="A44" s="2583"/>
      <c r="B44" s="2583"/>
      <c r="D44" s="1047"/>
    </row>
    <row r="45" spans="1:4" x14ac:dyDescent="0.2">
      <c r="A45" s="2583"/>
      <c r="B45" s="2583"/>
      <c r="D45" s="1047"/>
    </row>
    <row r="47" spans="1:4" x14ac:dyDescent="0.2">
      <c r="B47" s="1048" t="s">
        <v>1216</v>
      </c>
      <c r="C47" s="1048"/>
      <c r="D47" s="1049">
        <f>SUM(D35:D45)</f>
        <v>0</v>
      </c>
    </row>
    <row r="49" spans="2:4" x14ac:dyDescent="0.2">
      <c r="B49" s="1048" t="s">
        <v>1215</v>
      </c>
      <c r="C49" s="1048"/>
      <c r="D49" s="1049">
        <f>D32-D47</f>
        <v>258350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Center Cass SD 66 </v>
      </c>
      <c r="C1" s="2588"/>
      <c r="D1" s="2588"/>
      <c r="E1" s="2588"/>
      <c r="F1" s="2588"/>
      <c r="G1" s="2588"/>
      <c r="H1" s="2588"/>
      <c r="I1" s="2588"/>
      <c r="J1" s="2588"/>
      <c r="K1" s="2588"/>
      <c r="L1" s="2588"/>
      <c r="M1" s="2588"/>
    </row>
    <row r="2" spans="2:14" ht="15" x14ac:dyDescent="0.2">
      <c r="B2" s="2589">
        <f>'Single Audit Cover'!E7</f>
        <v>19022066002</v>
      </c>
      <c r="C2" s="2589"/>
      <c r="D2" s="2589"/>
      <c r="E2" s="2589"/>
      <c r="F2" s="2589"/>
      <c r="G2" s="2589"/>
      <c r="H2" s="2589"/>
      <c r="I2" s="2589"/>
      <c r="J2" s="2589"/>
      <c r="K2" s="2589"/>
      <c r="L2" s="2589"/>
      <c r="M2" s="2589"/>
      <c r="N2" s="1078"/>
    </row>
    <row r="3" spans="2:14" ht="15" x14ac:dyDescent="0.2">
      <c r="B3" s="2590" t="s">
        <v>1208</v>
      </c>
      <c r="C3" s="2590"/>
      <c r="D3" s="2590"/>
      <c r="E3" s="2590"/>
      <c r="F3" s="2590"/>
      <c r="G3" s="2590"/>
      <c r="H3" s="2590"/>
      <c r="I3" s="2590"/>
      <c r="J3" s="2590"/>
      <c r="K3" s="2590"/>
      <c r="L3" s="2590"/>
      <c r="M3" s="2590"/>
      <c r="N3" s="1078"/>
    </row>
    <row r="4" spans="2:14" ht="15" x14ac:dyDescent="0.2">
      <c r="B4" s="2591" t="str">
        <f>'Single Audit Cover'!A4</f>
        <v>Year Ending June 30, 2020</v>
      </c>
      <c r="C4" s="2591"/>
      <c r="D4" s="2591"/>
      <c r="E4" s="2591"/>
      <c r="F4" s="2591"/>
      <c r="G4" s="2591"/>
      <c r="H4" s="2591"/>
      <c r="I4" s="2591"/>
      <c r="J4" s="2591"/>
      <c r="K4" s="2591"/>
      <c r="L4" s="2591"/>
      <c r="M4" s="2591"/>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 xml:space="preserve">Center Cass SD 66 </v>
      </c>
      <c r="B1" s="2593"/>
      <c r="C1" s="2593"/>
      <c r="D1" s="2593"/>
      <c r="E1" s="2593"/>
      <c r="F1" s="2593"/>
    </row>
    <row r="2" spans="1:7" ht="13.5" customHeight="1" x14ac:dyDescent="0.2">
      <c r="A2" s="2589">
        <f>'Single Audit Cover'!E7</f>
        <v>19022066002</v>
      </c>
      <c r="B2" s="2589"/>
      <c r="C2" s="2589"/>
      <c r="D2" s="2589"/>
      <c r="E2" s="2589"/>
      <c r="F2" s="2589"/>
      <c r="G2" s="1051"/>
    </row>
    <row r="3" spans="1:7" ht="15.75" customHeight="1" x14ac:dyDescent="0.2">
      <c r="A3" s="2594" t="s">
        <v>1260</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52" t="s">
        <v>1705</v>
      </c>
      <c r="C6" s="295"/>
      <c r="D6" s="295"/>
    </row>
    <row r="7" spans="1:7" ht="60.95" customHeight="1" x14ac:dyDescent="0.2">
      <c r="A7" s="2592" t="s">
        <v>1706</v>
      </c>
      <c r="B7" s="2592"/>
      <c r="C7" s="2592"/>
      <c r="D7" s="2592"/>
      <c r="E7" s="2592"/>
      <c r="F7" s="259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92" t="s">
        <v>1708</v>
      </c>
      <c r="B13" s="2592"/>
      <c r="C13" s="2592"/>
      <c r="D13" s="2592"/>
      <c r="E13" s="2592"/>
      <c r="F13" s="2592"/>
    </row>
    <row r="14" spans="1:7" ht="9.75" customHeight="1" x14ac:dyDescent="0.2">
      <c r="C14" s="1036"/>
      <c r="D14" s="1036"/>
    </row>
    <row r="15" spans="1:7" ht="13.5" customHeight="1" x14ac:dyDescent="0.2">
      <c r="C15" s="1476" t="s">
        <v>1259</v>
      </c>
      <c r="D15" s="2597" t="s">
        <v>1258</v>
      </c>
      <c r="E15" s="2597"/>
      <c r="F15" s="2597"/>
    </row>
    <row r="16" spans="1:7" ht="13.5" customHeight="1" x14ac:dyDescent="0.2">
      <c r="A16" s="1058"/>
      <c r="B16" s="1052" t="s">
        <v>1257</v>
      </c>
      <c r="C16" s="1476" t="s">
        <v>1256</v>
      </c>
      <c r="D16" s="2598" t="s">
        <v>1571</v>
      </c>
      <c r="E16" s="2598"/>
      <c r="F16" s="2598"/>
    </row>
    <row r="17" spans="1:6" ht="20.45" customHeight="1" x14ac:dyDescent="0.2">
      <c r="A17" s="1059"/>
      <c r="B17" s="1060"/>
      <c r="C17" s="1061"/>
      <c r="D17" s="2596"/>
      <c r="E17" s="2596"/>
      <c r="F17" s="2596"/>
    </row>
    <row r="18" spans="1:6" ht="20.65" customHeight="1" x14ac:dyDescent="0.2">
      <c r="A18" s="1059"/>
      <c r="B18" s="1060"/>
      <c r="C18" s="1061"/>
      <c r="D18" s="2596"/>
      <c r="E18" s="2596"/>
      <c r="F18" s="2596"/>
    </row>
    <row r="19" spans="1:6" ht="20.65" customHeight="1" x14ac:dyDescent="0.2">
      <c r="A19" s="1059"/>
      <c r="B19" s="1060"/>
      <c r="C19" s="1061"/>
      <c r="D19" s="2596"/>
      <c r="E19" s="2596"/>
      <c r="F19" s="2596"/>
    </row>
    <row r="20" spans="1:6" ht="20.65" customHeight="1" x14ac:dyDescent="0.2">
      <c r="A20" s="1059"/>
      <c r="B20" s="1060"/>
      <c r="C20" s="1061"/>
      <c r="D20" s="2596"/>
      <c r="E20" s="2596"/>
      <c r="F20" s="2596"/>
    </row>
    <row r="21" spans="1:6" ht="20.65" customHeight="1" x14ac:dyDescent="0.2">
      <c r="A21" s="1059"/>
      <c r="B21" s="1060"/>
      <c r="C21" s="1061"/>
      <c r="D21" s="2596"/>
      <c r="E21" s="2596"/>
      <c r="F21" s="2596"/>
    </row>
    <row r="22" spans="1:6" ht="20.65" customHeight="1" x14ac:dyDescent="0.2">
      <c r="A22" s="1059"/>
      <c r="B22" s="1060"/>
      <c r="C22" s="1061"/>
      <c r="D22" s="2596"/>
      <c r="E22" s="2596"/>
      <c r="F22" s="2596"/>
    </row>
    <row r="23" spans="1:6" ht="20.65" customHeight="1" x14ac:dyDescent="0.2">
      <c r="A23" s="1059"/>
      <c r="B23" s="1060"/>
      <c r="C23" s="1061"/>
      <c r="D23" s="2596"/>
      <c r="E23" s="2596"/>
      <c r="F23" s="2596"/>
    </row>
    <row r="24" spans="1:6" ht="20.65" customHeight="1" x14ac:dyDescent="0.2">
      <c r="A24" s="1059"/>
      <c r="B24" s="1060"/>
      <c r="C24" s="1061"/>
      <c r="D24" s="2596"/>
      <c r="E24" s="2596"/>
      <c r="F24" s="2596"/>
    </row>
    <row r="25" spans="1:6" ht="20.65" customHeight="1" x14ac:dyDescent="0.2">
      <c r="A25" s="1059"/>
      <c r="B25" s="1060"/>
      <c r="C25" s="1061"/>
      <c r="D25" s="2596"/>
      <c r="E25" s="2596"/>
      <c r="F25" s="2596"/>
    </row>
    <row r="26" spans="1:6" ht="20.65" customHeight="1" x14ac:dyDescent="0.2">
      <c r="A26" s="1059"/>
      <c r="B26" s="1060"/>
      <c r="C26" s="1061"/>
      <c r="D26" s="2596"/>
      <c r="E26" s="2596"/>
      <c r="F26" s="2596"/>
    </row>
    <row r="27" spans="1:6" ht="20.65" customHeight="1" x14ac:dyDescent="0.2">
      <c r="A27" s="1059"/>
      <c r="B27" s="1060"/>
      <c r="C27" s="1061"/>
      <c r="D27" s="2596"/>
      <c r="E27" s="2596"/>
      <c r="F27" s="2596"/>
    </row>
    <row r="28" spans="1:6" ht="20.65" customHeight="1" x14ac:dyDescent="0.2">
      <c r="A28" s="1059"/>
      <c r="B28" s="1060"/>
      <c r="C28" s="1061"/>
      <c r="D28" s="2596"/>
      <c r="E28" s="2596"/>
      <c r="F28" s="2596"/>
    </row>
    <row r="29" spans="1:6" ht="20.65" customHeight="1" x14ac:dyDescent="0.2">
      <c r="A29" s="1059"/>
      <c r="B29" s="1060"/>
      <c r="C29" s="1061"/>
      <c r="D29" s="2596"/>
      <c r="E29" s="2596"/>
      <c r="F29" s="259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00" t="s">
        <v>1709</v>
      </c>
      <c r="B32" s="2600"/>
      <c r="C32" s="2600"/>
      <c r="D32" s="2600"/>
      <c r="E32" s="2600"/>
      <c r="F32" s="260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01">
        <f>+C33+C34</f>
        <v>0</v>
      </c>
      <c r="F34" s="260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3" t="s">
        <v>1573</v>
      </c>
      <c r="C49" s="2603"/>
      <c r="D49" s="2603"/>
      <c r="E49" s="1168"/>
    </row>
    <row r="50" spans="1:5" s="1076" customFormat="1" ht="3.75" customHeight="1" x14ac:dyDescent="0.2">
      <c r="A50" s="1075"/>
      <c r="B50" s="1475"/>
      <c r="C50" s="1475"/>
      <c r="D50" s="1475"/>
      <c r="E50" s="1168"/>
    </row>
    <row r="51" spans="1:5" s="1076" customFormat="1" ht="20.25" customHeight="1" x14ac:dyDescent="0.2">
      <c r="A51" s="1077">
        <v>6</v>
      </c>
      <c r="B51" s="2599" t="s">
        <v>1534</v>
      </c>
      <c r="C51" s="2599"/>
      <c r="D51" s="2599"/>
    </row>
    <row r="52" spans="1:5" ht="14.25" customHeight="1" x14ac:dyDescent="0.2">
      <c r="A52" s="1077"/>
      <c r="B52" s="2599"/>
      <c r="C52" s="2599"/>
      <c r="D52" s="259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1158</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t="s">
        <v>2097</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0" t="s">
        <v>1616</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310</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1312</v>
      </c>
      <c r="B70" s="2193"/>
      <c r="C70" s="2193"/>
      <c r="D70" s="2193"/>
      <c r="E70" s="2194"/>
      <c r="F70" s="2194"/>
      <c r="G70" s="2194"/>
      <c r="H70" s="2194"/>
      <c r="I70" s="219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1309</v>
      </c>
      <c r="B83" s="2195"/>
      <c r="C83" s="2195"/>
      <c r="D83" s="219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6" t="s">
        <v>1989</v>
      </c>
      <c r="B85" s="2206"/>
      <c r="C85" s="2206"/>
      <c r="D85" s="220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8" t="s">
        <v>1989</v>
      </c>
      <c r="B88" s="2209"/>
      <c r="C88" s="2209"/>
      <c r="D88" s="221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7" t="s">
        <v>2114</v>
      </c>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2052</v>
      </c>
      <c r="D114" s="218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1319</v>
      </c>
      <c r="D117" s="2188"/>
      <c r="E117" s="2189"/>
      <c r="F117" s="2189"/>
      <c r="G117" s="2189"/>
      <c r="H117" s="2189"/>
      <c r="I117" s="282"/>
    </row>
    <row r="118" spans="1:9" s="176" customFormat="1" ht="24" customHeight="1" x14ac:dyDescent="0.2">
      <c r="A118" s="294"/>
      <c r="B118" s="294"/>
      <c r="C118" s="294"/>
      <c r="D118" s="301" t="s">
        <v>2128</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8" t="str">
        <f>'Single Audit Cover'!A7</f>
        <v xml:space="preserve">Center Cass SD 66 </v>
      </c>
      <c r="C1" s="2609"/>
      <c r="D1" s="2609"/>
      <c r="E1" s="2609"/>
      <c r="F1" s="2609"/>
      <c r="G1" s="2609"/>
      <c r="H1" s="2609"/>
      <c r="I1" s="2609"/>
      <c r="J1" s="1178"/>
    </row>
    <row r="2" spans="2:10" s="295" customFormat="1" ht="12.75" customHeight="1" x14ac:dyDescent="0.2">
      <c r="B2" s="2610">
        <f>'Single Audit Cover'!E7</f>
        <v>19022066002</v>
      </c>
      <c r="C2" s="2611"/>
      <c r="D2" s="2611"/>
      <c r="E2" s="2611"/>
      <c r="F2" s="2611"/>
      <c r="G2" s="2611"/>
      <c r="H2" s="2611"/>
      <c r="I2" s="2611"/>
      <c r="J2" s="1178"/>
    </row>
    <row r="3" spans="2:10" s="295" customFormat="1" ht="12.75" customHeight="1" x14ac:dyDescent="0.2">
      <c r="B3" s="2612" t="s">
        <v>1274</v>
      </c>
      <c r="C3" s="2613"/>
      <c r="D3" s="2613"/>
      <c r="E3" s="2613"/>
      <c r="F3" s="2613"/>
      <c r="G3" s="2613"/>
      <c r="H3" s="2613"/>
      <c r="I3" s="2613"/>
      <c r="J3" s="1179"/>
    </row>
    <row r="4" spans="2:10" s="295" customFormat="1" ht="12.75" customHeight="1" x14ac:dyDescent="0.2">
      <c r="B4" s="2612" t="str">
        <f>'Single Audit Cover'!A4</f>
        <v>Year Ending June 30, 2020</v>
      </c>
      <c r="C4" s="2613"/>
      <c r="D4" s="2613"/>
      <c r="E4" s="2613"/>
      <c r="F4" s="2613"/>
      <c r="G4" s="2613"/>
      <c r="H4" s="2613"/>
      <c r="I4" s="261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2" t="s">
        <v>1273</v>
      </c>
      <c r="C7" s="2613"/>
      <c r="D7" s="2613"/>
      <c r="E7" s="2613"/>
      <c r="F7" s="2613"/>
      <c r="G7" s="2613"/>
      <c r="H7" s="2613"/>
      <c r="I7" s="261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4"/>
      <c r="D11" s="261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5"/>
      <c r="E29" s="2615"/>
      <c r="F29" s="2615"/>
      <c r="G29" s="2615"/>
      <c r="H29" s="2615"/>
      <c r="I29" s="261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6" t="s">
        <v>1728</v>
      </c>
      <c r="D37" s="2617"/>
      <c r="E37" s="2617"/>
      <c r="F37" s="2618"/>
      <c r="G37" s="2616" t="s">
        <v>1575</v>
      </c>
      <c r="H37" s="2617"/>
      <c r="I37" s="2618"/>
    </row>
    <row r="38" spans="2:9" ht="16.5" customHeight="1" x14ac:dyDescent="0.2">
      <c r="B38" s="1200"/>
      <c r="C38" s="2604"/>
      <c r="D38" s="2605"/>
      <c r="E38" s="2605"/>
      <c r="F38" s="2606"/>
      <c r="G38" s="2619"/>
      <c r="H38" s="2620"/>
      <c r="I38" s="2621"/>
    </row>
    <row r="39" spans="2:9" ht="16.5" customHeight="1" x14ac:dyDescent="0.2">
      <c r="B39" s="1200"/>
      <c r="C39" s="2604"/>
      <c r="D39" s="2605"/>
      <c r="E39" s="2605"/>
      <c r="F39" s="2606"/>
      <c r="G39" s="2607"/>
      <c r="H39" s="2607"/>
      <c r="I39" s="2607"/>
    </row>
    <row r="40" spans="2:9" ht="16.5" customHeight="1" x14ac:dyDescent="0.2">
      <c r="B40" s="1200"/>
      <c r="C40" s="2604"/>
      <c r="D40" s="2605"/>
      <c r="E40" s="2605"/>
      <c r="F40" s="2606"/>
      <c r="G40" s="2607"/>
      <c r="H40" s="2607"/>
      <c r="I40" s="2607"/>
    </row>
    <row r="41" spans="2:9" ht="16.5" customHeight="1" x14ac:dyDescent="0.2">
      <c r="B41" s="1200"/>
      <c r="C41" s="2604"/>
      <c r="D41" s="2605"/>
      <c r="E41" s="2605"/>
      <c r="F41" s="2606"/>
      <c r="G41" s="2607"/>
      <c r="H41" s="2607"/>
      <c r="I41" s="2607"/>
    </row>
    <row r="42" spans="2:9" ht="16.5" customHeight="1" x14ac:dyDescent="0.2">
      <c r="B42" s="1200"/>
      <c r="C42" s="2604"/>
      <c r="D42" s="2605"/>
      <c r="E42" s="2605"/>
      <c r="F42" s="2606"/>
      <c r="G42" s="2607"/>
      <c r="H42" s="2607"/>
      <c r="I42" s="2607"/>
    </row>
    <row r="43" spans="2:9" ht="16.5" customHeight="1" x14ac:dyDescent="0.2">
      <c r="B43" s="1200"/>
      <c r="C43" s="2622" t="s">
        <v>1576</v>
      </c>
      <c r="D43" s="2623"/>
      <c r="E43" s="2623"/>
      <c r="F43" s="2624"/>
      <c r="G43" s="2625">
        <f>SUM(G38:I42)</f>
        <v>0</v>
      </c>
      <c r="H43" s="2625"/>
      <c r="I43" s="2625"/>
    </row>
    <row r="44" spans="2:9" ht="12.75" customHeight="1" x14ac:dyDescent="0.2"/>
    <row r="45" spans="2:9" ht="12.75" customHeight="1" x14ac:dyDescent="0.2">
      <c r="B45" s="1917" t="str">
        <f>"Total Federal Expenditures for 7/1/"&amp;MID('AFR20'!E2,3,2)-1&amp;"-6/30/"&amp;MID('AFR20'!E2,3,2)</f>
        <v>Total Federal Expenditures for 7/1/19-6/30/20</v>
      </c>
      <c r="C45" s="1918"/>
      <c r="D45" s="2626">
        <v>0</v>
      </c>
      <c r="E45" s="262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28"/>
      <c r="F49" s="2628"/>
      <c r="G49" s="262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8" t="str">
        <f>'Single Audit Cover'!A7</f>
        <v xml:space="preserve">Center Cass SD 66 </v>
      </c>
      <c r="C1" s="2608"/>
      <c r="D1" s="2608"/>
      <c r="E1" s="2608"/>
      <c r="F1" s="2608"/>
      <c r="G1" s="2608"/>
      <c r="H1" s="2608"/>
      <c r="I1" s="2608"/>
      <c r="J1" s="2608"/>
      <c r="K1" s="2608"/>
      <c r="L1" s="1144"/>
      <c r="M1" s="1144"/>
    </row>
    <row r="2" spans="1:13" ht="12" customHeight="1" x14ac:dyDescent="0.2">
      <c r="B2" s="2610">
        <f>'Single Audit Cover'!E7</f>
        <v>19022066002</v>
      </c>
      <c r="C2" s="2610"/>
      <c r="D2" s="2610"/>
      <c r="E2" s="2610"/>
      <c r="F2" s="2610"/>
      <c r="G2" s="2610"/>
      <c r="H2" s="2610"/>
      <c r="I2" s="2610"/>
      <c r="J2" s="2610"/>
      <c r="K2" s="2610"/>
      <c r="L2" s="1145"/>
      <c r="M2" s="1146"/>
    </row>
    <row r="3" spans="1:13" ht="10.35" customHeight="1" x14ac:dyDescent="0.2">
      <c r="B3" s="2631" t="s">
        <v>1274</v>
      </c>
      <c r="C3" s="2631"/>
      <c r="D3" s="2631"/>
      <c r="E3" s="2631"/>
      <c r="F3" s="2631"/>
      <c r="G3" s="2631"/>
      <c r="H3" s="2631"/>
      <c r="I3" s="2631"/>
      <c r="J3" s="2631"/>
      <c r="K3" s="2631"/>
      <c r="L3" s="1147"/>
      <c r="M3" s="1147"/>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2" t="s">
        <v>1285</v>
      </c>
      <c r="C7" s="2632"/>
      <c r="D7" s="2633"/>
      <c r="E7" s="2633"/>
      <c r="F7" s="2633"/>
      <c r="G7" s="2633"/>
      <c r="H7" s="2633"/>
      <c r="I7" s="2633"/>
      <c r="J7" s="2633"/>
      <c r="K7" s="263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0" t="s">
        <v>2077</v>
      </c>
      <c r="C14" s="2630"/>
      <c r="D14" s="2630"/>
      <c r="E14" s="2630"/>
      <c r="F14" s="2630"/>
      <c r="G14" s="2630"/>
      <c r="H14" s="2630"/>
      <c r="I14" s="2630"/>
      <c r="J14" s="2630"/>
      <c r="K14" s="263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0" t="s">
        <v>2078</v>
      </c>
      <c r="C17" s="2630"/>
      <c r="D17" s="2630"/>
      <c r="E17" s="2630"/>
      <c r="F17" s="2630"/>
      <c r="G17" s="2630"/>
      <c r="H17" s="2630"/>
      <c r="I17" s="2630"/>
      <c r="J17" s="2630"/>
      <c r="K17" s="263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4" t="s">
        <v>2079</v>
      </c>
      <c r="C20" s="2634"/>
      <c r="D20" s="2630"/>
      <c r="E20" s="2630"/>
      <c r="F20" s="2630"/>
      <c r="G20" s="2630"/>
      <c r="H20" s="2630"/>
      <c r="I20" s="2630"/>
      <c r="J20" s="2630"/>
      <c r="K20" s="263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0" t="s">
        <v>2080</v>
      </c>
      <c r="C23" s="2630"/>
      <c r="D23" s="2630"/>
      <c r="E23" s="2630"/>
      <c r="F23" s="2630"/>
      <c r="G23" s="2630"/>
      <c r="H23" s="2630"/>
      <c r="I23" s="2630"/>
      <c r="J23" s="2630"/>
      <c r="K23" s="263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0" t="s">
        <v>2081</v>
      </c>
      <c r="C26" s="2630"/>
      <c r="D26" s="2630"/>
      <c r="E26" s="2630"/>
      <c r="F26" s="2630"/>
      <c r="G26" s="2630"/>
      <c r="H26" s="2630"/>
      <c r="I26" s="2630"/>
      <c r="J26" s="2630"/>
      <c r="K26" s="263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29" t="s">
        <v>2082</v>
      </c>
      <c r="C29" s="2629"/>
      <c r="D29" s="2630"/>
      <c r="E29" s="2630"/>
      <c r="F29" s="2630"/>
      <c r="G29" s="2630"/>
      <c r="H29" s="2630"/>
      <c r="I29" s="2630"/>
      <c r="J29" s="2630"/>
      <c r="K29" s="263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29" t="s">
        <v>2083</v>
      </c>
      <c r="C32" s="2629"/>
      <c r="D32" s="2630"/>
      <c r="E32" s="2630"/>
      <c r="F32" s="2630"/>
      <c r="G32" s="2630"/>
      <c r="H32" s="2630"/>
      <c r="I32" s="2630"/>
      <c r="J32" s="2630"/>
      <c r="K32" s="263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5" t="str">
        <f>'Single Audit Cover'!A7</f>
        <v xml:space="preserve">Center Cass SD 66 </v>
      </c>
      <c r="C1" s="2635"/>
      <c r="D1" s="2635"/>
      <c r="E1" s="2635"/>
      <c r="F1" s="2635"/>
      <c r="G1" s="2635"/>
      <c r="H1" s="2635"/>
      <c r="I1" s="2635"/>
      <c r="J1" s="2635"/>
      <c r="K1" s="2635"/>
      <c r="L1" s="1221"/>
    </row>
    <row r="2" spans="1:12" ht="12.75" customHeight="1" x14ac:dyDescent="0.2">
      <c r="B2" s="2636">
        <f>'Single Audit Cover'!E7</f>
        <v>19022066002</v>
      </c>
      <c r="C2" s="2636"/>
      <c r="D2" s="2636"/>
      <c r="E2" s="2636"/>
      <c r="F2" s="2636"/>
      <c r="G2" s="2636"/>
      <c r="H2" s="2636"/>
      <c r="I2" s="2636"/>
      <c r="J2" s="2636"/>
      <c r="K2" s="2636"/>
      <c r="L2" s="1222"/>
    </row>
    <row r="3" spans="1:12" ht="12.75" customHeight="1" x14ac:dyDescent="0.2">
      <c r="B3" s="2631" t="s">
        <v>1274</v>
      </c>
      <c r="C3" s="2631"/>
      <c r="D3" s="2631"/>
      <c r="E3" s="2631"/>
      <c r="F3" s="2631"/>
      <c r="G3" s="2631"/>
      <c r="H3" s="2631"/>
      <c r="I3" s="2631"/>
      <c r="J3" s="2631"/>
      <c r="K3" s="2631"/>
      <c r="L3" s="1147"/>
    </row>
    <row r="4" spans="1:12" ht="12.75" customHeight="1" x14ac:dyDescent="0.2">
      <c r="B4" s="2631" t="str">
        <f>'Single Audit Cover'!A4</f>
        <v>Year Ending June 30, 2020</v>
      </c>
      <c r="C4" s="2631"/>
      <c r="D4" s="2631"/>
      <c r="E4" s="2631"/>
      <c r="F4" s="2631"/>
      <c r="G4" s="2631"/>
      <c r="H4" s="2631"/>
      <c r="I4" s="2631"/>
      <c r="J4" s="2631"/>
      <c r="K4" s="2631"/>
      <c r="L4" s="1147"/>
    </row>
    <row r="5" spans="1:12" ht="5.25" customHeight="1" x14ac:dyDescent="0.2">
      <c r="B5" s="1036" t="s">
        <v>1159</v>
      </c>
      <c r="C5" s="1036"/>
      <c r="L5" s="300"/>
    </row>
    <row r="6" spans="1:12" ht="30.75" customHeight="1" x14ac:dyDescent="0.2">
      <c r="A6" s="300"/>
      <c r="B6" s="2637" t="s">
        <v>1297</v>
      </c>
      <c r="C6" s="2637"/>
      <c r="D6" s="2637"/>
      <c r="E6" s="2637"/>
      <c r="F6" s="2637"/>
      <c r="G6" s="2637"/>
      <c r="H6" s="2637"/>
      <c r="I6" s="2637"/>
      <c r="J6" s="2637"/>
      <c r="K6" s="263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5"/>
      <c r="G12" s="2615"/>
      <c r="H12" s="2615"/>
      <c r="I12" s="2615"/>
      <c r="J12" s="2615"/>
      <c r="K12" s="261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8"/>
      <c r="E14" s="2638"/>
      <c r="F14" s="2638"/>
      <c r="H14" s="1230" t="s">
        <v>1292</v>
      </c>
      <c r="I14" s="2639"/>
      <c r="J14" s="2639"/>
      <c r="K14" s="263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9"/>
      <c r="E16" s="2639"/>
      <c r="F16" s="2639"/>
      <c r="G16" s="2639"/>
      <c r="H16" s="2639"/>
      <c r="I16" s="2639"/>
      <c r="J16" s="2639"/>
      <c r="K16" s="2639"/>
      <c r="L16" s="300"/>
    </row>
    <row r="17" spans="2:12" ht="13.5" customHeight="1" x14ac:dyDescent="0.2">
      <c r="B17" s="1156" t="s">
        <v>1290</v>
      </c>
      <c r="C17" s="1156"/>
      <c r="D17" s="2640"/>
      <c r="E17" s="2640"/>
      <c r="F17" s="2640"/>
      <c r="G17" s="2640"/>
      <c r="H17" s="2640"/>
      <c r="I17" s="2640"/>
      <c r="J17" s="2640"/>
      <c r="K17" s="264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0"/>
      <c r="C20" s="2630"/>
      <c r="D20" s="2630"/>
      <c r="E20" s="2630"/>
      <c r="F20" s="2630"/>
      <c r="G20" s="2630"/>
      <c r="H20" s="2630"/>
      <c r="I20" s="2630"/>
      <c r="J20" s="2630"/>
      <c r="K20" s="263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8" t="str">
        <f>'Single Audit Cover'!A7</f>
        <v xml:space="preserve">Center Cass SD 66 </v>
      </c>
      <c r="C1" s="2608"/>
      <c r="D1" s="2608"/>
      <c r="E1" s="1240"/>
    </row>
    <row r="2" spans="2:5" s="1058" customFormat="1" ht="12.75" customHeight="1" x14ac:dyDescent="0.2">
      <c r="B2" s="2610">
        <f>'Single Audit Cover'!E7</f>
        <v>19022066002</v>
      </c>
      <c r="C2" s="2610"/>
      <c r="D2" s="2610"/>
      <c r="E2" s="1241"/>
    </row>
    <row r="3" spans="2:5" ht="12.75" customHeight="1" x14ac:dyDescent="0.2">
      <c r="B3" s="2631" t="s">
        <v>1743</v>
      </c>
      <c r="C3" s="2631"/>
      <c r="D3" s="2631"/>
      <c r="E3" s="1050"/>
    </row>
    <row r="4" spans="2:5" s="1058" customFormat="1" ht="12.75" customHeight="1" x14ac:dyDescent="0.2">
      <c r="B4" s="2641" t="str">
        <f>'Single Audit Cover'!A4</f>
        <v>Year Ending June 30, 2020</v>
      </c>
      <c r="C4" s="2641"/>
      <c r="D4" s="264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t="s">
        <v>2068</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83A19-484F-42EB-8B7B-F19806471B5B}">
  <dimension ref="B1:L70"/>
  <sheetViews>
    <sheetView showGridLines="0" zoomScale="110" zoomScaleNormal="110" zoomScaleSheetLayoutView="100" workbookViewId="0"/>
  </sheetViews>
  <sheetFormatPr defaultColWidth="9.140625" defaultRowHeight="12.75" x14ac:dyDescent="0.2"/>
  <cols>
    <col min="1" max="1" width="1.5703125" style="2036" customWidth="1"/>
    <col min="2" max="2" width="11.28515625" style="2036" customWidth="1"/>
    <col min="3" max="3" width="6.42578125" style="2036" customWidth="1"/>
    <col min="4" max="4" width="5.42578125" style="2036" customWidth="1"/>
    <col min="5" max="5" width="74.7109375" style="2036" customWidth="1"/>
    <col min="6" max="6" width="1.5703125" style="2036" customWidth="1"/>
    <col min="7" max="8" width="2.42578125" style="2036" customWidth="1"/>
    <col min="9" max="9" width="9.28515625" style="2036" customWidth="1"/>
    <col min="10" max="10" width="14.42578125" style="2036" customWidth="1"/>
    <col min="11" max="11" width="7.28515625" style="2036" customWidth="1"/>
    <col min="12" max="12" width="3.140625" style="2036" customWidth="1"/>
    <col min="13" max="16384" width="9.140625" style="2036"/>
  </cols>
  <sheetData>
    <row r="1" spans="2:12" ht="13.5" customHeight="1" x14ac:dyDescent="0.2">
      <c r="B1" s="2643" t="str">
        <f>SSPAF!B1</f>
        <v xml:space="preserve">Center Cass SD 66 </v>
      </c>
      <c r="C1" s="2643"/>
      <c r="D1" s="2643"/>
      <c r="E1" s="2643"/>
      <c r="F1" s="2035"/>
      <c r="G1" s="2035"/>
      <c r="H1" s="2035"/>
      <c r="I1" s="2035"/>
      <c r="J1" s="2035"/>
      <c r="K1" s="2035"/>
      <c r="L1" s="2035"/>
    </row>
    <row r="2" spans="2:12" ht="13.5" customHeight="1" x14ac:dyDescent="0.2">
      <c r="B2" s="2644">
        <f>SSPAF!B2</f>
        <v>19022066002</v>
      </c>
      <c r="C2" s="2644"/>
      <c r="D2" s="2644"/>
      <c r="E2" s="2644"/>
      <c r="F2" s="2037"/>
      <c r="G2" s="2037"/>
      <c r="H2" s="2037"/>
      <c r="I2" s="2037"/>
      <c r="J2" s="2037"/>
      <c r="K2" s="2037"/>
      <c r="L2" s="2037"/>
    </row>
    <row r="3" spans="2:12" ht="13.5" customHeight="1" x14ac:dyDescent="0.2">
      <c r="B3" s="2645" t="s">
        <v>2084</v>
      </c>
      <c r="C3" s="2645"/>
      <c r="D3" s="2645"/>
      <c r="E3" s="2645"/>
      <c r="F3" s="2038"/>
      <c r="G3" s="2038"/>
      <c r="H3" s="2038"/>
      <c r="I3" s="2038"/>
      <c r="J3" s="2038"/>
      <c r="K3" s="2038"/>
      <c r="L3" s="2038"/>
    </row>
    <row r="4" spans="2:12" ht="13.5" customHeight="1" x14ac:dyDescent="0.2">
      <c r="B4" s="2646" t="s">
        <v>2085</v>
      </c>
      <c r="C4" s="2646"/>
      <c r="D4" s="2646"/>
      <c r="E4" s="2646"/>
      <c r="F4" s="2039"/>
      <c r="G4" s="2039"/>
      <c r="H4" s="2039"/>
      <c r="I4" s="2039"/>
      <c r="J4" s="2039"/>
      <c r="K4" s="2039"/>
      <c r="L4" s="2039"/>
    </row>
    <row r="5" spans="2:12" ht="29.85" customHeight="1" x14ac:dyDescent="0.2"/>
    <row r="6" spans="2:12" ht="13.5" customHeight="1" x14ac:dyDescent="0.2">
      <c r="B6" s="2040" t="s">
        <v>2086</v>
      </c>
      <c r="C6" s="2040"/>
      <c r="D6" s="2041"/>
      <c r="E6" s="2042"/>
      <c r="F6" s="2042"/>
      <c r="G6" s="2043"/>
      <c r="H6" s="2043"/>
      <c r="I6" s="2043"/>
    </row>
    <row r="7" spans="2:12" ht="13.5" customHeight="1" x14ac:dyDescent="0.2">
      <c r="B7" s="2036" t="s">
        <v>1159</v>
      </c>
    </row>
    <row r="8" spans="2:12" ht="13.5" customHeight="1" x14ac:dyDescent="0.2">
      <c r="B8" s="2044" t="s">
        <v>2087</v>
      </c>
      <c r="C8" s="2045">
        <v>2020</v>
      </c>
      <c r="D8" s="2046">
        <v>1</v>
      </c>
    </row>
    <row r="9" spans="2:12" ht="13.5" customHeight="1" x14ac:dyDescent="0.2">
      <c r="B9" s="2047"/>
      <c r="C9" s="2047"/>
      <c r="D9" s="2047"/>
    </row>
    <row r="10" spans="2:12" ht="13.5" customHeight="1" x14ac:dyDescent="0.2">
      <c r="B10" s="2044" t="s">
        <v>2088</v>
      </c>
      <c r="C10" s="2044"/>
    </row>
    <row r="11" spans="2:12" ht="66.75" customHeight="1" x14ac:dyDescent="0.2">
      <c r="B11" s="2642" t="s">
        <v>2078</v>
      </c>
      <c r="C11" s="2642"/>
      <c r="D11" s="2642"/>
      <c r="E11" s="2642"/>
    </row>
    <row r="12" spans="2:12" ht="13.5" customHeight="1" x14ac:dyDescent="0.2"/>
    <row r="13" spans="2:12" ht="13.5" customHeight="1" x14ac:dyDescent="0.2">
      <c r="B13" s="2044" t="s">
        <v>2089</v>
      </c>
      <c r="C13" s="2044"/>
    </row>
    <row r="14" spans="2:12" ht="76.5" customHeight="1" x14ac:dyDescent="0.2">
      <c r="B14" s="2642" t="s">
        <v>2090</v>
      </c>
      <c r="C14" s="2642"/>
      <c r="D14" s="2642"/>
      <c r="E14" s="2642"/>
    </row>
    <row r="15" spans="2:12" ht="13.5" customHeight="1" x14ac:dyDescent="0.2"/>
    <row r="16" spans="2:12" ht="13.5" customHeight="1" x14ac:dyDescent="0.2">
      <c r="B16" s="2044" t="s">
        <v>2091</v>
      </c>
      <c r="C16" s="2044"/>
      <c r="E16" s="2048" t="s">
        <v>2092</v>
      </c>
    </row>
    <row r="17" spans="2:5" ht="13.5" customHeight="1" x14ac:dyDescent="0.2"/>
    <row r="18" spans="2:5" ht="13.5" customHeight="1" x14ac:dyDescent="0.2">
      <c r="B18" s="2044" t="s">
        <v>2093</v>
      </c>
      <c r="C18" s="2044"/>
      <c r="E18" s="2049" t="s">
        <v>2096</v>
      </c>
    </row>
    <row r="19" spans="2:5" ht="13.5" customHeight="1" x14ac:dyDescent="0.2"/>
    <row r="20" spans="2:5" ht="13.5" customHeight="1" x14ac:dyDescent="0.2">
      <c r="B20" s="2044" t="s">
        <v>2094</v>
      </c>
      <c r="C20" s="2044"/>
      <c r="E20" s="2642" t="s">
        <v>2083</v>
      </c>
    </row>
    <row r="21" spans="2:5" ht="13.5" customHeight="1" x14ac:dyDescent="0.2">
      <c r="E21" s="2642"/>
    </row>
    <row r="22" spans="2:5" ht="13.5" customHeight="1" x14ac:dyDescent="0.2">
      <c r="E22" s="2642"/>
    </row>
    <row r="23" spans="2:5" ht="13.5" customHeight="1" x14ac:dyDescent="0.2"/>
    <row r="24" spans="2:5" ht="13.5" customHeight="1" x14ac:dyDescent="0.2"/>
    <row r="25" spans="2:5" ht="13.5" customHeight="1" x14ac:dyDescent="0.2">
      <c r="B25" s="2050"/>
      <c r="C25" s="2050"/>
      <c r="D25" s="2050"/>
    </row>
    <row r="26" spans="2:5" ht="13.5" customHeight="1" x14ac:dyDescent="0.2">
      <c r="B26" s="2050"/>
      <c r="C26" s="2050"/>
      <c r="D26" s="2050"/>
    </row>
    <row r="27" spans="2:5" ht="13.5" customHeight="1" x14ac:dyDescent="0.2">
      <c r="B27" s="2050"/>
      <c r="C27" s="2050"/>
      <c r="D27" s="20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1"/>
      <c r="C35" s="2051"/>
      <c r="D35" s="2051"/>
    </row>
    <row r="36" spans="2:5" ht="13.5" customHeight="1" x14ac:dyDescent="0.2"/>
    <row r="37" spans="2:5" ht="13.5" customHeight="1" x14ac:dyDescent="0.2">
      <c r="B37" s="2051"/>
      <c r="C37" s="2051"/>
      <c r="D37" s="2051"/>
    </row>
    <row r="38" spans="2:5" ht="13.5" customHeight="1" x14ac:dyDescent="0.2">
      <c r="B38" s="2051"/>
      <c r="C38" s="2051"/>
      <c r="D38" s="2051"/>
    </row>
    <row r="39" spans="2:5" ht="13.5" customHeight="1" x14ac:dyDescent="0.2">
      <c r="B39" s="2051"/>
      <c r="C39" s="2051"/>
      <c r="D39" s="2051"/>
    </row>
    <row r="40" spans="2:5" ht="13.5" customHeight="1" x14ac:dyDescent="0.2">
      <c r="B40" s="2051"/>
      <c r="C40" s="2051"/>
      <c r="D40" s="2051"/>
    </row>
    <row r="41" spans="2:5" ht="13.5" customHeight="1" x14ac:dyDescent="0.2">
      <c r="B41" s="2052"/>
      <c r="C41" s="2052"/>
      <c r="D41" s="2052"/>
      <c r="E41" s="2052"/>
    </row>
    <row r="42" spans="2:5" ht="12.2" customHeight="1" x14ac:dyDescent="0.2">
      <c r="B42" s="2053" t="s">
        <v>2095</v>
      </c>
      <c r="C42" s="2053"/>
      <c r="D42" s="2053"/>
    </row>
    <row r="43" spans="2:5" ht="12.2" customHeight="1" x14ac:dyDescent="0.2">
      <c r="B43" s="2054"/>
      <c r="C43" s="2054"/>
      <c r="D43" s="2054"/>
    </row>
    <row r="44" spans="2:5" ht="12.75" customHeight="1" x14ac:dyDescent="0.2">
      <c r="B44" s="2044"/>
      <c r="C44" s="2044"/>
      <c r="D44" s="2044"/>
    </row>
    <row r="45" spans="2:5" ht="12.75" customHeight="1" x14ac:dyDescent="0.2">
      <c r="B45" s="2044"/>
      <c r="C45" s="2044"/>
      <c r="D45" s="2044"/>
    </row>
    <row r="46" spans="2:5" x14ac:dyDescent="0.2">
      <c r="B46" s="2044"/>
      <c r="C46" s="2044"/>
      <c r="D46" s="2044"/>
    </row>
    <row r="47" spans="2:5" x14ac:dyDescent="0.2">
      <c r="B47" s="2044"/>
      <c r="C47" s="2044"/>
      <c r="D47" s="2044"/>
    </row>
    <row r="51" spans="2:4" x14ac:dyDescent="0.2">
      <c r="B51" s="2055"/>
      <c r="C51" s="2055"/>
      <c r="D51" s="20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6"/>
      <c r="C64" s="2056"/>
      <c r="D64" s="2056"/>
    </row>
    <row r="65" spans="2:4" x14ac:dyDescent="0.2">
      <c r="B65" s="2044"/>
      <c r="C65" s="2044"/>
      <c r="D65" s="2044"/>
    </row>
    <row r="66" spans="2:4" x14ac:dyDescent="0.2">
      <c r="B66" s="2044"/>
      <c r="C66" s="2044"/>
      <c r="D66" s="2044"/>
    </row>
    <row r="67" spans="2:4" x14ac:dyDescent="0.2">
      <c r="B67" s="2056"/>
      <c r="C67" s="2056"/>
      <c r="D67" s="2056"/>
    </row>
    <row r="68" spans="2:4" x14ac:dyDescent="0.2">
      <c r="B68" s="2056"/>
      <c r="C68" s="2056"/>
      <c r="D68" s="2056"/>
    </row>
    <row r="69" spans="2:4" x14ac:dyDescent="0.2">
      <c r="B69" s="2056"/>
      <c r="C69" s="2056"/>
      <c r="D69" s="2056"/>
    </row>
    <row r="70" spans="2:4" x14ac:dyDescent="0.2">
      <c r="B70" s="2044"/>
      <c r="C70" s="2044"/>
      <c r="D70" s="2044"/>
    </row>
  </sheetData>
  <mergeCells count="7">
    <mergeCell ref="E20:E22"/>
    <mergeCell ref="B1:E1"/>
    <mergeCell ref="B2:E2"/>
    <mergeCell ref="B3:E3"/>
    <mergeCell ref="B4:E4"/>
    <mergeCell ref="B11:E11"/>
    <mergeCell ref="B14:E1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383</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568237520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1.8269000000000001E-2</v>
      </c>
      <c r="E10" s="333" t="s">
        <v>998</v>
      </c>
      <c r="F10" s="332">
        <v>1.4339999999999999E-3</v>
      </c>
      <c r="G10" s="333" t="s">
        <v>998</v>
      </c>
      <c r="H10" s="332">
        <v>1.186E-3</v>
      </c>
      <c r="I10" s="333" t="s">
        <v>999</v>
      </c>
      <c r="J10" s="1424">
        <f>ROUND(D10+F10+H10,5)</f>
        <v>2.0889999999999999E-2</v>
      </c>
      <c r="K10" s="217"/>
      <c r="L10" s="332">
        <v>6.7999999999999999E-5</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13772648</v>
      </c>
      <c r="E16" s="1547"/>
      <c r="F16" s="1546">
        <f>SUM('Acct Summary 7-8'!C17,'Acct Summary 7-8'!D17,'Acct Summary 7-8'!F17)</f>
        <v>14662922</v>
      </c>
      <c r="G16" s="1547"/>
      <c r="H16" s="1546">
        <f>SUM(D16-F16)</f>
        <v>-890274</v>
      </c>
      <c r="I16" s="1548"/>
      <c r="J16" s="1546">
        <f>SUM('Acct Summary 7-8'!C81,'Acct Summary 7-8'!D81,'Acct Summary 7-8'!F81,'Acct Summary 7-8'!I81)</f>
        <v>5941812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2097</v>
      </c>
      <c r="C31" s="344" t="s">
        <v>582</v>
      </c>
      <c r="D31" s="232" t="s">
        <v>1063</v>
      </c>
      <c r="E31" s="217"/>
      <c r="F31" s="217"/>
      <c r="G31" s="340"/>
      <c r="H31" s="1425">
        <f>IF(B31="X",(J7*0.069),IF(B32="X",(J7*0.138),"Enter x in a.or b."))</f>
        <v>39208388.880000003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14324938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552</v>
      </c>
      <c r="B2" s="2230"/>
      <c r="C2" s="2230"/>
      <c r="D2" s="2230"/>
      <c r="E2" s="2230"/>
      <c r="F2" s="2230"/>
      <c r="G2" s="2230"/>
      <c r="H2" s="2230"/>
      <c r="I2" s="2230"/>
      <c r="J2" s="2230"/>
      <c r="K2" s="2230"/>
      <c r="L2" s="2230"/>
      <c r="M2" s="2230"/>
      <c r="N2" s="2230"/>
      <c r="O2" s="2230"/>
      <c r="P2" s="2230"/>
      <c r="Q2" s="2230"/>
      <c r="R2" s="2230"/>
    </row>
    <row r="3" spans="1:18" ht="12.75" x14ac:dyDescent="0.2">
      <c r="A3" s="2231" t="s">
        <v>1396</v>
      </c>
      <c r="B3" s="2231"/>
      <c r="C3" s="2231"/>
      <c r="D3" s="2231"/>
      <c r="E3" s="2231"/>
      <c r="F3" s="2231"/>
      <c r="G3" s="2231"/>
      <c r="H3" s="2231"/>
      <c r="I3" s="2231"/>
      <c r="J3" s="2231"/>
      <c r="K3" s="2231"/>
      <c r="L3" s="2231"/>
      <c r="M3" s="2231"/>
      <c r="N3" s="2231"/>
      <c r="O3" s="2231"/>
      <c r="P3" s="2231"/>
      <c r="Q3" s="2231"/>
      <c r="R3" s="2231"/>
    </row>
    <row r="4" spans="1:18" x14ac:dyDescent="0.2">
      <c r="A4" s="2232" t="s">
        <v>1537</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Center Cass SD 66 </v>
      </c>
      <c r="E7" s="368"/>
      <c r="G7" s="247"/>
      <c r="H7" s="364"/>
      <c r="I7" s="364"/>
      <c r="J7" s="364"/>
      <c r="K7" s="364"/>
      <c r="L7" s="307"/>
      <c r="M7" s="307"/>
      <c r="N7" s="307"/>
      <c r="O7" s="307"/>
      <c r="P7" s="307"/>
    </row>
    <row r="8" spans="1:18" ht="12.75" x14ac:dyDescent="0.2">
      <c r="A8" s="307"/>
      <c r="B8" s="307"/>
      <c r="C8" s="366" t="s">
        <v>1115</v>
      </c>
      <c r="D8" s="369">
        <f>COVER!A13</f>
        <v>19022066002</v>
      </c>
      <c r="E8" s="370"/>
      <c r="G8" s="307"/>
      <c r="H8" s="307"/>
      <c r="I8" s="307"/>
      <c r="J8" s="307"/>
      <c r="K8" s="307"/>
      <c r="L8" s="307"/>
      <c r="M8" s="307"/>
      <c r="N8" s="307"/>
      <c r="O8" s="307"/>
      <c r="P8" s="307"/>
    </row>
    <row r="9" spans="1:18" ht="12.75" x14ac:dyDescent="0.2">
      <c r="A9" s="307"/>
      <c r="B9" s="307"/>
      <c r="C9" s="366" t="s">
        <v>708</v>
      </c>
      <c r="D9" s="371" t="str">
        <f>COVER!A15</f>
        <v>DuPage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5941812</v>
      </c>
      <c r="I12" s="380"/>
      <c r="J12" s="380"/>
      <c r="K12" s="1559">
        <f>TRUNC((H12/H13*100000),5)/100000</f>
        <v>0.43142117619999998</v>
      </c>
      <c r="L12" s="381"/>
      <c r="M12" s="337" t="s">
        <v>1134</v>
      </c>
      <c r="N12" s="337"/>
      <c r="O12" s="1562">
        <v>0.35</v>
      </c>
      <c r="P12" s="213"/>
      <c r="Q12" s="213"/>
    </row>
    <row r="13" spans="1:18" s="382" customFormat="1" ht="12.75" x14ac:dyDescent="0.2">
      <c r="A13" s="213"/>
      <c r="B13" s="377"/>
      <c r="C13" s="2228" t="s">
        <v>1313</v>
      </c>
      <c r="D13" s="2229"/>
      <c r="E13" s="213"/>
      <c r="F13" s="383" t="s">
        <v>788</v>
      </c>
      <c r="G13" s="378"/>
      <c r="H13" s="1551">
        <f>SUM('Acct Summary 7-8'!C8+'Acct Summary 7-8'!D8+'Acct Summary 7-8'!F8+'Acct Summary 7-8'!I8)+H14</f>
        <v>13772648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14662922</v>
      </c>
      <c r="I17" s="380"/>
      <c r="J17" s="389"/>
      <c r="K17" s="1559">
        <f>TRUNC((H17/H18*100000),5)/100000</f>
        <v>1.0646407283999999</v>
      </c>
      <c r="L17" s="381"/>
      <c r="M17" s="390" t="s">
        <v>1161</v>
      </c>
      <c r="O17" s="1565" t="str">
        <f>IF(AND(O16="2", J20 &gt; 2),"1",IF(AND(O16 = "1", J20 &gt; 2),"2",IF(AND(O16="1", J20 &gt;1),"1","0")))</f>
        <v>0</v>
      </c>
      <c r="P17" s="213"/>
    </row>
    <row r="18" spans="1:18" s="382" customFormat="1" ht="11.25" x14ac:dyDescent="0.2">
      <c r="A18" s="213"/>
      <c r="B18" s="377"/>
      <c r="C18" s="2228" t="s">
        <v>1306</v>
      </c>
      <c r="D18" s="2229"/>
      <c r="E18" s="213"/>
      <c r="F18" s="391" t="s">
        <v>789</v>
      </c>
      <c r="G18" s="378"/>
      <c r="H18" s="1551">
        <f>SUM('Acct Summary 7-8'!C8+'Acct Summary 7-8'!D8+'Acct Summary 7-8'!F8+'Acct Summary 7-8'!I8)+H19</f>
        <v>13772648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5.1271262000000002</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25" t="s">
        <v>1395</v>
      </c>
      <c r="D24" s="2225"/>
      <c r="E24" s="213"/>
      <c r="F24" s="213" t="s">
        <v>442</v>
      </c>
      <c r="G24" s="378"/>
      <c r="H24" s="1551">
        <f>SUM('Assets-Liab 5-6'!C4+'Assets-Liab 5-6'!D4+'Assets-Liab 5-6'!F4+'Assets-Liab 5-6'!I4+'Assets-Liab 5-6'!C5+'Assets-Liab 5-6'!D5+'Assets-Liab 5-6'!F5+'Assets-Liab 5-6'!I5)</f>
        <v>5941812</v>
      </c>
      <c r="I24" s="394"/>
      <c r="J24" s="394"/>
      <c r="K24" s="1555">
        <f>TRUNC(((H24/H25*100000)/100000),2)</f>
        <v>145.88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40730.338889999999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10089909.523879999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14324938</v>
      </c>
      <c r="I32" s="392"/>
      <c r="J32" s="392"/>
      <c r="K32" s="1555">
        <f>TRUNC(100-((((H32/H33*100))*100)/100),2)</f>
        <v>63.46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39208388.880000003</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52" sqref="A5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5" t="s">
        <v>967</v>
      </c>
      <c r="B3" s="2236"/>
      <c r="C3" s="1306"/>
      <c r="D3" s="1307"/>
      <c r="E3" s="1307"/>
      <c r="F3" s="1307"/>
      <c r="G3" s="1307"/>
      <c r="H3" s="1307"/>
      <c r="I3" s="1307"/>
      <c r="J3" s="1307"/>
      <c r="K3" s="1307"/>
      <c r="L3" s="1307"/>
      <c r="M3" s="1308"/>
      <c r="N3" s="1309"/>
    </row>
    <row r="4" spans="1:14" ht="13.5" customHeight="1" x14ac:dyDescent="0.2">
      <c r="A4" s="427" t="s">
        <v>1632</v>
      </c>
      <c r="B4" s="428"/>
      <c r="C4" s="1572">
        <v>2786324</v>
      </c>
      <c r="D4" s="1573">
        <v>726922</v>
      </c>
      <c r="E4" s="1573">
        <v>442055</v>
      </c>
      <c r="F4" s="1573">
        <v>35529</v>
      </c>
      <c r="G4" s="1573">
        <v>127372</v>
      </c>
      <c r="H4" s="1573">
        <v>1184131</v>
      </c>
      <c r="I4" s="1573">
        <v>894437</v>
      </c>
      <c r="J4" s="1574">
        <v>0</v>
      </c>
      <c r="K4" s="1573">
        <v>0</v>
      </c>
      <c r="L4" s="1573">
        <v>142990</v>
      </c>
      <c r="M4" s="1575"/>
      <c r="N4" s="1576"/>
    </row>
    <row r="5" spans="1:14" x14ac:dyDescent="0.2">
      <c r="A5" s="427" t="s">
        <v>985</v>
      </c>
      <c r="B5" s="429">
        <v>120</v>
      </c>
      <c r="C5" s="1572">
        <v>600000</v>
      </c>
      <c r="D5" s="1573">
        <v>0</v>
      </c>
      <c r="E5" s="1573">
        <v>0</v>
      </c>
      <c r="F5" s="1573">
        <v>0</v>
      </c>
      <c r="G5" s="1573">
        <v>0</v>
      </c>
      <c r="H5" s="1573">
        <v>0</v>
      </c>
      <c r="I5" s="1573">
        <v>898600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3386324</v>
      </c>
      <c r="D13" s="1587">
        <f t="shared" ref="D13:L13" si="0">SUM(D4:D12)</f>
        <v>726922</v>
      </c>
      <c r="E13" s="1587">
        <f t="shared" si="0"/>
        <v>442055</v>
      </c>
      <c r="F13" s="1587">
        <f t="shared" si="0"/>
        <v>35529</v>
      </c>
      <c r="G13" s="1587">
        <f t="shared" si="0"/>
        <v>127372</v>
      </c>
      <c r="H13" s="1587">
        <f t="shared" si="0"/>
        <v>1184131</v>
      </c>
      <c r="I13" s="1587">
        <f t="shared" si="0"/>
        <v>1793037</v>
      </c>
      <c r="J13" s="1587">
        <f t="shared" si="0"/>
        <v>0</v>
      </c>
      <c r="K13" s="1587">
        <f t="shared" si="0"/>
        <v>0</v>
      </c>
      <c r="L13" s="1587">
        <f t="shared" si="0"/>
        <v>142990</v>
      </c>
      <c r="M13" s="1575"/>
      <c r="N13" s="1576"/>
    </row>
    <row r="14" spans="1:14" ht="18" customHeight="1" thickTop="1" x14ac:dyDescent="0.2">
      <c r="A14" s="2237" t="s">
        <v>146</v>
      </c>
      <c r="B14" s="223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329076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20912280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9252422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1955795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442055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13882883</v>
      </c>
    </row>
    <row r="23" spans="1:14" ht="13.5" customHeight="1" thickBot="1" x14ac:dyDescent="0.25">
      <c r="A23" s="1426" t="s">
        <v>638</v>
      </c>
      <c r="B23" s="1429"/>
      <c r="C23" s="1575"/>
      <c r="D23" s="1575"/>
      <c r="E23" s="1575"/>
      <c r="F23" s="1575"/>
      <c r="G23" s="1575"/>
      <c r="H23" s="1575"/>
      <c r="I23" s="1575"/>
      <c r="J23" s="1575"/>
      <c r="K23" s="1575"/>
      <c r="L23" s="1575"/>
      <c r="M23" s="1594">
        <f>SUM(M15:M22)</f>
        <v>32449573</v>
      </c>
      <c r="N23" s="1594">
        <f>SUM(N21:N22)</f>
        <v>14324938</v>
      </c>
    </row>
    <row r="24" spans="1:14" ht="18" customHeight="1" thickTop="1" x14ac:dyDescent="0.2">
      <c r="A24" s="2239" t="s">
        <v>594</v>
      </c>
      <c r="B24" s="224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124063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124063</v>
      </c>
      <c r="M34" s="1575"/>
      <c r="N34" s="1585"/>
    </row>
    <row r="35" spans="1:14" ht="18" customHeight="1" thickTop="1" x14ac:dyDescent="0.2">
      <c r="A35" s="2241" t="s">
        <v>526</v>
      </c>
      <c r="B35" s="224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14324938</v>
      </c>
    </row>
    <row r="37" spans="1:14" ht="13.5" thickBot="1" x14ac:dyDescent="0.25">
      <c r="A37" s="1426" t="s">
        <v>648</v>
      </c>
      <c r="B37" s="1429"/>
      <c r="C37" s="1582"/>
      <c r="D37" s="1582"/>
      <c r="E37" s="1582"/>
      <c r="F37" s="1582"/>
      <c r="G37" s="1582"/>
      <c r="H37" s="1582"/>
      <c r="I37" s="1582"/>
      <c r="J37" s="1582"/>
      <c r="K37" s="1582"/>
      <c r="L37" s="1585"/>
      <c r="M37" s="1575"/>
      <c r="N37" s="1594">
        <f>SUM(N36:N36)</f>
        <v>14324938</v>
      </c>
    </row>
    <row r="38" spans="1:14" s="307" customFormat="1" ht="13.5" customHeight="1" thickTop="1" x14ac:dyDescent="0.2">
      <c r="A38" s="438" t="s">
        <v>417</v>
      </c>
      <c r="B38" s="432">
        <v>714</v>
      </c>
      <c r="C38" s="1573">
        <v>0</v>
      </c>
      <c r="D38" s="1573">
        <v>50000</v>
      </c>
      <c r="E38" s="1573">
        <v>0</v>
      </c>
      <c r="F38" s="1573">
        <v>0</v>
      </c>
      <c r="G38" s="1573">
        <v>81132</v>
      </c>
      <c r="H38" s="1573">
        <v>0</v>
      </c>
      <c r="I38" s="1573">
        <v>0</v>
      </c>
      <c r="J38" s="1574">
        <v>0</v>
      </c>
      <c r="K38" s="1573">
        <v>0</v>
      </c>
      <c r="L38" s="1586">
        <v>18927</v>
      </c>
      <c r="M38" s="1604"/>
      <c r="N38" s="1604"/>
    </row>
    <row r="39" spans="1:14" s="307" customFormat="1" ht="13.5" customHeight="1" x14ac:dyDescent="0.2">
      <c r="A39" s="438" t="s">
        <v>339</v>
      </c>
      <c r="B39" s="432">
        <v>730</v>
      </c>
      <c r="C39" s="1573">
        <v>3386324</v>
      </c>
      <c r="D39" s="1573">
        <v>676922</v>
      </c>
      <c r="E39" s="1573">
        <v>442055</v>
      </c>
      <c r="F39" s="1573">
        <v>35529</v>
      </c>
      <c r="G39" s="1573">
        <v>46240</v>
      </c>
      <c r="H39" s="1573">
        <v>1184131</v>
      </c>
      <c r="I39" s="1573">
        <v>1793037</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32449573</v>
      </c>
      <c r="N40" s="1604"/>
    </row>
    <row r="41" spans="1:14" ht="13.5" customHeight="1" thickBot="1" x14ac:dyDescent="0.25">
      <c r="A41" s="1426" t="s">
        <v>650</v>
      </c>
      <c r="B41" s="1405"/>
      <c r="C41" s="1594">
        <f>(SUM(C34,C37,C38,C39))</f>
        <v>3386324</v>
      </c>
      <c r="D41" s="1594">
        <f t="shared" ref="D41:L41" si="2">SUM(D34,D37,D38:D39)</f>
        <v>726922</v>
      </c>
      <c r="E41" s="1594">
        <f t="shared" si="2"/>
        <v>442055</v>
      </c>
      <c r="F41" s="1594">
        <f t="shared" si="2"/>
        <v>35529</v>
      </c>
      <c r="G41" s="1594">
        <f t="shared" si="2"/>
        <v>127372</v>
      </c>
      <c r="H41" s="1594">
        <f t="shared" si="2"/>
        <v>1184131</v>
      </c>
      <c r="I41" s="1594">
        <f t="shared" si="2"/>
        <v>1793037</v>
      </c>
      <c r="J41" s="1594">
        <f t="shared" si="2"/>
        <v>0</v>
      </c>
      <c r="K41" s="1594">
        <f t="shared" si="2"/>
        <v>0</v>
      </c>
      <c r="L41" s="1594">
        <f t="shared" si="2"/>
        <v>142990</v>
      </c>
      <c r="M41" s="1594">
        <f>SUM(M40)</f>
        <v>32449573</v>
      </c>
      <c r="N41" s="1594">
        <f>SUM(N37)</f>
        <v>14324938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52" sqref="A52"/>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3" t="s">
        <v>1165</v>
      </c>
      <c r="B3" s="2264"/>
      <c r="C3" s="1311"/>
      <c r="D3" s="1312"/>
      <c r="E3" s="1312"/>
      <c r="F3" s="1312"/>
      <c r="G3" s="1312"/>
      <c r="H3" s="1312"/>
      <c r="I3" s="1312"/>
      <c r="J3" s="1312"/>
      <c r="K3" s="1313"/>
      <c r="L3" s="446"/>
    </row>
    <row r="4" spans="1:13" ht="15.75" customHeight="1" x14ac:dyDescent="0.2">
      <c r="A4" s="1537" t="s">
        <v>1482</v>
      </c>
      <c r="B4" s="1538">
        <v>1000</v>
      </c>
      <c r="C4" s="1606">
        <f>'Revenues 9-14'!C109</f>
        <v>10943152</v>
      </c>
      <c r="D4" s="1606">
        <f>'Revenues 9-14'!D109</f>
        <v>946619</v>
      </c>
      <c r="E4" s="1606">
        <f>'Revenues 9-14'!E109</f>
        <v>947636</v>
      </c>
      <c r="F4" s="1606">
        <f>'Revenues 9-14'!F109</f>
        <v>641560</v>
      </c>
      <c r="G4" s="1606">
        <f>'Revenues 9-14'!G109</f>
        <v>501047</v>
      </c>
      <c r="H4" s="1606">
        <f>'Revenues 9-14'!H109</f>
        <v>53828</v>
      </c>
      <c r="I4" s="1606">
        <f>'Revenues 9-14'!I109</f>
        <v>67641</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774746</v>
      </c>
      <c r="D6" s="1607">
        <f>'Revenues 9-14'!D170</f>
        <v>50000</v>
      </c>
      <c r="E6" s="1607">
        <f>'Revenues 9-14'!E170</f>
        <v>0</v>
      </c>
      <c r="F6" s="1607">
        <f>'Revenues 9-14'!F170</f>
        <v>84730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264200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11982098</v>
      </c>
      <c r="D8" s="1594">
        <f t="shared" ref="D8:K8" si="0">SUM(D4:D7)</f>
        <v>996619</v>
      </c>
      <c r="E8" s="1594">
        <f t="shared" si="0"/>
        <v>947636</v>
      </c>
      <c r="F8" s="1594">
        <f t="shared" si="0"/>
        <v>726290</v>
      </c>
      <c r="G8" s="1594">
        <f t="shared" si="0"/>
        <v>501047</v>
      </c>
      <c r="H8" s="1594">
        <f t="shared" si="0"/>
        <v>53828</v>
      </c>
      <c r="I8" s="1594">
        <f t="shared" si="0"/>
        <v>67641</v>
      </c>
      <c r="J8" s="1594">
        <f t="shared" si="0"/>
        <v>0</v>
      </c>
      <c r="K8" s="1594">
        <f t="shared" si="0"/>
        <v>0</v>
      </c>
      <c r="L8" s="325"/>
    </row>
    <row r="9" spans="1:13" ht="15.75" thickTop="1" x14ac:dyDescent="0.2">
      <c r="A9" s="449" t="s">
        <v>1634</v>
      </c>
      <c r="B9" s="450">
        <v>3998</v>
      </c>
      <c r="C9" s="1586">
        <v>6292964</v>
      </c>
      <c r="D9" s="1613"/>
      <c r="E9" s="1586"/>
      <c r="F9" s="1586"/>
      <c r="G9" s="1614"/>
      <c r="H9" s="1586"/>
      <c r="I9" s="1609" t="s">
        <v>1159</v>
      </c>
      <c r="J9" s="1583"/>
      <c r="K9" s="1586"/>
      <c r="L9" s="325"/>
    </row>
    <row r="10" spans="1:13" s="452" customFormat="1" ht="13.5" thickBot="1" x14ac:dyDescent="0.25">
      <c r="A10" s="1426" t="s">
        <v>1163</v>
      </c>
      <c r="B10" s="1407"/>
      <c r="C10" s="1594">
        <f>SUM(C8:C9)</f>
        <v>18275062</v>
      </c>
      <c r="D10" s="1594">
        <f t="shared" ref="D10:K10" si="1">SUM(D8:D9)</f>
        <v>996619</v>
      </c>
      <c r="E10" s="1594">
        <f t="shared" si="1"/>
        <v>947636</v>
      </c>
      <c r="F10" s="1594">
        <f t="shared" si="1"/>
        <v>726290</v>
      </c>
      <c r="G10" s="1594">
        <f t="shared" si="1"/>
        <v>501047</v>
      </c>
      <c r="H10" s="1594">
        <f t="shared" si="1"/>
        <v>53828</v>
      </c>
      <c r="I10" s="1594">
        <f t="shared" si="1"/>
        <v>67641</v>
      </c>
      <c r="J10" s="1594">
        <f t="shared" si="1"/>
        <v>0</v>
      </c>
      <c r="K10" s="1594">
        <f t="shared" si="1"/>
        <v>0</v>
      </c>
      <c r="L10" s="451"/>
    </row>
    <row r="11" spans="1:13" s="452" customFormat="1" ht="16.7" customHeight="1" thickTop="1" x14ac:dyDescent="0.2">
      <c r="A11" s="2237" t="s">
        <v>1166</v>
      </c>
      <c r="B11" s="2238"/>
      <c r="C11" s="1602"/>
      <c r="D11" s="1603"/>
      <c r="E11" s="1603"/>
      <c r="F11" s="1603"/>
      <c r="G11" s="1603"/>
      <c r="H11" s="1603"/>
      <c r="I11" s="1603"/>
      <c r="J11" s="1603"/>
      <c r="K11" s="1615"/>
      <c r="L11" s="451"/>
    </row>
    <row r="12" spans="1:13" ht="15.75" customHeight="1" x14ac:dyDescent="0.2">
      <c r="A12" s="1314" t="s">
        <v>453</v>
      </c>
      <c r="B12" s="1316">
        <v>1000</v>
      </c>
      <c r="C12" s="1606">
        <f>'Expenditures 15-22'!K33</f>
        <v>8461802</v>
      </c>
      <c r="D12" s="1616" t="s">
        <v>1159</v>
      </c>
      <c r="E12" s="1575" t="s">
        <v>1159</v>
      </c>
      <c r="F12" s="1575" t="s">
        <v>1159</v>
      </c>
      <c r="G12" s="1606">
        <f>'Expenditures 15-22'!K229</f>
        <v>172461</v>
      </c>
      <c r="H12" s="1617"/>
      <c r="I12" s="1575" t="s">
        <v>1159</v>
      </c>
      <c r="J12" s="1575" t="s">
        <v>1159</v>
      </c>
      <c r="K12" s="1617" t="s">
        <v>1159</v>
      </c>
      <c r="L12" s="325"/>
    </row>
    <row r="13" spans="1:13" ht="15.75" customHeight="1" x14ac:dyDescent="0.2">
      <c r="A13" s="1314" t="s">
        <v>454</v>
      </c>
      <c r="B13" s="1316">
        <v>2000</v>
      </c>
      <c r="C13" s="1607">
        <f>'Expenditures 15-22'!K74</f>
        <v>3514406</v>
      </c>
      <c r="D13" s="1607">
        <f>'Expenditures 15-22'!K129</f>
        <v>1186475</v>
      </c>
      <c r="E13" s="1576" t="s">
        <v>1159</v>
      </c>
      <c r="F13" s="1607">
        <f>'Expenditures 15-22'!K184</f>
        <v>744974</v>
      </c>
      <c r="G13" s="1607">
        <f>'Expenditures 15-22'!K279</f>
        <v>223353</v>
      </c>
      <c r="H13" s="1607">
        <f>'Expenditures 15-22'!K303</f>
        <v>4675612</v>
      </c>
      <c r="I13" s="1575" t="s">
        <v>1159</v>
      </c>
      <c r="J13" s="1607">
        <f>'Expenditures 15-22'!K330</f>
        <v>0</v>
      </c>
      <c r="K13" s="1618">
        <f>'Expenditures 15-22'!K352</f>
        <v>0</v>
      </c>
      <c r="L13" s="325"/>
    </row>
    <row r="14" spans="1:13" ht="15.75" customHeight="1" x14ac:dyDescent="0.2">
      <c r="A14" s="1314" t="s">
        <v>446</v>
      </c>
      <c r="B14" s="1316">
        <v>3000</v>
      </c>
      <c r="C14" s="1607">
        <f>'Expenditures 15-22'!K75</f>
        <v>251894</v>
      </c>
      <c r="D14" s="1607">
        <f>'Expenditures 15-22'!K130</f>
        <v>0</v>
      </c>
      <c r="E14" s="1616" t="s">
        <v>1159</v>
      </c>
      <c r="F14" s="1607">
        <f>'Expenditures 15-22'!K185</f>
        <v>0</v>
      </c>
      <c r="G14" s="1607">
        <f>'Expenditures 15-22'!K280</f>
        <v>34041</v>
      </c>
      <c r="H14" s="1612"/>
      <c r="I14" s="1575" t="s">
        <v>1159</v>
      </c>
      <c r="J14" s="1575" t="s">
        <v>1159</v>
      </c>
      <c r="K14" s="1612" t="s">
        <v>1159</v>
      </c>
      <c r="L14" s="325"/>
    </row>
    <row r="15" spans="1:13" ht="15.75" customHeight="1" x14ac:dyDescent="0.2">
      <c r="A15" s="1314" t="s">
        <v>107</v>
      </c>
      <c r="B15" s="1316">
        <v>4000</v>
      </c>
      <c r="C15" s="1607">
        <f>'Expenditures 15-22'!K102</f>
        <v>503371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994686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12731473</v>
      </c>
      <c r="D17" s="1594">
        <f t="shared" si="2"/>
        <v>1186475</v>
      </c>
      <c r="E17" s="1594">
        <f t="shared" si="2"/>
        <v>994686</v>
      </c>
      <c r="F17" s="1594">
        <f t="shared" si="2"/>
        <v>744974</v>
      </c>
      <c r="G17" s="1594">
        <f t="shared" si="2"/>
        <v>429855</v>
      </c>
      <c r="H17" s="1594">
        <f t="shared" si="2"/>
        <v>4675612</v>
      </c>
      <c r="I17" s="1575"/>
      <c r="J17" s="1594">
        <f>SUM(J12:J16)</f>
        <v>0</v>
      </c>
      <c r="K17" s="1594">
        <f>SUM(K12:K16)</f>
        <v>0</v>
      </c>
      <c r="L17" s="325"/>
    </row>
    <row r="18" spans="1:12" ht="15" customHeight="1" thickTop="1" x14ac:dyDescent="0.2">
      <c r="A18" s="1430" t="s">
        <v>1635</v>
      </c>
      <c r="B18" s="1431">
        <v>4180</v>
      </c>
      <c r="C18" s="1606">
        <f t="shared" ref="C18:H18" si="3">C9</f>
        <v>6292964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19024437</v>
      </c>
      <c r="D19" s="1594">
        <f t="shared" si="4"/>
        <v>1186475</v>
      </c>
      <c r="E19" s="1594">
        <f t="shared" si="4"/>
        <v>994686</v>
      </c>
      <c r="F19" s="1594">
        <f t="shared" si="4"/>
        <v>744974</v>
      </c>
      <c r="G19" s="1594">
        <f t="shared" si="4"/>
        <v>429855</v>
      </c>
      <c r="H19" s="1594">
        <f t="shared" si="4"/>
        <v>4675612</v>
      </c>
      <c r="I19" s="1575"/>
      <c r="J19" s="1594">
        <f>SUM(J17:J18)</f>
        <v>0</v>
      </c>
      <c r="K19" s="1594">
        <f>SUM(K17:K18)</f>
        <v>0</v>
      </c>
      <c r="L19" s="325"/>
    </row>
    <row r="20" spans="1:12" ht="16.5" thickTop="1" thickBot="1" x14ac:dyDescent="0.25">
      <c r="A20" s="2253" t="s">
        <v>1636</v>
      </c>
      <c r="B20" s="2254"/>
      <c r="C20" s="1622">
        <f>C8-C17</f>
        <v>-749375</v>
      </c>
      <c r="D20" s="1622">
        <f t="shared" ref="D20:K20" si="5">D8-D17</f>
        <v>-189856</v>
      </c>
      <c r="E20" s="1622">
        <f t="shared" si="5"/>
        <v>-47050</v>
      </c>
      <c r="F20" s="1622">
        <f t="shared" si="5"/>
        <v>-18684</v>
      </c>
      <c r="G20" s="1622">
        <f t="shared" si="5"/>
        <v>71192</v>
      </c>
      <c r="H20" s="1622">
        <f t="shared" si="5"/>
        <v>-4621784</v>
      </c>
      <c r="I20" s="1622">
        <f t="shared" si="5"/>
        <v>67641</v>
      </c>
      <c r="J20" s="1622">
        <f t="shared" si="5"/>
        <v>0</v>
      </c>
      <c r="K20" s="1622">
        <f t="shared" si="5"/>
        <v>0</v>
      </c>
      <c r="L20" s="325"/>
    </row>
    <row r="21" spans="1:12" ht="16.7" customHeight="1" thickTop="1" x14ac:dyDescent="0.2">
      <c r="A21" s="2265" t="s">
        <v>591</v>
      </c>
      <c r="B21" s="2266"/>
      <c r="C21" s="1602"/>
      <c r="D21" s="1603"/>
      <c r="E21" s="1603"/>
      <c r="F21" s="1603"/>
      <c r="G21" s="1603"/>
      <c r="H21" s="1603"/>
      <c r="I21" s="1603"/>
      <c r="J21" s="1603"/>
      <c r="K21" s="1615"/>
      <c r="L21" s="453"/>
    </row>
    <row r="22" spans="1:12" ht="15.75" customHeight="1" collapsed="1" x14ac:dyDescent="0.2">
      <c r="A22" s="2261" t="s">
        <v>592</v>
      </c>
      <c r="B22" s="2262"/>
      <c r="C22" s="1582"/>
      <c r="D22" s="1582"/>
      <c r="E22" s="1582"/>
      <c r="F22" s="1582"/>
      <c r="G22" s="1582"/>
      <c r="H22" s="1582"/>
      <c r="I22" s="1582"/>
      <c r="J22" s="1582"/>
      <c r="K22" s="1582"/>
      <c r="L22" s="325"/>
    </row>
    <row r="23" spans="1:12" s="433" customFormat="1" ht="15.75" customHeight="1" x14ac:dyDescent="0.2">
      <c r="A23" s="2257" t="s">
        <v>290</v>
      </c>
      <c r="B23" s="2258"/>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28332</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16037</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59" t="s">
        <v>974</v>
      </c>
      <c r="B32" s="226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1073558</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151496</v>
      </c>
      <c r="F43" s="1574">
        <v>0</v>
      </c>
      <c r="G43" s="1574">
        <v>0</v>
      </c>
      <c r="H43" s="1574">
        <v>0</v>
      </c>
      <c r="I43" s="1574">
        <v>0</v>
      </c>
      <c r="J43" s="1574">
        <v>0</v>
      </c>
      <c r="K43" s="1574">
        <v>0</v>
      </c>
      <c r="L43" s="453"/>
    </row>
    <row r="44" spans="1:12" s="433" customFormat="1" ht="13.5" customHeight="1" thickBot="1" x14ac:dyDescent="0.25">
      <c r="A44" s="2267" t="s">
        <v>371</v>
      </c>
      <c r="B44" s="2268"/>
      <c r="C44" s="1624">
        <f>SUM(C24:C43)</f>
        <v>44369</v>
      </c>
      <c r="D44" s="1624">
        <f t="shared" ref="D44:K44" si="6">SUM(D24:D43)</f>
        <v>0</v>
      </c>
      <c r="E44" s="1624">
        <f t="shared" si="6"/>
        <v>151496</v>
      </c>
      <c r="F44" s="1624">
        <f t="shared" si="6"/>
        <v>0</v>
      </c>
      <c r="G44" s="1624">
        <f t="shared" si="6"/>
        <v>0</v>
      </c>
      <c r="H44" s="1624">
        <f t="shared" si="6"/>
        <v>1073558</v>
      </c>
      <c r="I44" s="1624">
        <f t="shared" si="6"/>
        <v>0</v>
      </c>
      <c r="J44" s="1624">
        <f t="shared" si="6"/>
        <v>0</v>
      </c>
      <c r="K44" s="1624">
        <f t="shared" si="6"/>
        <v>0</v>
      </c>
      <c r="L44" s="453"/>
    </row>
    <row r="45" spans="1:12" ht="15.75" customHeight="1" thickTop="1" x14ac:dyDescent="0.2">
      <c r="A45" s="2261" t="s">
        <v>108</v>
      </c>
      <c r="B45" s="2262"/>
      <c r="C45" s="1625"/>
      <c r="D45" s="1625"/>
      <c r="E45" s="1625"/>
      <c r="F45" s="1625"/>
      <c r="G45" s="1625"/>
      <c r="H45" s="1625"/>
      <c r="I45" s="1625"/>
      <c r="J45" s="1625"/>
      <c r="K45" s="1625"/>
      <c r="L45" s="325"/>
    </row>
    <row r="46" spans="1:12" s="433" customFormat="1" ht="15.75" customHeight="1" x14ac:dyDescent="0.2">
      <c r="A46" s="2269" t="s">
        <v>109</v>
      </c>
      <c r="B46" s="227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28332</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15738</v>
      </c>
      <c r="E50" s="1574">
        <v>0</v>
      </c>
      <c r="F50" s="1574">
        <v>299</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151496</v>
      </c>
      <c r="E75" s="1626">
        <v>0</v>
      </c>
      <c r="F75" s="1628">
        <v>0</v>
      </c>
      <c r="G75" s="1628">
        <v>0</v>
      </c>
      <c r="H75" s="1628">
        <v>0</v>
      </c>
      <c r="I75" s="1626">
        <v>0</v>
      </c>
      <c r="J75" s="1626">
        <v>0</v>
      </c>
      <c r="K75" s="1628">
        <v>0</v>
      </c>
      <c r="L75" s="453"/>
    </row>
    <row r="76" spans="1:12" s="433" customFormat="1" ht="14.25" thickTop="1" thickBot="1" x14ac:dyDescent="0.25">
      <c r="A76" s="2243" t="s">
        <v>437</v>
      </c>
      <c r="B76" s="2244"/>
      <c r="C76" s="1624">
        <f t="shared" ref="C76:K76" si="7">SUM(C47:C75)</f>
        <v>0</v>
      </c>
      <c r="D76" s="1624">
        <f t="shared" si="7"/>
        <v>167234</v>
      </c>
      <c r="E76" s="1624">
        <f t="shared" si="7"/>
        <v>0</v>
      </c>
      <c r="F76" s="1624">
        <f t="shared" si="7"/>
        <v>299</v>
      </c>
      <c r="G76" s="1624">
        <f t="shared" si="7"/>
        <v>0</v>
      </c>
      <c r="H76" s="1624">
        <f t="shared" si="7"/>
        <v>0</v>
      </c>
      <c r="I76" s="1624">
        <f t="shared" si="7"/>
        <v>28332</v>
      </c>
      <c r="J76" s="1624">
        <f t="shared" si="7"/>
        <v>0</v>
      </c>
      <c r="K76" s="1624">
        <f t="shared" si="7"/>
        <v>0</v>
      </c>
      <c r="L76" s="453"/>
    </row>
    <row r="77" spans="1:12" ht="14.25" thickTop="1" thickBot="1" x14ac:dyDescent="0.25">
      <c r="A77" s="2245" t="s">
        <v>1167</v>
      </c>
      <c r="B77" s="2246"/>
      <c r="C77" s="1624">
        <f t="shared" ref="C77:K77" si="8">C44-C76</f>
        <v>44369</v>
      </c>
      <c r="D77" s="1624">
        <f t="shared" si="8"/>
        <v>-167234</v>
      </c>
      <c r="E77" s="1624">
        <f t="shared" si="8"/>
        <v>151496</v>
      </c>
      <c r="F77" s="1624">
        <f t="shared" si="8"/>
        <v>-299</v>
      </c>
      <c r="G77" s="1624">
        <f t="shared" si="8"/>
        <v>0</v>
      </c>
      <c r="H77" s="1624">
        <f t="shared" si="8"/>
        <v>1073558</v>
      </c>
      <c r="I77" s="1624">
        <f t="shared" si="8"/>
        <v>-28332</v>
      </c>
      <c r="J77" s="1624">
        <f t="shared" si="8"/>
        <v>0</v>
      </c>
      <c r="K77" s="1624">
        <f t="shared" si="8"/>
        <v>0</v>
      </c>
      <c r="L77" s="325"/>
    </row>
    <row r="78" spans="1:12" ht="21.75" customHeight="1" thickTop="1" thickBot="1" x14ac:dyDescent="0.25">
      <c r="A78" s="2249" t="s">
        <v>593</v>
      </c>
      <c r="B78" s="2250"/>
      <c r="C78" s="1629">
        <f t="shared" ref="C78:K78" si="9">C20+C77</f>
        <v>-705006</v>
      </c>
      <c r="D78" s="1629">
        <f t="shared" si="9"/>
        <v>-357090</v>
      </c>
      <c r="E78" s="1629">
        <f t="shared" si="9"/>
        <v>104446</v>
      </c>
      <c r="F78" s="1629">
        <f t="shared" si="9"/>
        <v>-18983</v>
      </c>
      <c r="G78" s="1629">
        <f t="shared" si="9"/>
        <v>71192</v>
      </c>
      <c r="H78" s="1629">
        <f t="shared" si="9"/>
        <v>-3548226</v>
      </c>
      <c r="I78" s="1629">
        <f t="shared" si="9"/>
        <v>39309</v>
      </c>
      <c r="J78" s="1629">
        <f t="shared" si="9"/>
        <v>0</v>
      </c>
      <c r="K78" s="1629">
        <f t="shared" si="9"/>
        <v>0</v>
      </c>
      <c r="L78" s="457"/>
    </row>
    <row r="79" spans="1:12" ht="13.5" thickTop="1" x14ac:dyDescent="0.2">
      <c r="A79" s="1844" t="str">
        <f>"Fund Balances - July 1, "&amp;'AFR20'!E2-1</f>
        <v>Fund Balances - July 1, 2019</v>
      </c>
      <c r="B79" s="458"/>
      <c r="C79" s="1583">
        <v>4091330</v>
      </c>
      <c r="D79" s="1583">
        <v>1084012</v>
      </c>
      <c r="E79" s="1630">
        <v>337609</v>
      </c>
      <c r="F79" s="1630">
        <v>54512</v>
      </c>
      <c r="G79" s="1630">
        <v>56180</v>
      </c>
      <c r="H79" s="1630">
        <v>4732357</v>
      </c>
      <c r="I79" s="1630">
        <v>1753728</v>
      </c>
      <c r="J79" s="1630">
        <v>0</v>
      </c>
      <c r="K79" s="1630">
        <v>0</v>
      </c>
      <c r="L79" s="325"/>
    </row>
    <row r="80" spans="1:12" x14ac:dyDescent="0.2">
      <c r="A80" s="2255" t="s">
        <v>1772</v>
      </c>
      <c r="B80" s="2256"/>
      <c r="C80" s="1574">
        <v>0</v>
      </c>
      <c r="D80" s="1574">
        <v>0</v>
      </c>
      <c r="E80" s="1574">
        <v>0</v>
      </c>
      <c r="F80" s="1574">
        <v>0</v>
      </c>
      <c r="G80" s="1574">
        <v>0</v>
      </c>
      <c r="H80" s="1574">
        <v>0</v>
      </c>
      <c r="I80" s="1574">
        <v>0</v>
      </c>
      <c r="J80" s="1574">
        <v>0</v>
      </c>
      <c r="K80" s="1574">
        <v>0</v>
      </c>
      <c r="L80" s="325"/>
    </row>
    <row r="81" spans="1:12" ht="13.5" thickBot="1" x14ac:dyDescent="0.25">
      <c r="A81" s="2247" t="str">
        <f>"Fund Balances - June 30, "&amp;'AFR20'!E2</f>
        <v>Fund Balances - June 30, 2020</v>
      </c>
      <c r="B81" s="2248"/>
      <c r="C81" s="1594">
        <f>(SUM(C78:C80))</f>
        <v>3386324</v>
      </c>
      <c r="D81" s="1594">
        <f>SUM(D78:D80)</f>
        <v>726922</v>
      </c>
      <c r="E81" s="1594">
        <f t="shared" ref="E81:K81" si="10">SUM(E78:E80)</f>
        <v>442055</v>
      </c>
      <c r="F81" s="1594">
        <f t="shared" si="10"/>
        <v>35529</v>
      </c>
      <c r="G81" s="1594">
        <f t="shared" si="10"/>
        <v>127372</v>
      </c>
      <c r="H81" s="1594">
        <f t="shared" si="10"/>
        <v>1184131</v>
      </c>
      <c r="I81" s="1594">
        <f t="shared" si="10"/>
        <v>1793037</v>
      </c>
      <c r="J81" s="1594">
        <f t="shared" si="10"/>
        <v>0</v>
      </c>
      <c r="K81" s="1594">
        <f t="shared" si="10"/>
        <v>0</v>
      </c>
      <c r="L81" s="325"/>
    </row>
    <row r="82" spans="1:12" ht="0.75" customHeight="1" thickTop="1" thickBot="1" x14ac:dyDescent="0.25">
      <c r="A82" s="459" t="s">
        <v>340</v>
      </c>
      <c r="B82" s="460"/>
      <c r="C82" s="461">
        <f>(C81-C79)</f>
        <v>-705006</v>
      </c>
      <c r="D82" s="461">
        <f t="shared" ref="D82:K82" si="11">(D81-D79)</f>
        <v>-357090</v>
      </c>
      <c r="E82" s="461">
        <f t="shared" si="11"/>
        <v>104446</v>
      </c>
      <c r="F82" s="461">
        <f t="shared" si="11"/>
        <v>-18983</v>
      </c>
      <c r="G82" s="461">
        <f t="shared" si="11"/>
        <v>71192</v>
      </c>
      <c r="H82" s="461">
        <f t="shared" si="11"/>
        <v>-3548226</v>
      </c>
      <c r="I82" s="461">
        <f t="shared" si="11"/>
        <v>39309</v>
      </c>
      <c r="J82" s="461">
        <f t="shared" si="11"/>
        <v>0</v>
      </c>
      <c r="K82" s="461">
        <f t="shared" si="11"/>
        <v>0</v>
      </c>
    </row>
    <row r="83" spans="1:12" ht="14.25" hidden="1" thickTop="1" thickBot="1" x14ac:dyDescent="0.25">
      <c r="A83" s="462" t="s">
        <v>341</v>
      </c>
      <c r="B83" s="428"/>
      <c r="C83" s="463">
        <f>C82/C81</f>
        <v>-0.2081921281011504</v>
      </c>
      <c r="D83" s="463">
        <f t="shared" ref="D83:K83" si="12">D82/D81</f>
        <v>-0.4912356483914368</v>
      </c>
      <c r="E83" s="463">
        <f t="shared" si="12"/>
        <v>0.236273766838968</v>
      </c>
      <c r="F83" s="463">
        <f t="shared" si="12"/>
        <v>-0.53429592727068032</v>
      </c>
      <c r="G83" s="463">
        <f t="shared" si="12"/>
        <v>0.55892974908143078</v>
      </c>
      <c r="H83" s="463">
        <f t="shared" si="12"/>
        <v>-2.9964809636771608</v>
      </c>
      <c r="I83" s="463">
        <f t="shared" si="12"/>
        <v>2.1923139344029154E-2</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52" sqref="A52"/>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1779</v>
      </c>
      <c r="B1" s="416"/>
      <c r="C1" s="417" t="s">
        <v>422</v>
      </c>
      <c r="D1" s="417" t="s">
        <v>423</v>
      </c>
      <c r="E1" s="417" t="s">
        <v>424</v>
      </c>
      <c r="F1" s="417" t="s">
        <v>425</v>
      </c>
      <c r="G1" s="417" t="s">
        <v>426</v>
      </c>
      <c r="H1" s="417" t="s">
        <v>427</v>
      </c>
      <c r="I1" s="417" t="s">
        <v>428</v>
      </c>
      <c r="J1" s="417" t="s">
        <v>429</v>
      </c>
      <c r="K1" s="417" t="s">
        <v>751</v>
      </c>
    </row>
    <row r="2" spans="1:12" ht="36" x14ac:dyDescent="0.2">
      <c r="A2" s="225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10232650</v>
      </c>
      <c r="D5" s="1586">
        <v>853294</v>
      </c>
      <c r="E5" s="1573">
        <v>939805</v>
      </c>
      <c r="F5" s="1631">
        <v>641284</v>
      </c>
      <c r="G5" s="1573">
        <v>191518</v>
      </c>
      <c r="H5" s="1573">
        <v>0</v>
      </c>
      <c r="I5" s="1573">
        <v>39311</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293659</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10232650</v>
      </c>
      <c r="D12" s="1633">
        <f t="shared" si="0"/>
        <v>853294</v>
      </c>
      <c r="E12" s="1633">
        <f t="shared" si="0"/>
        <v>939805</v>
      </c>
      <c r="F12" s="1633">
        <f t="shared" si="0"/>
        <v>641284</v>
      </c>
      <c r="G12" s="1633">
        <f t="shared" si="0"/>
        <v>485177</v>
      </c>
      <c r="H12" s="1633">
        <f t="shared" si="0"/>
        <v>0</v>
      </c>
      <c r="I12" s="1633">
        <f t="shared" si="0"/>
        <v>39311</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78483</v>
      </c>
      <c r="D16" s="1573">
        <v>0</v>
      </c>
      <c r="E16" s="1573">
        <v>0</v>
      </c>
      <c r="F16" s="1573">
        <v>0</v>
      </c>
      <c r="G16" s="1573">
        <v>14200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78483</v>
      </c>
      <c r="D18" s="1635">
        <f t="shared" ref="D18:K18" si="1">SUM(D14:D17)</f>
        <v>0</v>
      </c>
      <c r="E18" s="1635">
        <f t="shared" si="1"/>
        <v>0</v>
      </c>
      <c r="F18" s="1635">
        <f t="shared" si="1"/>
        <v>0</v>
      </c>
      <c r="G18" s="1635">
        <f t="shared" si="1"/>
        <v>14200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64610</v>
      </c>
      <c r="D65" s="1573">
        <v>15693</v>
      </c>
      <c r="E65" s="1573">
        <v>7831</v>
      </c>
      <c r="F65" s="1574">
        <v>276</v>
      </c>
      <c r="G65" s="1573">
        <v>1670</v>
      </c>
      <c r="H65" s="1573">
        <v>38812</v>
      </c>
      <c r="I65" s="1573">
        <v>28330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64610</v>
      </c>
      <c r="D67" s="1594">
        <f t="shared" ref="D67:K67" si="2">SUM(D65:D66)</f>
        <v>15693</v>
      </c>
      <c r="E67" s="1594">
        <f t="shared" si="2"/>
        <v>7831</v>
      </c>
      <c r="F67" s="1594">
        <f t="shared" si="2"/>
        <v>276</v>
      </c>
      <c r="G67" s="1594">
        <f t="shared" si="2"/>
        <v>1670</v>
      </c>
      <c r="H67" s="1594">
        <f t="shared" si="2"/>
        <v>38812</v>
      </c>
      <c r="I67" s="1594">
        <f t="shared" si="2"/>
        <v>28330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79060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41576</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198</v>
      </c>
      <c r="D73" s="1575"/>
      <c r="E73" s="1575"/>
      <c r="F73" s="1575"/>
      <c r="G73" s="1575"/>
      <c r="H73" s="1575"/>
      <c r="I73" s="1575"/>
      <c r="J73" s="1575"/>
      <c r="K73" s="1575"/>
    </row>
    <row r="74" spans="1:11" ht="12.75" customHeight="1" x14ac:dyDescent="0.2">
      <c r="A74" s="427" t="s">
        <v>25</v>
      </c>
      <c r="B74" s="429">
        <v>1690</v>
      </c>
      <c r="C74" s="1632">
        <v>3592</v>
      </c>
      <c r="D74" s="1575"/>
      <c r="E74" s="1575"/>
      <c r="F74" s="1575"/>
      <c r="G74" s="1575"/>
      <c r="H74" s="1575"/>
      <c r="I74" s="1575"/>
      <c r="J74" s="1575"/>
      <c r="K74" s="1575"/>
    </row>
    <row r="75" spans="1:11" ht="12.75" customHeight="1" thickBot="1" x14ac:dyDescent="0.25">
      <c r="A75" s="1406" t="s">
        <v>544</v>
      </c>
      <c r="B75" s="1407"/>
      <c r="C75" s="1594">
        <f>SUM(C69:C74)</f>
        <v>124426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2</v>
      </c>
      <c r="D81" s="1573">
        <v>0</v>
      </c>
      <c r="E81" s="1575"/>
      <c r="F81" s="1575"/>
      <c r="G81" s="1575"/>
      <c r="H81" s="1575"/>
      <c r="I81" s="1575"/>
      <c r="J81" s="1575"/>
      <c r="K81" s="1575"/>
    </row>
    <row r="82" spans="1:11" ht="12.75" customHeight="1" thickBot="1" x14ac:dyDescent="0.25">
      <c r="A82" s="1406" t="s">
        <v>239</v>
      </c>
      <c r="B82" s="1407"/>
      <c r="C82" s="1633">
        <f>SUM(C77:C81)</f>
        <v>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35340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77560</v>
      </c>
      <c r="D92" s="1575"/>
      <c r="E92" s="1575"/>
      <c r="F92" s="1575"/>
      <c r="G92" s="1575"/>
      <c r="H92" s="1575"/>
      <c r="I92" s="1575"/>
      <c r="J92" s="1575"/>
      <c r="K92" s="1575"/>
    </row>
    <row r="93" spans="1:11" ht="12.75" customHeight="1" thickBot="1" x14ac:dyDescent="0.25">
      <c r="A93" s="1406" t="s">
        <v>241</v>
      </c>
      <c r="B93" s="1407"/>
      <c r="C93" s="1594">
        <f>SUM(C84:C92)</f>
        <v>112900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77632</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15016</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872</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328376</v>
      </c>
      <c r="D106" s="1598">
        <v>0</v>
      </c>
      <c r="E106" s="1574">
        <v>0</v>
      </c>
      <c r="F106" s="1574">
        <v>0</v>
      </c>
      <c r="G106" s="1574">
        <v>0</v>
      </c>
      <c r="H106" s="1574">
        <v>0</v>
      </c>
      <c r="I106" s="1617"/>
      <c r="J106" s="1574">
        <v>0</v>
      </c>
      <c r="K106" s="1574">
        <v>0</v>
      </c>
    </row>
    <row r="107" spans="1:12" ht="12.75" customHeight="1" x14ac:dyDescent="0.2">
      <c r="A107" s="427" t="s">
        <v>78</v>
      </c>
      <c r="B107" s="429">
        <v>1999</v>
      </c>
      <c r="C107" s="1632">
        <v>833</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330081</v>
      </c>
      <c r="D108" s="1633">
        <f t="shared" ref="D108:K108" si="3">SUM(D95:D107)</f>
        <v>77632</v>
      </c>
      <c r="E108" s="1633">
        <f t="shared" si="3"/>
        <v>0</v>
      </c>
      <c r="F108" s="1633">
        <f t="shared" si="3"/>
        <v>0</v>
      </c>
      <c r="G108" s="1633">
        <f t="shared" si="3"/>
        <v>0</v>
      </c>
      <c r="H108" s="1633">
        <f t="shared" si="3"/>
        <v>15016</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10943152</v>
      </c>
      <c r="D109" s="1641">
        <f t="shared" si="4"/>
        <v>946619</v>
      </c>
      <c r="E109" s="1641">
        <f t="shared" si="4"/>
        <v>947636</v>
      </c>
      <c r="F109" s="1641">
        <f t="shared" si="4"/>
        <v>641560</v>
      </c>
      <c r="G109" s="1641">
        <f t="shared" si="4"/>
        <v>501047</v>
      </c>
      <c r="H109" s="1641">
        <f t="shared" si="4"/>
        <v>53828</v>
      </c>
      <c r="I109" s="1641">
        <f t="shared" si="4"/>
        <v>67641</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708604</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708604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65550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65550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592</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9461</v>
      </c>
      <c r="G152" s="1574">
        <v>0</v>
      </c>
      <c r="H152" s="1575"/>
      <c r="I152" s="1575"/>
      <c r="J152" s="1575"/>
      <c r="K152" s="1575"/>
    </row>
    <row r="153" spans="1:11" ht="12.75" customHeight="1" x14ac:dyDescent="0.2">
      <c r="A153" s="427" t="s">
        <v>1048</v>
      </c>
      <c r="B153" s="478">
        <v>3510</v>
      </c>
      <c r="C153" s="1632">
        <v>0</v>
      </c>
      <c r="D153" s="1573">
        <v>0</v>
      </c>
      <c r="E153" s="1640"/>
      <c r="F153" s="1573">
        <v>75269</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84730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71" t="s">
        <v>395</v>
      </c>
      <c r="B169" s="2272"/>
      <c r="C169" s="1658">
        <f t="shared" ref="C169:K169" si="6">SUM(C132,C141,C145,C146:C150,C155,C156:C167,C168)</f>
        <v>66142</v>
      </c>
      <c r="D169" s="1658">
        <f t="shared" si="6"/>
        <v>50000</v>
      </c>
      <c r="E169" s="1658">
        <f t="shared" si="6"/>
        <v>0</v>
      </c>
      <c r="F169" s="1658">
        <f t="shared" si="6"/>
        <v>84730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774746</v>
      </c>
      <c r="D170" s="1641">
        <f t="shared" si="7"/>
        <v>50000</v>
      </c>
      <c r="E170" s="1641">
        <f t="shared" si="7"/>
        <v>0</v>
      </c>
      <c r="F170" s="1641">
        <f t="shared" si="7"/>
        <v>84730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3" t="s">
        <v>1475</v>
      </c>
      <c r="B172" s="2274"/>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7" t="s">
        <v>1646</v>
      </c>
      <c r="B175" s="227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1" t="s">
        <v>1645</v>
      </c>
      <c r="B176" s="2282"/>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79" t="s">
        <v>780</v>
      </c>
      <c r="B181" s="228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5" t="s">
        <v>1780</v>
      </c>
      <c r="B182" s="227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57443</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4419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61862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66260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66260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7591</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7591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2907</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39364</v>
      </c>
      <c r="D213" s="1573">
        <v>0</v>
      </c>
      <c r="E213" s="1575"/>
      <c r="F213" s="1573">
        <v>0</v>
      </c>
      <c r="G213" s="1573">
        <v>0</v>
      </c>
      <c r="H213" s="1575"/>
      <c r="I213" s="1575"/>
      <c r="J213" s="1575"/>
      <c r="K213" s="1575"/>
    </row>
    <row r="214" spans="1:11" ht="12.75" customHeight="1" x14ac:dyDescent="0.2">
      <c r="A214" s="427" t="s">
        <v>1045</v>
      </c>
      <c r="B214" s="429">
        <v>4625</v>
      </c>
      <c r="C214" s="1632">
        <v>49226</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91497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7190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12436</v>
      </c>
      <c r="D263" s="1651">
        <v>0</v>
      </c>
      <c r="E263" s="1575"/>
      <c r="F263" s="1651">
        <v>0</v>
      </c>
      <c r="G263" s="1651">
        <v>0</v>
      </c>
      <c r="H263" s="1575"/>
      <c r="I263" s="1575"/>
      <c r="J263" s="1575"/>
      <c r="K263" s="1575"/>
    </row>
    <row r="264" spans="1:11" ht="12.75" customHeight="1" thickTop="1" thickBot="1" x14ac:dyDescent="0.25">
      <c r="A264" s="427" t="s">
        <v>374</v>
      </c>
      <c r="B264" s="429">
        <v>4992</v>
      </c>
      <c r="C264" s="1650">
        <v>17364</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264200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264200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11982098</v>
      </c>
      <c r="D268" s="1641">
        <f t="shared" si="12"/>
        <v>996619</v>
      </c>
      <c r="E268" s="1641">
        <f t="shared" si="12"/>
        <v>947636</v>
      </c>
      <c r="F268" s="1641">
        <f t="shared" si="12"/>
        <v>726290</v>
      </c>
      <c r="G268" s="1641">
        <f t="shared" si="12"/>
        <v>501047</v>
      </c>
      <c r="H268" s="1641">
        <f t="shared" si="12"/>
        <v>53828</v>
      </c>
      <c r="I268" s="1641">
        <f t="shared" si="12"/>
        <v>67641</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52" sqref="A52"/>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1" t="s">
        <v>294</v>
      </c>
      <c r="B3" s="229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5554710</v>
      </c>
      <c r="D5" s="1573">
        <v>562693</v>
      </c>
      <c r="E5" s="1573">
        <v>76250</v>
      </c>
      <c r="F5" s="1573">
        <v>153042</v>
      </c>
      <c r="G5" s="1573">
        <v>26343</v>
      </c>
      <c r="H5" s="1573">
        <v>322137</v>
      </c>
      <c r="I5" s="1574">
        <v>0</v>
      </c>
      <c r="J5" s="1574">
        <v>0</v>
      </c>
      <c r="K5" s="1672">
        <f>SUM(C5:J5)</f>
        <v>6695175</v>
      </c>
      <c r="L5" s="1573">
        <v>6906200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1227427</v>
      </c>
      <c r="D8" s="1573">
        <v>100326</v>
      </c>
      <c r="E8" s="1573">
        <v>2499</v>
      </c>
      <c r="F8" s="1573">
        <v>5740</v>
      </c>
      <c r="G8" s="1573">
        <v>1687</v>
      </c>
      <c r="H8" s="1573">
        <v>0</v>
      </c>
      <c r="I8" s="1574">
        <v>0</v>
      </c>
      <c r="J8" s="1574">
        <v>0</v>
      </c>
      <c r="K8" s="1672">
        <f t="shared" si="0"/>
        <v>1337679</v>
      </c>
      <c r="L8" s="1573">
        <v>1406300</v>
      </c>
    </row>
    <row r="9" spans="1:14" x14ac:dyDescent="0.2">
      <c r="A9" s="1274" t="s">
        <v>716</v>
      </c>
      <c r="B9" s="503" t="s">
        <v>962</v>
      </c>
      <c r="C9" s="1574">
        <v>87384</v>
      </c>
      <c r="D9" s="1574">
        <v>10086</v>
      </c>
      <c r="E9" s="1574">
        <v>0</v>
      </c>
      <c r="F9" s="1574">
        <v>0</v>
      </c>
      <c r="G9" s="1574">
        <v>0</v>
      </c>
      <c r="H9" s="1574">
        <v>0</v>
      </c>
      <c r="I9" s="1574">
        <v>0</v>
      </c>
      <c r="J9" s="1574">
        <v>0</v>
      </c>
      <c r="K9" s="1672">
        <f t="shared" si="0"/>
        <v>97470</v>
      </c>
      <c r="L9" s="1573">
        <v>102650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55584</v>
      </c>
      <c r="D14" s="1573">
        <v>1037</v>
      </c>
      <c r="E14" s="1573">
        <v>55</v>
      </c>
      <c r="F14" s="1573">
        <v>4178</v>
      </c>
      <c r="G14" s="1573">
        <v>0</v>
      </c>
      <c r="H14" s="1573">
        <v>8601</v>
      </c>
      <c r="I14" s="1574">
        <v>0</v>
      </c>
      <c r="J14" s="1574">
        <v>0</v>
      </c>
      <c r="K14" s="1672">
        <f t="shared" si="0"/>
        <v>69455</v>
      </c>
      <c r="L14" s="1573">
        <v>77400</v>
      </c>
    </row>
    <row r="15" spans="1:14" x14ac:dyDescent="0.2">
      <c r="A15" s="1274" t="s">
        <v>958</v>
      </c>
      <c r="B15" s="503">
        <v>1600</v>
      </c>
      <c r="C15" s="1573">
        <v>14720</v>
      </c>
      <c r="D15" s="1573">
        <v>221</v>
      </c>
      <c r="E15" s="1573">
        <v>0</v>
      </c>
      <c r="F15" s="1573">
        <v>6305</v>
      </c>
      <c r="G15" s="1573">
        <v>0</v>
      </c>
      <c r="H15" s="1573">
        <v>0</v>
      </c>
      <c r="I15" s="1574">
        <v>0</v>
      </c>
      <c r="J15" s="1574">
        <v>0</v>
      </c>
      <c r="K15" s="1672">
        <f t="shared" si="0"/>
        <v>21246</v>
      </c>
      <c r="L15" s="1573">
        <v>53520</v>
      </c>
    </row>
    <row r="16" spans="1:14" x14ac:dyDescent="0.2">
      <c r="A16" s="1274" t="s">
        <v>980</v>
      </c>
      <c r="B16" s="503" t="s">
        <v>421</v>
      </c>
      <c r="C16" s="1573">
        <v>1776</v>
      </c>
      <c r="D16" s="1573">
        <v>27</v>
      </c>
      <c r="E16" s="1573">
        <v>0</v>
      </c>
      <c r="F16" s="1573">
        <v>0</v>
      </c>
      <c r="G16" s="1573">
        <v>0</v>
      </c>
      <c r="H16" s="1573">
        <v>0</v>
      </c>
      <c r="I16" s="1574">
        <v>0</v>
      </c>
      <c r="J16" s="1574">
        <v>0</v>
      </c>
      <c r="K16" s="1672">
        <f t="shared" si="0"/>
        <v>1803</v>
      </c>
      <c r="L16" s="1573">
        <v>11575</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61799</v>
      </c>
      <c r="D18" s="1573">
        <v>10348</v>
      </c>
      <c r="E18" s="1573">
        <v>0</v>
      </c>
      <c r="F18" s="1573">
        <v>124</v>
      </c>
      <c r="G18" s="1573">
        <v>0</v>
      </c>
      <c r="H18" s="1573">
        <v>0</v>
      </c>
      <c r="I18" s="1574">
        <v>0</v>
      </c>
      <c r="J18" s="1574">
        <v>0</v>
      </c>
      <c r="K18" s="1672">
        <f t="shared" si="0"/>
        <v>72271</v>
      </c>
      <c r="L18" s="1573">
        <v>72625</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166703</v>
      </c>
      <c r="I22" s="1673"/>
      <c r="J22" s="1582"/>
      <c r="K22" s="1672">
        <f t="shared" si="0"/>
        <v>166703</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7003400</v>
      </c>
      <c r="D33" s="1674">
        <f t="shared" ref="D33:L33" si="1">SUM(D5:D32)</f>
        <v>684738</v>
      </c>
      <c r="E33" s="1674">
        <f t="shared" si="1"/>
        <v>78804</v>
      </c>
      <c r="F33" s="1674">
        <f t="shared" si="1"/>
        <v>169389</v>
      </c>
      <c r="G33" s="1674">
        <f t="shared" si="1"/>
        <v>28030</v>
      </c>
      <c r="H33" s="1674">
        <f t="shared" si="1"/>
        <v>497441</v>
      </c>
      <c r="I33" s="1674">
        <f t="shared" si="1"/>
        <v>0</v>
      </c>
      <c r="J33" s="1674">
        <f t="shared" si="1"/>
        <v>0</v>
      </c>
      <c r="K33" s="1674">
        <f t="shared" si="1"/>
        <v>8461802</v>
      </c>
      <c r="L33" s="1674">
        <f t="shared" si="1"/>
        <v>8630270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237417</v>
      </c>
      <c r="D36" s="1586">
        <v>30552</v>
      </c>
      <c r="E36" s="1586">
        <v>0</v>
      </c>
      <c r="F36" s="1586">
        <v>108</v>
      </c>
      <c r="G36" s="1586">
        <v>0</v>
      </c>
      <c r="H36" s="1586">
        <v>0</v>
      </c>
      <c r="I36" s="1574">
        <v>0</v>
      </c>
      <c r="J36" s="1574">
        <v>0</v>
      </c>
      <c r="K36" s="1672">
        <f t="shared" ref="K36:K41" si="2">SUM(C36:J36)</f>
        <v>268077</v>
      </c>
      <c r="L36" s="1573">
        <v>270375</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81574</v>
      </c>
      <c r="D38" s="1573">
        <v>8003</v>
      </c>
      <c r="E38" s="1573">
        <v>3376</v>
      </c>
      <c r="F38" s="1573">
        <v>2982</v>
      </c>
      <c r="G38" s="1573">
        <v>0</v>
      </c>
      <c r="H38" s="1573">
        <v>0</v>
      </c>
      <c r="I38" s="1573">
        <v>0</v>
      </c>
      <c r="J38" s="1573">
        <v>0</v>
      </c>
      <c r="K38" s="1672">
        <f t="shared" si="2"/>
        <v>95935</v>
      </c>
      <c r="L38" s="1573">
        <v>96425</v>
      </c>
    </row>
    <row r="39" spans="1:14" x14ac:dyDescent="0.2">
      <c r="A39" s="1274" t="s">
        <v>197</v>
      </c>
      <c r="B39" s="503">
        <v>2140</v>
      </c>
      <c r="C39" s="1573">
        <v>118886</v>
      </c>
      <c r="D39" s="1573">
        <v>2318</v>
      </c>
      <c r="E39" s="1573">
        <v>0</v>
      </c>
      <c r="F39" s="1573">
        <v>333</v>
      </c>
      <c r="G39" s="1573">
        <v>0</v>
      </c>
      <c r="H39" s="1573">
        <v>0</v>
      </c>
      <c r="I39" s="1574">
        <v>0</v>
      </c>
      <c r="J39" s="1574">
        <v>0</v>
      </c>
      <c r="K39" s="1672">
        <f t="shared" si="2"/>
        <v>121537</v>
      </c>
      <c r="L39" s="1573">
        <v>123125</v>
      </c>
    </row>
    <row r="40" spans="1:14" x14ac:dyDescent="0.2">
      <c r="A40" s="1274" t="s">
        <v>198</v>
      </c>
      <c r="B40" s="503">
        <v>2150</v>
      </c>
      <c r="C40" s="1573">
        <v>210217</v>
      </c>
      <c r="D40" s="1573">
        <v>17034</v>
      </c>
      <c r="E40" s="1573">
        <v>6845</v>
      </c>
      <c r="F40" s="1573">
        <v>760</v>
      </c>
      <c r="G40" s="1573">
        <v>0</v>
      </c>
      <c r="H40" s="1573">
        <v>0</v>
      </c>
      <c r="I40" s="1574">
        <v>0</v>
      </c>
      <c r="J40" s="1574">
        <v>0</v>
      </c>
      <c r="K40" s="1672">
        <f t="shared" si="2"/>
        <v>234856</v>
      </c>
      <c r="L40" s="1573">
        <v>229615</v>
      </c>
    </row>
    <row r="41" spans="1:14" x14ac:dyDescent="0.2">
      <c r="A41" s="1274" t="s">
        <v>1650</v>
      </c>
      <c r="B41" s="503">
        <v>2190</v>
      </c>
      <c r="C41" s="1573">
        <v>1031</v>
      </c>
      <c r="D41" s="1573">
        <v>6</v>
      </c>
      <c r="E41" s="1573">
        <v>0</v>
      </c>
      <c r="F41" s="1573">
        <v>0</v>
      </c>
      <c r="G41" s="1573">
        <v>0</v>
      </c>
      <c r="H41" s="1573">
        <v>0</v>
      </c>
      <c r="I41" s="1574">
        <v>0</v>
      </c>
      <c r="J41" s="1574">
        <v>0</v>
      </c>
      <c r="K41" s="1672">
        <f t="shared" si="2"/>
        <v>1037</v>
      </c>
      <c r="L41" s="1573">
        <v>1900</v>
      </c>
    </row>
    <row r="42" spans="1:14" ht="12.75" customHeight="1" thickBot="1" x14ac:dyDescent="0.25">
      <c r="A42" s="1380" t="s">
        <v>556</v>
      </c>
      <c r="B42" s="1381" t="s">
        <v>711</v>
      </c>
      <c r="C42" s="1674">
        <f>SUM(C36:C41)</f>
        <v>649125</v>
      </c>
      <c r="D42" s="1674">
        <f t="shared" ref="D42:L42" si="3">SUM(D36:D41)</f>
        <v>57913</v>
      </c>
      <c r="E42" s="1674">
        <f t="shared" si="3"/>
        <v>10221</v>
      </c>
      <c r="F42" s="1674">
        <f t="shared" si="3"/>
        <v>4183</v>
      </c>
      <c r="G42" s="1674">
        <f t="shared" si="3"/>
        <v>0</v>
      </c>
      <c r="H42" s="1674">
        <f t="shared" si="3"/>
        <v>0</v>
      </c>
      <c r="I42" s="1674">
        <f t="shared" si="3"/>
        <v>0</v>
      </c>
      <c r="J42" s="1674">
        <f t="shared" si="3"/>
        <v>0</v>
      </c>
      <c r="K42" s="1674">
        <f t="shared" si="3"/>
        <v>721442</v>
      </c>
      <c r="L42" s="1674">
        <f t="shared" si="3"/>
        <v>721440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98780</v>
      </c>
      <c r="D44" s="1586">
        <v>11929</v>
      </c>
      <c r="E44" s="1586">
        <v>15057</v>
      </c>
      <c r="F44" s="1586">
        <v>0</v>
      </c>
      <c r="G44" s="1586">
        <v>0</v>
      </c>
      <c r="H44" s="1586">
        <v>0</v>
      </c>
      <c r="I44" s="1574">
        <v>0</v>
      </c>
      <c r="J44" s="1574">
        <v>0</v>
      </c>
      <c r="K44" s="1678">
        <f>SUM(C44:J44)</f>
        <v>125766</v>
      </c>
      <c r="L44" s="1586">
        <v>145779</v>
      </c>
    </row>
    <row r="45" spans="1:14" x14ac:dyDescent="0.2">
      <c r="A45" s="1274" t="s">
        <v>810</v>
      </c>
      <c r="B45" s="503">
        <v>2220</v>
      </c>
      <c r="C45" s="1573">
        <v>282500</v>
      </c>
      <c r="D45" s="1573">
        <v>19986</v>
      </c>
      <c r="E45" s="1573">
        <v>87171</v>
      </c>
      <c r="F45" s="1573">
        <v>54665</v>
      </c>
      <c r="G45" s="1573">
        <v>602815</v>
      </c>
      <c r="H45" s="1573">
        <v>927</v>
      </c>
      <c r="I45" s="1574">
        <v>0</v>
      </c>
      <c r="J45" s="1574">
        <v>0</v>
      </c>
      <c r="K45" s="1678">
        <f>SUM(C45:J45)</f>
        <v>1048064</v>
      </c>
      <c r="L45" s="1573">
        <v>624050</v>
      </c>
    </row>
    <row r="46" spans="1:14" x14ac:dyDescent="0.2">
      <c r="A46" s="1274" t="s">
        <v>811</v>
      </c>
      <c r="B46" s="503">
        <v>2230</v>
      </c>
      <c r="C46" s="1573">
        <v>0</v>
      </c>
      <c r="D46" s="1573">
        <v>0</v>
      </c>
      <c r="E46" s="1573">
        <v>44874</v>
      </c>
      <c r="F46" s="1573">
        <v>0</v>
      </c>
      <c r="G46" s="1573">
        <v>0</v>
      </c>
      <c r="H46" s="1573">
        <v>0</v>
      </c>
      <c r="I46" s="1574">
        <v>0</v>
      </c>
      <c r="J46" s="1574">
        <v>0</v>
      </c>
      <c r="K46" s="1678">
        <f>SUM(C46:J46)</f>
        <v>44874</v>
      </c>
      <c r="L46" s="1573">
        <v>56000</v>
      </c>
    </row>
    <row r="47" spans="1:14" ht="12.75" customHeight="1" thickBot="1" x14ac:dyDescent="0.25">
      <c r="A47" s="1380" t="s">
        <v>557</v>
      </c>
      <c r="B47" s="1381" t="s">
        <v>32</v>
      </c>
      <c r="C47" s="1674">
        <f>SUM(C44:C46)</f>
        <v>381280</v>
      </c>
      <c r="D47" s="1674">
        <f t="shared" ref="D47:K47" si="4">SUM(D44:D46)</f>
        <v>31915</v>
      </c>
      <c r="E47" s="1674">
        <f t="shared" si="4"/>
        <v>147102</v>
      </c>
      <c r="F47" s="1674">
        <f t="shared" si="4"/>
        <v>54665</v>
      </c>
      <c r="G47" s="1674">
        <f t="shared" si="4"/>
        <v>602815</v>
      </c>
      <c r="H47" s="1674">
        <f t="shared" si="4"/>
        <v>927</v>
      </c>
      <c r="I47" s="1674">
        <f t="shared" si="4"/>
        <v>0</v>
      </c>
      <c r="J47" s="1674">
        <f t="shared" si="4"/>
        <v>0</v>
      </c>
      <c r="K47" s="1674">
        <f t="shared" si="4"/>
        <v>1218704</v>
      </c>
      <c r="L47" s="1674">
        <f>SUM(L44:L46)</f>
        <v>825829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2400</v>
      </c>
      <c r="D49" s="1586">
        <v>0</v>
      </c>
      <c r="E49" s="1586">
        <v>152730</v>
      </c>
      <c r="F49" s="1586">
        <v>1317</v>
      </c>
      <c r="G49" s="1586">
        <v>0</v>
      </c>
      <c r="H49" s="1586">
        <v>13388</v>
      </c>
      <c r="I49" s="1574">
        <v>0</v>
      </c>
      <c r="J49" s="1574">
        <v>0</v>
      </c>
      <c r="K49" s="1678">
        <f>SUM(C49:J49)</f>
        <v>169835</v>
      </c>
      <c r="L49" s="1586">
        <v>187800</v>
      </c>
    </row>
    <row r="50" spans="1:14" x14ac:dyDescent="0.2">
      <c r="A50" s="1274" t="s">
        <v>813</v>
      </c>
      <c r="B50" s="503">
        <v>2320</v>
      </c>
      <c r="C50" s="1574">
        <v>247224</v>
      </c>
      <c r="D50" s="1573">
        <v>23598</v>
      </c>
      <c r="E50" s="1573">
        <v>747</v>
      </c>
      <c r="F50" s="1573">
        <v>2599</v>
      </c>
      <c r="G50" s="1573">
        <v>2008</v>
      </c>
      <c r="H50" s="1573">
        <v>1656</v>
      </c>
      <c r="I50" s="1574">
        <v>0</v>
      </c>
      <c r="J50" s="1574">
        <v>0</v>
      </c>
      <c r="K50" s="1678">
        <f>SUM(C50:J50)</f>
        <v>277832</v>
      </c>
      <c r="L50" s="1573">
        <v>280875</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249624</v>
      </c>
      <c r="D53" s="1674">
        <f t="shared" ref="D53:L53" si="5">SUM(D49:D52)</f>
        <v>23598</v>
      </c>
      <c r="E53" s="1674">
        <f t="shared" si="5"/>
        <v>153477</v>
      </c>
      <c r="F53" s="1674">
        <f t="shared" si="5"/>
        <v>3916</v>
      </c>
      <c r="G53" s="1674">
        <f t="shared" si="5"/>
        <v>2008</v>
      </c>
      <c r="H53" s="1674">
        <f t="shared" si="5"/>
        <v>15044</v>
      </c>
      <c r="I53" s="1674">
        <f t="shared" si="5"/>
        <v>0</v>
      </c>
      <c r="J53" s="1674">
        <f t="shared" si="5"/>
        <v>0</v>
      </c>
      <c r="K53" s="1674">
        <f t="shared" si="5"/>
        <v>447667</v>
      </c>
      <c r="L53" s="1674">
        <f t="shared" si="5"/>
        <v>468675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600045</v>
      </c>
      <c r="D55" s="1586">
        <v>94114</v>
      </c>
      <c r="E55" s="1586">
        <v>1252</v>
      </c>
      <c r="F55" s="1586">
        <v>1865</v>
      </c>
      <c r="G55" s="1586">
        <v>0</v>
      </c>
      <c r="H55" s="1586">
        <v>948</v>
      </c>
      <c r="I55" s="1574">
        <v>0</v>
      </c>
      <c r="J55" s="1574">
        <v>0</v>
      </c>
      <c r="K55" s="1678">
        <f>SUM(C55:J55)</f>
        <v>698224</v>
      </c>
      <c r="L55" s="1586">
        <v>704175</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600045</v>
      </c>
      <c r="D57" s="1679">
        <f t="shared" ref="D57:K57" si="6">SUM(D55:D56)</f>
        <v>94114</v>
      </c>
      <c r="E57" s="1679">
        <f t="shared" si="6"/>
        <v>1252</v>
      </c>
      <c r="F57" s="1679">
        <f t="shared" si="6"/>
        <v>1865</v>
      </c>
      <c r="G57" s="1679">
        <f t="shared" si="6"/>
        <v>0</v>
      </c>
      <c r="H57" s="1679">
        <f t="shared" si="6"/>
        <v>948</v>
      </c>
      <c r="I57" s="1679">
        <f t="shared" si="6"/>
        <v>0</v>
      </c>
      <c r="J57" s="1679">
        <f t="shared" si="6"/>
        <v>0</v>
      </c>
      <c r="K57" s="1679">
        <f t="shared" si="6"/>
        <v>698224</v>
      </c>
      <c r="L57" s="1674">
        <f>SUM(L55:L56)</f>
        <v>704175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145830</v>
      </c>
      <c r="D60" s="1573">
        <v>41247</v>
      </c>
      <c r="E60" s="1573">
        <v>2441</v>
      </c>
      <c r="F60" s="1573">
        <v>5293</v>
      </c>
      <c r="G60" s="1573">
        <v>0</v>
      </c>
      <c r="H60" s="1573">
        <v>334</v>
      </c>
      <c r="I60" s="1574">
        <v>0</v>
      </c>
      <c r="J60" s="1574">
        <v>0</v>
      </c>
      <c r="K60" s="1678">
        <f t="shared" si="7"/>
        <v>195145</v>
      </c>
      <c r="L60" s="1573">
        <v>199100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19435</v>
      </c>
      <c r="D63" s="1573">
        <v>0</v>
      </c>
      <c r="E63" s="1573">
        <v>1862</v>
      </c>
      <c r="F63" s="1573">
        <v>148088</v>
      </c>
      <c r="G63" s="1573">
        <v>0</v>
      </c>
      <c r="H63" s="1573">
        <v>0</v>
      </c>
      <c r="I63" s="1574">
        <v>0</v>
      </c>
      <c r="J63" s="1574">
        <v>0</v>
      </c>
      <c r="K63" s="1678">
        <f t="shared" si="7"/>
        <v>169385</v>
      </c>
      <c r="L63" s="1573">
        <v>212100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165265</v>
      </c>
      <c r="D65" s="1674">
        <f t="shared" ref="D65:L65" si="8">SUM(D59:D64)</f>
        <v>41247</v>
      </c>
      <c r="E65" s="1674">
        <f t="shared" si="8"/>
        <v>4303</v>
      </c>
      <c r="F65" s="1674">
        <f t="shared" si="8"/>
        <v>153381</v>
      </c>
      <c r="G65" s="1674">
        <f t="shared" si="8"/>
        <v>0</v>
      </c>
      <c r="H65" s="1674">
        <f t="shared" si="8"/>
        <v>334</v>
      </c>
      <c r="I65" s="1674">
        <f t="shared" si="8"/>
        <v>0</v>
      </c>
      <c r="J65" s="1674">
        <f t="shared" si="8"/>
        <v>0</v>
      </c>
      <c r="K65" s="1674">
        <f t="shared" si="8"/>
        <v>364530</v>
      </c>
      <c r="L65" s="1674">
        <f t="shared" si="8"/>
        <v>411200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4739</v>
      </c>
      <c r="G68" s="1573">
        <v>0</v>
      </c>
      <c r="H68" s="1573">
        <v>0</v>
      </c>
      <c r="I68" s="1574">
        <v>0</v>
      </c>
      <c r="J68" s="1574">
        <v>0</v>
      </c>
      <c r="K68" s="1678">
        <f>SUM(C68:J68)</f>
        <v>4739</v>
      </c>
      <c r="L68" s="1573">
        <v>2400</v>
      </c>
      <c r="M68" s="501"/>
      <c r="N68" s="501"/>
    </row>
    <row r="69" spans="1:14" s="321" customFormat="1" x14ac:dyDescent="0.2">
      <c r="A69" s="1274" t="s">
        <v>1052</v>
      </c>
      <c r="B69" s="503">
        <v>2630</v>
      </c>
      <c r="C69" s="1573">
        <v>22400</v>
      </c>
      <c r="D69" s="1573">
        <v>0</v>
      </c>
      <c r="E69" s="1573">
        <v>0</v>
      </c>
      <c r="F69" s="1573">
        <v>22412</v>
      </c>
      <c r="G69" s="1573">
        <v>0</v>
      </c>
      <c r="H69" s="1573">
        <v>0</v>
      </c>
      <c r="I69" s="1574">
        <v>0</v>
      </c>
      <c r="J69" s="1574">
        <v>0</v>
      </c>
      <c r="K69" s="1678">
        <f>SUM(C69:J69)</f>
        <v>44812</v>
      </c>
      <c r="L69" s="1573">
        <v>42000</v>
      </c>
      <c r="M69" s="501"/>
      <c r="N69" s="501"/>
    </row>
    <row r="70" spans="1:14" s="321" customFormat="1" x14ac:dyDescent="0.2">
      <c r="A70" s="1274" t="s">
        <v>400</v>
      </c>
      <c r="B70" s="503">
        <v>2640</v>
      </c>
      <c r="C70" s="1573">
        <v>0</v>
      </c>
      <c r="D70" s="1573">
        <v>0</v>
      </c>
      <c r="E70" s="1573">
        <v>0</v>
      </c>
      <c r="F70" s="1573">
        <v>14288</v>
      </c>
      <c r="G70" s="1573">
        <v>0</v>
      </c>
      <c r="H70" s="1573">
        <v>0</v>
      </c>
      <c r="I70" s="1574">
        <v>0</v>
      </c>
      <c r="J70" s="1574">
        <v>0</v>
      </c>
      <c r="K70" s="1678">
        <f>SUM(C70:J70)</f>
        <v>14288</v>
      </c>
      <c r="L70" s="1573">
        <v>15000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22400</v>
      </c>
      <c r="D72" s="1674">
        <f t="shared" ref="D72:K72" si="9">SUM(D67:D71)</f>
        <v>0</v>
      </c>
      <c r="E72" s="1674">
        <f t="shared" si="9"/>
        <v>0</v>
      </c>
      <c r="F72" s="1674">
        <f t="shared" si="9"/>
        <v>41439</v>
      </c>
      <c r="G72" s="1674">
        <f t="shared" si="9"/>
        <v>0</v>
      </c>
      <c r="H72" s="1674">
        <f t="shared" si="9"/>
        <v>0</v>
      </c>
      <c r="I72" s="1674">
        <f t="shared" si="9"/>
        <v>0</v>
      </c>
      <c r="J72" s="1674">
        <f t="shared" si="9"/>
        <v>0</v>
      </c>
      <c r="K72" s="1674">
        <f t="shared" si="9"/>
        <v>63839</v>
      </c>
      <c r="L72" s="1674">
        <f>SUM(L67:L71)</f>
        <v>59400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2067739</v>
      </c>
      <c r="D74" s="1681">
        <f t="shared" ref="D74:K74" si="10">SUM(D42,D47,D53,D57,D65,D72,D73)</f>
        <v>248787</v>
      </c>
      <c r="E74" s="1681">
        <f t="shared" si="10"/>
        <v>316355</v>
      </c>
      <c r="F74" s="1681">
        <f t="shared" si="10"/>
        <v>259449</v>
      </c>
      <c r="G74" s="1681">
        <f t="shared" si="10"/>
        <v>604823</v>
      </c>
      <c r="H74" s="1681">
        <f t="shared" si="10"/>
        <v>17253</v>
      </c>
      <c r="I74" s="1681">
        <f t="shared" si="10"/>
        <v>0</v>
      </c>
      <c r="J74" s="1681">
        <f t="shared" si="10"/>
        <v>0</v>
      </c>
      <c r="K74" s="1681">
        <f t="shared" si="10"/>
        <v>3514406</v>
      </c>
      <c r="L74" s="1681">
        <f>SUM(L42,L47,L53,L57,L65,L72,L73)</f>
        <v>3190719</v>
      </c>
    </row>
    <row r="75" spans="1:14" s="254" customFormat="1" ht="15.75" customHeight="1" thickTop="1" thickBot="1" x14ac:dyDescent="0.25">
      <c r="A75" s="1348" t="s">
        <v>47</v>
      </c>
      <c r="B75" s="1349" t="s">
        <v>571</v>
      </c>
      <c r="C75" s="1649">
        <v>204502</v>
      </c>
      <c r="D75" s="1649">
        <v>21787</v>
      </c>
      <c r="E75" s="1649">
        <v>8432</v>
      </c>
      <c r="F75" s="1649">
        <v>17173</v>
      </c>
      <c r="G75" s="1649">
        <v>0</v>
      </c>
      <c r="H75" s="1649">
        <v>0</v>
      </c>
      <c r="I75" s="1627">
        <v>0</v>
      </c>
      <c r="J75" s="1627">
        <v>0</v>
      </c>
      <c r="K75" s="1674">
        <f>SUM(C75:J75)</f>
        <v>251894</v>
      </c>
      <c r="L75" s="1651">
        <v>279440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17237</v>
      </c>
      <c r="F79" s="1673"/>
      <c r="G79" s="1673"/>
      <c r="H79" s="1573">
        <v>486134</v>
      </c>
      <c r="I79" s="1582"/>
      <c r="J79" s="1582"/>
      <c r="K79" s="1672">
        <f t="shared" si="11"/>
        <v>503371</v>
      </c>
      <c r="L79" s="1573">
        <v>697232</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17237</v>
      </c>
      <c r="F84" s="1673"/>
      <c r="G84" s="1673"/>
      <c r="H84" s="1674">
        <f>SUM(H78:H83)</f>
        <v>486134</v>
      </c>
      <c r="I84" s="1582"/>
      <c r="J84" s="1582"/>
      <c r="K84" s="1674">
        <f>SUM(K78:K83)</f>
        <v>503371</v>
      </c>
      <c r="L84" s="1674">
        <f>SUM(L78:L83)</f>
        <v>697232</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17237</v>
      </c>
      <c r="F102" s="1673"/>
      <c r="G102" s="1673"/>
      <c r="H102" s="1681">
        <f>SUM(H84,H92,H100,H101)</f>
        <v>486134</v>
      </c>
      <c r="I102" s="1582"/>
      <c r="J102" s="1582"/>
      <c r="K102" s="1681">
        <f>SUM(K84,K92,K100,K101)</f>
        <v>503371</v>
      </c>
      <c r="L102" s="1681">
        <f>SUM(L84,L92,L100,L101)</f>
        <v>697232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9275641</v>
      </c>
      <c r="D114" s="1674">
        <f t="shared" ref="D114:K114" si="13">SUM(D33,D74,D75,D102,D112,D113)</f>
        <v>955312</v>
      </c>
      <c r="E114" s="1674">
        <f t="shared" si="13"/>
        <v>420828</v>
      </c>
      <c r="F114" s="1674">
        <f t="shared" si="13"/>
        <v>446011</v>
      </c>
      <c r="G114" s="1674">
        <f t="shared" si="13"/>
        <v>632853</v>
      </c>
      <c r="H114" s="1674">
        <f>SUM(H33,H74,H75,H102,H112,H113)</f>
        <v>1000828</v>
      </c>
      <c r="I114" s="1674">
        <f t="shared" si="13"/>
        <v>0</v>
      </c>
      <c r="J114" s="1674">
        <f t="shared" si="13"/>
        <v>0</v>
      </c>
      <c r="K114" s="1674">
        <f t="shared" si="13"/>
        <v>12731473</v>
      </c>
      <c r="L114" s="1674">
        <f>SUM(L33,L74,L75,L102,L112,L113)</f>
        <v>12797661</v>
      </c>
    </row>
    <row r="115" spans="1:14" ht="13.5" thickTop="1" x14ac:dyDescent="0.2">
      <c r="A115" s="2283" t="s">
        <v>989</v>
      </c>
      <c r="B115" s="2284"/>
      <c r="C115" s="1675"/>
      <c r="D115" s="1675"/>
      <c r="E115" s="1675"/>
      <c r="F115" s="1675"/>
      <c r="G115" s="1675"/>
      <c r="H115" s="1675"/>
      <c r="I115" s="1675"/>
      <c r="J115" s="1675"/>
      <c r="K115" s="1689">
        <f>'Revenues 9-14'!C268-'Expenditures 15-22'!K114</f>
        <v>-749375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8" t="s">
        <v>293</v>
      </c>
      <c r="B117" s="228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337195</v>
      </c>
      <c r="D124" s="1573">
        <v>51293</v>
      </c>
      <c r="E124" s="1573">
        <v>333318</v>
      </c>
      <c r="F124" s="1573">
        <v>431029</v>
      </c>
      <c r="G124" s="1573">
        <v>33552</v>
      </c>
      <c r="H124" s="1573">
        <v>88</v>
      </c>
      <c r="I124" s="1574">
        <v>0</v>
      </c>
      <c r="J124" s="1574">
        <v>0</v>
      </c>
      <c r="K124" s="1674">
        <f>SUM(C124:J124)</f>
        <v>1186475</v>
      </c>
      <c r="L124" s="1573">
        <v>1177325</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337195</v>
      </c>
      <c r="D127" s="1674">
        <f t="shared" ref="D127:L127" si="14">SUM(D122:D126)</f>
        <v>51293</v>
      </c>
      <c r="E127" s="1674">
        <f t="shared" si="14"/>
        <v>333318</v>
      </c>
      <c r="F127" s="1674">
        <f t="shared" si="14"/>
        <v>431029</v>
      </c>
      <c r="G127" s="1674">
        <f t="shared" si="14"/>
        <v>33552</v>
      </c>
      <c r="H127" s="1674">
        <f t="shared" si="14"/>
        <v>88</v>
      </c>
      <c r="I127" s="1674">
        <f t="shared" si="14"/>
        <v>0</v>
      </c>
      <c r="J127" s="1674">
        <f t="shared" si="14"/>
        <v>0</v>
      </c>
      <c r="K127" s="1674">
        <f t="shared" si="14"/>
        <v>1186475</v>
      </c>
      <c r="L127" s="1674">
        <f t="shared" si="14"/>
        <v>1177325</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337195</v>
      </c>
      <c r="D129" s="1681">
        <f t="shared" ref="D129:L129" si="15">SUM(D120,D127,D128)</f>
        <v>51293</v>
      </c>
      <c r="E129" s="1681">
        <f t="shared" si="15"/>
        <v>333318</v>
      </c>
      <c r="F129" s="1681">
        <f t="shared" si="15"/>
        <v>431029</v>
      </c>
      <c r="G129" s="1681">
        <f t="shared" si="15"/>
        <v>33552</v>
      </c>
      <c r="H129" s="1681">
        <f t="shared" si="15"/>
        <v>88</v>
      </c>
      <c r="I129" s="1681">
        <f t="shared" si="15"/>
        <v>0</v>
      </c>
      <c r="J129" s="1681">
        <f t="shared" si="15"/>
        <v>0</v>
      </c>
      <c r="K129" s="1681">
        <f t="shared" si="15"/>
        <v>1186475</v>
      </c>
      <c r="L129" s="1681">
        <f t="shared" si="15"/>
        <v>1177325</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00" t="s">
        <v>616</v>
      </c>
      <c r="B151" s="2280"/>
      <c r="C151" s="1674">
        <f>SUM(C129,C130,C139,C149,C150)</f>
        <v>337195</v>
      </c>
      <c r="D151" s="1674">
        <f t="shared" ref="D151:K151" si="16">SUM(D129,D130,D139,D149,D150)</f>
        <v>51293</v>
      </c>
      <c r="E151" s="1674">
        <f t="shared" si="16"/>
        <v>333318</v>
      </c>
      <c r="F151" s="1674">
        <f t="shared" si="16"/>
        <v>431029</v>
      </c>
      <c r="G151" s="1674">
        <f t="shared" si="16"/>
        <v>33552</v>
      </c>
      <c r="H151" s="1674">
        <f t="shared" si="16"/>
        <v>88</v>
      </c>
      <c r="I151" s="1674">
        <f t="shared" si="16"/>
        <v>0</v>
      </c>
      <c r="J151" s="1674">
        <f t="shared" si="16"/>
        <v>0</v>
      </c>
      <c r="K151" s="1674">
        <f t="shared" si="16"/>
        <v>1186475</v>
      </c>
      <c r="L151" s="1674">
        <f>SUM(L129,L130,L139,L149,L150)</f>
        <v>1177325</v>
      </c>
    </row>
    <row r="152" spans="1:14" ht="12.75" customHeight="1" thickTop="1" x14ac:dyDescent="0.2">
      <c r="A152" s="2303" t="s">
        <v>1168</v>
      </c>
      <c r="B152" s="2304"/>
      <c r="C152" s="1675"/>
      <c r="D152" s="1675"/>
      <c r="E152" s="1675"/>
      <c r="F152" s="1675"/>
      <c r="G152" s="1675"/>
      <c r="H152" s="1675"/>
      <c r="I152" s="1675"/>
      <c r="J152" s="1673"/>
      <c r="K152" s="1689">
        <f>'Revenues 9-14'!D268-'Expenditures 15-22'!K151</f>
        <v>-189856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8" t="s">
        <v>617</v>
      </c>
      <c r="B154" s="229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424686</v>
      </c>
      <c r="I169" s="1673"/>
      <c r="J169" s="1673"/>
      <c r="K169" s="1672">
        <f>SUM(C169:H169)</f>
        <v>424686</v>
      </c>
      <c r="L169" s="1695">
        <v>445073</v>
      </c>
    </row>
    <row r="170" spans="1:14" ht="33.75" customHeight="1" x14ac:dyDescent="0.2">
      <c r="A170" s="543" t="s">
        <v>1651</v>
      </c>
      <c r="B170" s="545" t="s">
        <v>31</v>
      </c>
      <c r="C170" s="1673"/>
      <c r="D170" s="1673"/>
      <c r="E170" s="1673"/>
      <c r="F170" s="1673"/>
      <c r="G170" s="1673"/>
      <c r="H170" s="1646">
        <v>570000</v>
      </c>
      <c r="I170" s="1673"/>
      <c r="J170" s="1673"/>
      <c r="K170" s="1672">
        <f>SUM(C170:J170)</f>
        <v>570000</v>
      </c>
      <c r="L170" s="1646">
        <v>570000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994686</v>
      </c>
      <c r="I172" s="1684"/>
      <c r="J172" s="1673"/>
      <c r="K172" s="1681">
        <f>SUM(K168,K169,K170,K171)</f>
        <v>994686</v>
      </c>
      <c r="L172" s="1681">
        <f>SUM(L168,L169,L170,L171)</f>
        <v>1015073</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994686</v>
      </c>
      <c r="I174" s="1684"/>
      <c r="J174" s="1673"/>
      <c r="K174" s="1681">
        <f>SUM(K160,K172,K173)</f>
        <v>994686</v>
      </c>
      <c r="L174" s="1681">
        <f>SUM(L160,L172,L173)</f>
        <v>1015073</v>
      </c>
    </row>
    <row r="175" spans="1:14" ht="13.5" thickTop="1" x14ac:dyDescent="0.2">
      <c r="A175" s="2283" t="s">
        <v>989</v>
      </c>
      <c r="B175" s="2284"/>
      <c r="C175" s="1673"/>
      <c r="D175" s="1673"/>
      <c r="E175" s="1673"/>
      <c r="F175" s="1673"/>
      <c r="G175" s="1673"/>
      <c r="H175" s="1675"/>
      <c r="I175" s="1673"/>
      <c r="J175" s="1673"/>
      <c r="K175" s="1689">
        <f>'Revenues 9-14'!E268-'Expenditures 15-22'!K174</f>
        <v>-47050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299572</v>
      </c>
      <c r="D182" s="1573">
        <v>20418</v>
      </c>
      <c r="E182" s="1573">
        <v>369250</v>
      </c>
      <c r="F182" s="1573">
        <v>50819</v>
      </c>
      <c r="G182" s="1573">
        <v>0</v>
      </c>
      <c r="H182" s="1573">
        <v>4915</v>
      </c>
      <c r="I182" s="1574">
        <v>0</v>
      </c>
      <c r="J182" s="1574">
        <v>0</v>
      </c>
      <c r="K182" s="1672">
        <f>SUM(C182:J182)</f>
        <v>744974</v>
      </c>
      <c r="L182" s="1573">
        <v>764650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299572</v>
      </c>
      <c r="D184" s="1681">
        <f t="shared" ref="D184:J184" si="17">SUM(D180,D182,D183)</f>
        <v>20418</v>
      </c>
      <c r="E184" s="1681">
        <f t="shared" si="17"/>
        <v>369250</v>
      </c>
      <c r="F184" s="1681">
        <f t="shared" si="17"/>
        <v>50819</v>
      </c>
      <c r="G184" s="1681">
        <f t="shared" si="17"/>
        <v>0</v>
      </c>
      <c r="H184" s="1681">
        <f t="shared" si="17"/>
        <v>4915</v>
      </c>
      <c r="I184" s="1681">
        <f t="shared" si="17"/>
        <v>0</v>
      </c>
      <c r="J184" s="1681">
        <f t="shared" si="17"/>
        <v>0</v>
      </c>
      <c r="K184" s="1681">
        <f>SUM(K180,K182,K183)</f>
        <v>744974</v>
      </c>
      <c r="L184" s="1681">
        <f>SUM(L180, L182:L183)</f>
        <v>764650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299572</v>
      </c>
      <c r="D210" s="1674">
        <f>SUM(D184,D185)</f>
        <v>20418</v>
      </c>
      <c r="E210" s="1674">
        <f>SUM(E184,E185,E196)</f>
        <v>369250</v>
      </c>
      <c r="F210" s="1674">
        <f>SUM(F184,F185)</f>
        <v>50819</v>
      </c>
      <c r="G210" s="1674">
        <f>SUM(G184,G185)</f>
        <v>0</v>
      </c>
      <c r="H210" s="1674">
        <f>SUM(H184,H185,H196,H208,H209)</f>
        <v>4915</v>
      </c>
      <c r="I210" s="1674">
        <f>SUM(I184,I185)</f>
        <v>0</v>
      </c>
      <c r="J210" s="1674">
        <f>SUM(J184,J185)</f>
        <v>0</v>
      </c>
      <c r="K210" s="1672">
        <f>SUM(K184,K185,K196,K208,K209)</f>
        <v>744974</v>
      </c>
      <c r="L210" s="1674">
        <f>SUM(L184,L185,L196,L208,L209)</f>
        <v>764650</v>
      </c>
    </row>
    <row r="211" spans="1:14" ht="13.5" thickTop="1" x14ac:dyDescent="0.2">
      <c r="A211" s="2283" t="s">
        <v>989</v>
      </c>
      <c r="B211" s="2284"/>
      <c r="C211" s="1675"/>
      <c r="D211" s="1675"/>
      <c r="E211" s="1675"/>
      <c r="F211" s="1675"/>
      <c r="G211" s="1675"/>
      <c r="H211" s="1675"/>
      <c r="I211" s="1673"/>
      <c r="J211" s="1673"/>
      <c r="K211" s="1689">
        <f>'Revenues 9-14'!F268-'Expenditures 15-22'!K210</f>
        <v>-18684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5" t="s">
        <v>959</v>
      </c>
      <c r="B213" s="230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84304</v>
      </c>
      <c r="E215" s="1673"/>
      <c r="F215" s="1673"/>
      <c r="G215" s="1673"/>
      <c r="H215" s="1673"/>
      <c r="I215" s="1673"/>
      <c r="J215" s="1673"/>
      <c r="K215" s="1672">
        <f>D215</f>
        <v>84304</v>
      </c>
      <c r="L215" s="1573">
        <v>84640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78148</v>
      </c>
      <c r="E217" s="1673"/>
      <c r="F217" s="1673"/>
      <c r="G217" s="1673"/>
      <c r="H217" s="1673"/>
      <c r="I217" s="1673"/>
      <c r="J217" s="1673"/>
      <c r="K217" s="1672">
        <f t="shared" si="19"/>
        <v>78148</v>
      </c>
      <c r="L217" s="1573">
        <v>86600</v>
      </c>
    </row>
    <row r="218" spans="1:14" x14ac:dyDescent="0.2">
      <c r="A218" s="1274" t="s">
        <v>276</v>
      </c>
      <c r="B218" s="503" t="s">
        <v>962</v>
      </c>
      <c r="C218" s="1673"/>
      <c r="D218" s="1574">
        <v>6542</v>
      </c>
      <c r="E218" s="1673"/>
      <c r="F218" s="1673"/>
      <c r="G218" s="1673"/>
      <c r="H218" s="1673"/>
      <c r="I218" s="1673"/>
      <c r="J218" s="1673"/>
      <c r="K218" s="1672">
        <f t="shared" si="19"/>
        <v>6542</v>
      </c>
      <c r="L218" s="1573">
        <v>7300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2332</v>
      </c>
      <c r="E223" s="1673"/>
      <c r="F223" s="1673"/>
      <c r="G223" s="1673"/>
      <c r="H223" s="1673"/>
      <c r="I223" s="1673"/>
      <c r="J223" s="1673"/>
      <c r="K223" s="1672">
        <f t="shared" si="19"/>
        <v>2332</v>
      </c>
      <c r="L223" s="1573">
        <v>2150</v>
      </c>
    </row>
    <row r="224" spans="1:14" x14ac:dyDescent="0.2">
      <c r="A224" s="1274" t="s">
        <v>958</v>
      </c>
      <c r="B224" s="503">
        <v>1600</v>
      </c>
      <c r="C224" s="1673"/>
      <c r="D224" s="1573">
        <v>213</v>
      </c>
      <c r="E224" s="1673"/>
      <c r="F224" s="1673"/>
      <c r="G224" s="1673"/>
      <c r="H224" s="1673"/>
      <c r="I224" s="1673"/>
      <c r="J224" s="1673"/>
      <c r="K224" s="1672">
        <f t="shared" si="19"/>
        <v>213</v>
      </c>
      <c r="L224" s="1573">
        <v>1565</v>
      </c>
    </row>
    <row r="225" spans="1:12" x14ac:dyDescent="0.2">
      <c r="A225" s="1274" t="s">
        <v>980</v>
      </c>
      <c r="B225" s="503">
        <v>1650</v>
      </c>
      <c r="C225" s="1673"/>
      <c r="D225" s="1573">
        <v>26</v>
      </c>
      <c r="E225" s="1673"/>
      <c r="F225" s="1673"/>
      <c r="G225" s="1673"/>
      <c r="H225" s="1673"/>
      <c r="I225" s="1673"/>
      <c r="J225" s="1673"/>
      <c r="K225" s="1672">
        <f t="shared" si="19"/>
        <v>26</v>
      </c>
      <c r="L225" s="1573">
        <v>100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896</v>
      </c>
      <c r="E227" s="1673"/>
      <c r="F227" s="1673"/>
      <c r="G227" s="1673"/>
      <c r="H227" s="1673"/>
      <c r="I227" s="1673"/>
      <c r="J227" s="1673"/>
      <c r="K227" s="1672">
        <f t="shared" si="19"/>
        <v>896</v>
      </c>
      <c r="L227" s="1573">
        <v>900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172461</v>
      </c>
      <c r="E229" s="1673"/>
      <c r="F229" s="1673"/>
      <c r="G229" s="1673"/>
      <c r="H229" s="1673"/>
      <c r="I229" s="1673"/>
      <c r="J229" s="1673"/>
      <c r="K229" s="1674">
        <f>SUM(K215:K228)</f>
        <v>172461</v>
      </c>
      <c r="L229" s="1674">
        <f>SUM(L215:L228)</f>
        <v>183255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3442</v>
      </c>
      <c r="E232" s="1673"/>
      <c r="F232" s="1673"/>
      <c r="G232" s="1673"/>
      <c r="H232" s="1673"/>
      <c r="I232" s="1673"/>
      <c r="J232" s="1673"/>
      <c r="K232" s="1672">
        <f t="shared" ref="K232:K237" si="20">D232</f>
        <v>3442</v>
      </c>
      <c r="L232" s="1573">
        <v>3500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5101</v>
      </c>
      <c r="E234" s="1673"/>
      <c r="F234" s="1673"/>
      <c r="G234" s="1673"/>
      <c r="H234" s="1673"/>
      <c r="I234" s="1673"/>
      <c r="J234" s="1673"/>
      <c r="K234" s="1672">
        <f t="shared" si="20"/>
        <v>5101</v>
      </c>
      <c r="L234" s="1573">
        <v>6025</v>
      </c>
    </row>
    <row r="235" spans="1:12" x14ac:dyDescent="0.2">
      <c r="A235" s="1274" t="s">
        <v>197</v>
      </c>
      <c r="B235" s="503">
        <v>2140</v>
      </c>
      <c r="C235" s="1673"/>
      <c r="D235" s="1573">
        <v>1724</v>
      </c>
      <c r="E235" s="1673"/>
      <c r="F235" s="1673"/>
      <c r="G235" s="1673"/>
      <c r="H235" s="1673"/>
      <c r="I235" s="1673"/>
      <c r="J235" s="1673"/>
      <c r="K235" s="1672">
        <f t="shared" si="20"/>
        <v>1724</v>
      </c>
      <c r="L235" s="1573">
        <v>1850</v>
      </c>
    </row>
    <row r="236" spans="1:12" x14ac:dyDescent="0.2">
      <c r="A236" s="1274" t="s">
        <v>198</v>
      </c>
      <c r="B236" s="503">
        <v>2150</v>
      </c>
      <c r="C236" s="1673"/>
      <c r="D236" s="1573">
        <v>3048</v>
      </c>
      <c r="E236" s="1673"/>
      <c r="F236" s="1673"/>
      <c r="G236" s="1673"/>
      <c r="H236" s="1673"/>
      <c r="I236" s="1673"/>
      <c r="J236" s="1673"/>
      <c r="K236" s="1672">
        <f t="shared" si="20"/>
        <v>3048</v>
      </c>
      <c r="L236" s="1573">
        <v>3100</v>
      </c>
    </row>
    <row r="237" spans="1:12" x14ac:dyDescent="0.2">
      <c r="A237" s="1274" t="s">
        <v>164</v>
      </c>
      <c r="B237" s="503">
        <v>2190</v>
      </c>
      <c r="C237" s="1673"/>
      <c r="D237" s="1573">
        <v>142</v>
      </c>
      <c r="E237" s="1673"/>
      <c r="F237" s="1673"/>
      <c r="G237" s="1673"/>
      <c r="H237" s="1673"/>
      <c r="I237" s="1673"/>
      <c r="J237" s="1673"/>
      <c r="K237" s="1672">
        <f t="shared" si="20"/>
        <v>142</v>
      </c>
      <c r="L237" s="1573">
        <v>285</v>
      </c>
    </row>
    <row r="238" spans="1:12" ht="12.75" customHeight="1" thickBot="1" x14ac:dyDescent="0.25">
      <c r="A238" s="1380" t="s">
        <v>556</v>
      </c>
      <c r="B238" s="1383" t="s">
        <v>711</v>
      </c>
      <c r="C238" s="1673"/>
      <c r="D238" s="1674">
        <f>SUM(D232:D237)</f>
        <v>13457</v>
      </c>
      <c r="E238" s="1673"/>
      <c r="F238" s="1673"/>
      <c r="G238" s="1673"/>
      <c r="H238" s="1673"/>
      <c r="I238" s="1673"/>
      <c r="J238" s="1673"/>
      <c r="K238" s="1674">
        <f>SUM(K232:K237)</f>
        <v>13457</v>
      </c>
      <c r="L238" s="1674">
        <f>SUM(L232:L237)</f>
        <v>14760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1432</v>
      </c>
      <c r="E240" s="1673"/>
      <c r="F240" s="1673"/>
      <c r="G240" s="1673"/>
      <c r="H240" s="1673"/>
      <c r="I240" s="1673"/>
      <c r="J240" s="1673"/>
      <c r="K240" s="1678">
        <f>D240</f>
        <v>1432</v>
      </c>
      <c r="L240" s="1586">
        <v>1450</v>
      </c>
    </row>
    <row r="241" spans="1:12" x14ac:dyDescent="0.2">
      <c r="A241" s="1274" t="s">
        <v>810</v>
      </c>
      <c r="B241" s="503">
        <v>2220</v>
      </c>
      <c r="C241" s="1673"/>
      <c r="D241" s="1573">
        <v>13932</v>
      </c>
      <c r="E241" s="1673"/>
      <c r="F241" s="1673"/>
      <c r="G241" s="1673"/>
      <c r="H241" s="1673"/>
      <c r="I241" s="1673"/>
      <c r="J241" s="1673"/>
      <c r="K241" s="1678">
        <f>D241</f>
        <v>13932</v>
      </c>
      <c r="L241" s="1573">
        <v>14400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15364</v>
      </c>
      <c r="E243" s="1673"/>
      <c r="F243" s="1673"/>
      <c r="G243" s="1673"/>
      <c r="H243" s="1673"/>
      <c r="I243" s="1673"/>
      <c r="J243" s="1673"/>
      <c r="K243" s="1674">
        <f>SUM(K240:K242)</f>
        <v>15364</v>
      </c>
      <c r="L243" s="1674">
        <f>SUM(L240:L242)</f>
        <v>15850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436</v>
      </c>
      <c r="E245" s="1673"/>
      <c r="F245" s="1673"/>
      <c r="G245" s="1673"/>
      <c r="H245" s="1673"/>
      <c r="I245" s="1673"/>
      <c r="J245" s="1673"/>
      <c r="K245" s="1678">
        <f>D245</f>
        <v>436</v>
      </c>
      <c r="L245" s="1586">
        <v>460</v>
      </c>
    </row>
    <row r="246" spans="1:12" x14ac:dyDescent="0.2">
      <c r="A246" s="1274" t="s">
        <v>813</v>
      </c>
      <c r="B246" s="503">
        <v>2320</v>
      </c>
      <c r="C246" s="1673"/>
      <c r="D246" s="1573">
        <v>13373</v>
      </c>
      <c r="E246" s="1673"/>
      <c r="F246" s="1673"/>
      <c r="G246" s="1673"/>
      <c r="H246" s="1673"/>
      <c r="I246" s="1673"/>
      <c r="J246" s="1673"/>
      <c r="K246" s="1678">
        <f t="shared" ref="K246:K256" si="21">D246</f>
        <v>13373</v>
      </c>
      <c r="L246" s="1573">
        <v>13600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13809</v>
      </c>
      <c r="E257" s="1673"/>
      <c r="F257" s="1673"/>
      <c r="G257" s="1673"/>
      <c r="H257" s="1673"/>
      <c r="I257" s="1673"/>
      <c r="J257" s="1673"/>
      <c r="K257" s="1674">
        <f>SUM(K245:K256)</f>
        <v>13809</v>
      </c>
      <c r="L257" s="1674">
        <f>SUM(L245:L256)</f>
        <v>14060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38072</v>
      </c>
      <c r="E259" s="1673"/>
      <c r="F259" s="1673"/>
      <c r="G259" s="1673"/>
      <c r="H259" s="1673"/>
      <c r="I259" s="1673"/>
      <c r="J259" s="1673"/>
      <c r="K259" s="1678">
        <f>D259</f>
        <v>38072</v>
      </c>
      <c r="L259" s="1586">
        <v>39470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38072</v>
      </c>
      <c r="E261" s="1673"/>
      <c r="F261" s="1673"/>
      <c r="G261" s="1673"/>
      <c r="H261" s="1673"/>
      <c r="I261" s="1673"/>
      <c r="J261" s="1673"/>
      <c r="K261" s="1674">
        <f>SUM(K259:K260)</f>
        <v>38072</v>
      </c>
      <c r="L261" s="1674">
        <f>SUM(L259:L260)</f>
        <v>39470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26574</v>
      </c>
      <c r="E264" s="1673"/>
      <c r="F264" s="1673"/>
      <c r="G264" s="1673"/>
      <c r="H264" s="1673"/>
      <c r="I264" s="1673"/>
      <c r="J264" s="1673"/>
      <c r="K264" s="1678">
        <f t="shared" ref="K264:K269" si="22">D264</f>
        <v>26574</v>
      </c>
      <c r="L264" s="1573">
        <v>26600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58824</v>
      </c>
      <c r="E266" s="1673"/>
      <c r="F266" s="1673"/>
      <c r="G266" s="1673"/>
      <c r="H266" s="1673"/>
      <c r="I266" s="1673"/>
      <c r="J266" s="1673"/>
      <c r="K266" s="1678">
        <f t="shared" si="22"/>
        <v>58824</v>
      </c>
      <c r="L266" s="1573">
        <v>57300</v>
      </c>
    </row>
    <row r="267" spans="1:14" x14ac:dyDescent="0.2">
      <c r="A267" s="1274" t="s">
        <v>947</v>
      </c>
      <c r="B267" s="503">
        <v>2550</v>
      </c>
      <c r="C267" s="1673"/>
      <c r="D267" s="1573">
        <v>51592</v>
      </c>
      <c r="E267" s="1673"/>
      <c r="F267" s="1673"/>
      <c r="G267" s="1673"/>
      <c r="H267" s="1673"/>
      <c r="I267" s="1673"/>
      <c r="J267" s="1673"/>
      <c r="K267" s="1678">
        <f t="shared" si="22"/>
        <v>51592</v>
      </c>
      <c r="L267" s="1573">
        <v>57500</v>
      </c>
    </row>
    <row r="268" spans="1:14" x14ac:dyDescent="0.2">
      <c r="A268" s="1274" t="s">
        <v>100</v>
      </c>
      <c r="B268" s="503">
        <v>2560</v>
      </c>
      <c r="C268" s="1673"/>
      <c r="D268" s="1573">
        <v>1571</v>
      </c>
      <c r="E268" s="1673"/>
      <c r="F268" s="1673"/>
      <c r="G268" s="1673"/>
      <c r="H268" s="1673"/>
      <c r="I268" s="1673"/>
      <c r="J268" s="1673"/>
      <c r="K268" s="1678">
        <f t="shared" si="22"/>
        <v>1571</v>
      </c>
      <c r="L268" s="1573">
        <v>1900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138561</v>
      </c>
      <c r="E270" s="1673"/>
      <c r="F270" s="1673"/>
      <c r="G270" s="1673"/>
      <c r="H270" s="1673"/>
      <c r="I270" s="1673"/>
      <c r="J270" s="1673"/>
      <c r="K270" s="1674">
        <f>SUM(K263:K269)</f>
        <v>138561</v>
      </c>
      <c r="L270" s="1674">
        <f>SUM(L263:L269)</f>
        <v>143300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4090</v>
      </c>
      <c r="E274" s="1673"/>
      <c r="F274" s="1673"/>
      <c r="G274" s="1673"/>
      <c r="H274" s="1673"/>
      <c r="I274" s="1673"/>
      <c r="J274" s="1673"/>
      <c r="K274" s="1678">
        <f>D274</f>
        <v>4090</v>
      </c>
      <c r="L274" s="1573">
        <v>4300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4090</v>
      </c>
      <c r="E277" s="1673"/>
      <c r="F277" s="1673"/>
      <c r="G277" s="1673"/>
      <c r="H277" s="1673"/>
      <c r="I277" s="1673"/>
      <c r="J277" s="1673"/>
      <c r="K277" s="1674">
        <f>SUM(K272:K276)</f>
        <v>4090</v>
      </c>
      <c r="L277" s="1674">
        <f>SUM(L272:L276)</f>
        <v>4300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223353</v>
      </c>
      <c r="E279" s="1673"/>
      <c r="F279" s="1673"/>
      <c r="G279" s="1673"/>
      <c r="H279" s="1673"/>
      <c r="I279" s="1673"/>
      <c r="J279" s="1673"/>
      <c r="K279" s="1681">
        <f>SUM(K238,K243,K257,K261,K270,K277,K278)</f>
        <v>223353</v>
      </c>
      <c r="L279" s="1681">
        <f>SUM(L238,L243,L257,L261,L270,L277,L278)</f>
        <v>231740</v>
      </c>
    </row>
    <row r="280" spans="1:12" ht="15.75" customHeight="1" thickTop="1" thickBot="1" x14ac:dyDescent="0.25">
      <c r="A280" s="1362" t="s">
        <v>870</v>
      </c>
      <c r="B280" s="1351">
        <v>3000</v>
      </c>
      <c r="C280" s="1673"/>
      <c r="D280" s="1651">
        <v>34041</v>
      </c>
      <c r="E280" s="1673"/>
      <c r="F280" s="1673"/>
      <c r="G280" s="1673"/>
      <c r="H280" s="1673"/>
      <c r="I280" s="1673"/>
      <c r="J280" s="1673"/>
      <c r="K280" s="1687">
        <f>D280</f>
        <v>34041</v>
      </c>
      <c r="L280" s="1651">
        <v>35700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01" t="s">
        <v>502</v>
      </c>
      <c r="B295" s="2302"/>
      <c r="C295" s="1673"/>
      <c r="D295" s="1674">
        <f>SUM(D229,D279,D280,D285)</f>
        <v>429855</v>
      </c>
      <c r="E295" s="1673"/>
      <c r="F295" s="1673"/>
      <c r="G295" s="1673"/>
      <c r="H295" s="1674">
        <f>H293</f>
        <v>0</v>
      </c>
      <c r="I295" s="1673"/>
      <c r="J295" s="1673"/>
      <c r="K295" s="1674">
        <f>SUM(K229,K279,K280,K285,K293,K294)</f>
        <v>429855</v>
      </c>
      <c r="L295" s="1674">
        <f>SUM(L229,L279,L280,L285,L293,L294)</f>
        <v>450695</v>
      </c>
    </row>
    <row r="296" spans="1:14" ht="13.5" thickTop="1" x14ac:dyDescent="0.2">
      <c r="A296" s="2283" t="s">
        <v>989</v>
      </c>
      <c r="B296" s="2284"/>
      <c r="C296" s="1673"/>
      <c r="D296" s="1675"/>
      <c r="E296" s="1673"/>
      <c r="F296" s="1673"/>
      <c r="G296" s="1673"/>
      <c r="H296" s="1707"/>
      <c r="I296" s="1673"/>
      <c r="J296" s="1673"/>
      <c r="K296" s="1689">
        <f>'Revenues 9-14'!G268-'Expenditures 15-22'!K295</f>
        <v>71192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3" t="s">
        <v>142</v>
      </c>
      <c r="B298" s="228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175457</v>
      </c>
      <c r="F301" s="1573">
        <v>0</v>
      </c>
      <c r="G301" s="1573">
        <v>4500155</v>
      </c>
      <c r="H301" s="1573">
        <v>0</v>
      </c>
      <c r="I301" s="1574">
        <v>0</v>
      </c>
      <c r="J301" s="1574">
        <v>0</v>
      </c>
      <c r="K301" s="1672">
        <f>SUM(C301:J301)</f>
        <v>4675612</v>
      </c>
      <c r="L301" s="1574">
        <v>4168302</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175457</v>
      </c>
      <c r="F303" s="1681">
        <f t="shared" si="23"/>
        <v>0</v>
      </c>
      <c r="G303" s="1681">
        <f t="shared" si="23"/>
        <v>4500155</v>
      </c>
      <c r="H303" s="1681">
        <f t="shared" si="23"/>
        <v>0</v>
      </c>
      <c r="I303" s="1681">
        <f t="shared" si="23"/>
        <v>0</v>
      </c>
      <c r="J303" s="1681">
        <f t="shared" si="23"/>
        <v>0</v>
      </c>
      <c r="K303" s="1681">
        <f t="shared" si="23"/>
        <v>4675612</v>
      </c>
      <c r="L303" s="1681">
        <f t="shared" si="23"/>
        <v>4168302</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8" t="s">
        <v>275</v>
      </c>
      <c r="B312" s="2299"/>
      <c r="C312" s="1674">
        <f>SUM(C303)</f>
        <v>0</v>
      </c>
      <c r="D312" s="1674">
        <f>SUM(D303)</f>
        <v>0</v>
      </c>
      <c r="E312" s="1674">
        <f>SUM(E303,E310)</f>
        <v>175457</v>
      </c>
      <c r="F312" s="1674">
        <f>SUM(F303)</f>
        <v>0</v>
      </c>
      <c r="G312" s="1674">
        <f>SUM(G303)</f>
        <v>4500155</v>
      </c>
      <c r="H312" s="1674">
        <f>SUM(H303,H310)</f>
        <v>0</v>
      </c>
      <c r="I312" s="1674">
        <f>SUM(I303)</f>
        <v>0</v>
      </c>
      <c r="J312" s="1674">
        <f>SUM(J303)</f>
        <v>0</v>
      </c>
      <c r="K312" s="1674">
        <f>SUM(K303,K310,K311)</f>
        <v>4675612</v>
      </c>
      <c r="L312" s="1674">
        <f>SUM(L303,L310,L311)</f>
        <v>4168302</v>
      </c>
      <c r="M312" s="539"/>
      <c r="N312" s="539"/>
    </row>
    <row r="313" spans="1:14" ht="13.5" thickTop="1" x14ac:dyDescent="0.2">
      <c r="A313" s="2294" t="s">
        <v>989</v>
      </c>
      <c r="B313" s="2295"/>
      <c r="C313" s="1677"/>
      <c r="D313" s="1677"/>
      <c r="E313" s="1677"/>
      <c r="F313" s="1677"/>
      <c r="G313" s="1677"/>
      <c r="H313" s="1677"/>
      <c r="I313" s="1677"/>
      <c r="J313" s="1677"/>
      <c r="K313" s="1696">
        <f>'Revenues 9-14'!H268-'Expenditures 15-22'!K312</f>
        <v>-4621784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7" t="s">
        <v>148</v>
      </c>
      <c r="B315" s="230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9" t="s">
        <v>892</v>
      </c>
      <c r="B317" s="230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96" t="s">
        <v>989</v>
      </c>
      <c r="B343" s="229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6" t="s">
        <v>960</v>
      </c>
      <c r="B345" s="228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3" t="s">
        <v>989</v>
      </c>
      <c r="B368" s="2284"/>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purl.org/dc/elements/1.1/"/>
    <ds:schemaRef ds:uri="http://schemas.microsoft.com/office/2006/metadata/properties"/>
    <ds:schemaRef ds:uri="http://schemas.microsoft.com/office/2006/documentManagement/types"/>
    <ds:schemaRef ds:uri="http://purl.org/dc/dcmitype/"/>
    <ds:schemaRef ds:uri="6ce3111e-7420-4802-b50a-75d4e9a0b980"/>
    <ds:schemaRef ds:uri="http://purl.org/dc/terms/"/>
    <ds:schemaRef ds:uri="http://schemas.openxmlformats.org/package/2006/metadata/core-properties"/>
    <ds:schemaRef ds:uri="http://schemas.microsoft.com/office/infopath/2007/PartnerControl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2020 - 001</vt:lpstr>
      <vt:lpstr>SF&amp;QC Sec-3</vt:lpstr>
      <vt:lpstr>SSPAF</vt:lpstr>
      <vt:lpstr>CAP 2020 - 001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2020-10-09T18:41:43Z</cp:lastPrinted>
  <dcterms:created xsi:type="dcterms:W3CDTF">2003-10-29T19:06:34Z</dcterms:created>
  <dcterms:modified xsi:type="dcterms:W3CDTF">2020-10-19T14:57:32Z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