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2852C2-EE1E-48C1-82A7-6A9894769B2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F34" i="34"/>
  <c r="B7826" i="106" s="1"/>
  <c r="D7826" i="106" s="1"/>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15" i="184"/>
  <c r="G33" i="108"/>
  <c r="E17" i="184"/>
  <c r="H17" i="184" s="1"/>
  <c r="H12" i="184"/>
  <c r="E19"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E367" i="29"/>
  <c r="B3635" i="106"/>
  <c r="B7220" i="106"/>
  <c r="D7220" i="106" s="1"/>
  <c r="F75" i="34"/>
  <c r="B7886" i="106" s="1"/>
  <c r="D7886" i="106" s="1"/>
  <c r="B7222" i="106"/>
  <c r="D7222" i="106" s="1"/>
  <c r="F76" i="34"/>
  <c r="B7887" i="106" s="1"/>
  <c r="D7887" i="106" s="1"/>
  <c r="B7235" i="106"/>
  <c r="D7235" i="106" s="1"/>
  <c r="H19" i="184"/>
  <c r="L20" i="184" s="1"/>
  <c r="N57" i="184"/>
  <c r="N68" i="184" s="1"/>
  <c r="E68" i="184"/>
  <c r="L16" i="11"/>
  <c r="B2061" i="106" s="1"/>
  <c r="D2061" i="106" s="1"/>
  <c r="B2031" i="106"/>
  <c r="D203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K17" i="4"/>
  <c r="F77" i="3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<sst xmlns="http://schemas.openxmlformats.org/spreadsheetml/2006/main" count="5332" uniqueCount="2160">
  <si>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</si>
  <si>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</si>
  <si>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</si>
  <si>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</si>
  <si>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</si>
  <si>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</si>
  <si>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</si>
  <si>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</si>
  <si>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</si>
  <si>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</si>
  <si>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</si>
  <si>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</si>
  <si>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</si>
  <si>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</si>
  <si>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</si>
  <si>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</si>
  <si>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</si>
  <si>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</si>
  <si>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</si>
  <si>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</si>
  <si>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</si>
  <si>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</si>
  <si>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</si>
  <si>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</si>
  <si>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</si>
  <si>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</si>
  <si>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</si>
  <si>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</si>
  <si>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</si>
  <si>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</si>
  <si>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</si>
  <si>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</si>
  <si>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</si>
  <si>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</si>
  <si>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</si>
  <si>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</si>
  <si>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</si>
  <si>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</si>
  <si>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</si>
  <si>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</si>
  <si>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</si>
  <si>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</si>
  <si>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</si>
  <si>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</si>
  <si>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</si>
  <si>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</si>
  <si>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</si>
  <si>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</si>
  <si>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</si>
  <si>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</si>
  <si>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</si>
  <si>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</si>
  <si>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</si>
  <si>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</si>
  <si>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</si>
  <si>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</si>
  <si>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</si>
  <si>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</si>
  <si>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</si>
  <si>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</si>
  <si>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</si>
  <si>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</si>
  <si>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</si>
  <si>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</si>
  <si>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</si>
  <si>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</si>
  <si>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</si>
  <si>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</si>
  <si>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</si>
  <si>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</si>
  <si>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</si>
  <si>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</si>
  <si>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</si>
  <si>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</si>
  <si>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</si>
  <si>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</si>
  <si>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</si>
  <si>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</si>
  <si>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</si>
  <si>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</si>
  <si>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</si>
  <si>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</si>
  <si>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</si>
  <si>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</si>
  <si>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</si>
  <si>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</si>
  <si>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</si>
  <si>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</si>
  <si>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</si>
  <si>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</si>
  <si>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</si>
  <si>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</si>
  <si>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</si>
  <si>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</si>
  <si>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</si>
  <si>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</si>
  <si>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</si>
  <si>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</si>
  <si>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</si>
  <si>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</si>
  <si>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</si>
  <si>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</si>
  <si>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</si>
  <si>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</si>
  <si>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</si>
  <si>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</si>
  <si>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</si>
  <si>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</si>
  <si>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</si>
  <si>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</si>
  <si>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</si>
  <si>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</si>
  <si>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</si>
  <si>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</si>
  <si>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</si>
  <si>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</si>
  <si>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</si>
  <si>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</si>
  <si>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</si>
  <si>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</si>
  <si>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</si>
  <si>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</si>
  <si>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</si>
  <si>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</si>
  <si>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</si>
  <si>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</si>
  <si>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</si>
  <si>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</si>
  <si>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</si>
  <si>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</si>
  <si>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</si>
  <si>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</si>
  <si>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</si>
  <si>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</si>
  <si>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</si>
  <si>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</si>
  <si>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</si>
  <si>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</si>
  <si>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</si>
  <si>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</si>
  <si>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</si>
  <si>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</si>
  <si>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</si>
  <si>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</si>
  <si>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</si>
  <si>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</si>
  <si>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</si>
  <si>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</si>
  <si>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</si>
  <si>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</si>
  <si>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</si>
  <si>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</si>
  <si>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</si>
  <si>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</si>
  <si>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</si>
  <si>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</si>
  <si>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</si>
  <si>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</si>
  <si>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</si>
  <si>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</si>
  <si>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</si>
  <si>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</si>
  <si>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</si>
  <si>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</si>
  <si>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</si>
  <si>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</si>
  <si>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</si>
  <si>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</si>
  <si>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</si>
  <si>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</si>
  <si>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</si>
  <si>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</si>
  <si>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</si>
  <si>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</si>
  <si>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</si>
  <si>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</si>
  <si>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</si>
  <si>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</si>
  <si>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</si>
  <si>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</si>
  <si>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</si>
  <si>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</si>
  <si>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</si>
  <si>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</si>
  <si>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</si>
  <si>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</si>
  <si>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</si>
  <si>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</si>
  <si>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</si>
  <si>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</si>
  <si>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</si>
  <si>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</si>
  <si>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</si>
  <si>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</si>
  <si>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</si>
  <si>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</si>
  <si>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</si>
  <si>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</si>
  <si>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</si>
  <si>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</si>
  <si>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</si>
  <si>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</si>
  <si>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</si>
  <si>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</si>
  <si>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</si>
  <si>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</si>
  <si>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</si>
  <si>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</si>
  <si>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</si>
  <si>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</si>
  <si>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</si>
  <si>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</si>
  <si>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</si>
  <si>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</si>
  <si>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</si>
  <si>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</si>
  <si>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</si>
  <si>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</si>
  <si>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</si>
  <si>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</si>
  <si>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</si>
  <si>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</si>
  <si>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</si>
  <si>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</si>
  <si>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</si>
  <si>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</si>
  <si>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</si>
  <si>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</si>
  <si>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</si>
  <si>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</si>
  <si>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</si>
  <si>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</si>
  <si>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</si>
  <si>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</si>
  <si>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</si>
  <si>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</si>
  <si>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</si>
  <si>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</si>
  <si>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</si>
  <si>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</si>
  <si>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</si>
  <si>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</si>
  <si>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</si>
  <si>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</si>
  <si>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</si>
  <si>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</si>
  <si>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</si>
  <si>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</si>
  <si>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</si>
  <si>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</si>
  <si>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</si>
  <si>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</si>
  <si>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</si>
  <si>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</si>
  <si>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</si>
  <si>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</si>
  <si>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</si>
  <si>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</si>
  <si>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</si>
  <si>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</si>
  <si>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</si>
  <si>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</si>
  <si>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</si>
  <si>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</si>
  <si>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</si>
  <si>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</si>
  <si>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</si>
  <si>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</si>
  <si>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</si>
  <si>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</si>
  <si>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</si>
  <si>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</si>
  <si>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</si>
  <si>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</si>
  <si>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</si>
  <si>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</si>
  <si>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</si>
  <si>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</si>
  <si>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</si>
  <si>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</si>
  <si>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</si>
  <si>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</si>
  <si>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</si>
  <si>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</si>
  <si>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</si>
  <si>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</si>
  <si>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</si>
  <si>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</si>
  <si>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</si>
  <si>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</si>
  <si>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</si>
  <si>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</si>
  <si>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</si>
  <si>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</si>
  <si>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</si>
  <si>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</si>
  <si>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</si>
  <si>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</si>
  <si>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</si>
  <si>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</si>
  <si>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</si>
  <si>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</si>
  <si>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</si>
  <si>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</si>
  <si>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</si>
  <si>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</si>
  <si>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</si>
  <si>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</si>
  <si>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</si>
  <si>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</si>
  <si>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</si>
  <si>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</si>
  <si>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</si>
  <si>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</si>
  <si>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</si>
  <si>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</si>
  <si>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</si>
  <si>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</si>
  <si>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</si>
  <si>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</si>
  <si>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</si>
  <si>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</si>
  <si>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</si>
  <si>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</si>
  <si>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</si>
  <si>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</si>
  <si>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</si>
  <si>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</si>
  <si>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</si>
  <si>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</si>
  <si>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</si>
  <si>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</si>
  <si>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</si>
  <si>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</si>
  <si>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</si>
  <si>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</si>
  <si>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</si>
  <si>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</si>
  <si>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</si>
  <si>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</si>
  <si>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</si>
  <si>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</si>
  <si>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</si>
  <si>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</si>
  <si>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</si>
  <si>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</si>
  <si>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</si>
  <si>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</si>
  <si>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</si>
  <si>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</si>
  <si>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</si>
  <si>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</si>
  <si>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</si>
  <si>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</si>
  <si>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</si>
  <si>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</si>
  <si>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</si>
  <si>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</si>
  <si>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</si>
  <si>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</si>
  <si>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</si>
  <si>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</si>
  <si>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</si>
  <si>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</si>
  <si>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</si>
  <si>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</si>
  <si>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</si>
  <si>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</si>
  <si>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</si>
  <si>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</si>
  <si>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</si>
  <si>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</si>
  <si>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</si>
  <si>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</si>
  <si>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</si>
  <si>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</si>
  <si>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</si>
  <si>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</si>
  <si>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</si>
  <si>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</si>
  <si>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</si>
  <si>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</si>
  <si>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</si>
  <si>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</si>
  <si>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</si>
  <si>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</si>
  <si>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</si>
  <si>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</si>
  <si>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</si>
  <si>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</si>
  <si>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</si>
  <si>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</si>
  <si>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</si>
  <si>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</si>
  <si>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</si>
  <si>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</si>
  <si>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</si>
  <si>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</si>
  <si>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</si>
  <si>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</si>
  <si>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</si>
  <si>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</si>
  <si>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</si>
  <si>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</si>
  <si>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</si>
  <si>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</si>
  <si>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</si>
  <si>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</si>
  <si>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</si>
  <si>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</si>
  <si>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</si>
  <si>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</si>
  <si>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</si>
  <si>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</si>
  <si>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</si>
  <si>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</si>
  <si>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</si>
  <si>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</si>
  <si>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</si>
  <si>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</si>
  <si>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</si>
  <si>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</si>
  <si>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</si>
  <si>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</si>
  <si>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</si>
  <si>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</si>
  <si>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</si>
  <si>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</si>
  <si>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</si>
  <si>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</si>
  <si>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</si>
  <si>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</si>
  <si>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</si>
  <si>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</si>
  <si>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</si>
  <si>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</si>
  <si>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</si>
  <si>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</si>
  <si>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</si>
  <si>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</si>
  <si>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</si>
  <si>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</si>
  <si>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</si>
  <si>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</si>
  <si>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</si>
  <si>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</si>
  <si>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</si>
  <si>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</si>
  <si>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</si>
  <si>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</si>
  <si>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</si>
  <si>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</si>
  <si>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</si>
  <si>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</si>
  <si>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</si>
  <si>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</si>
  <si>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</si>
  <si>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</si>
  <si>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</si>
  <si>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</si>
  <si>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</si>
  <si>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</si>
  <si>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</si>
  <si>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</si>
  <si>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</si>
  <si>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</si>
  <si>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</si>
  <si>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</si>
  <si>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</si>
  <si>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</si>
  <si>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</si>
  <si>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</si>
  <si>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</si>
  <si>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</si>
  <si>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</si>
  <si>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</si>
  <si>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</si>
  <si>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</si>
  <si>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</si>
  <si>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</si>
  <si>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</si>
  <si>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</si>
  <si>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</si>
  <si>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</si>
  <si>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</si>
  <si>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</si>
  <si>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</si>
  <si>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</si>
  <si>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</si>
  <si>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</si>
  <si>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</si>
  <si>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</si>
  <si>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</si>
  <si>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</si>
  <si>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</si>
  <si>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</si>
  <si>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</si>
  <si>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</si>
  <si>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</si>
  <si>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</si>
  <si>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</si>
  <si>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</si>
  <si>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</si>
  <si>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</si>
  <si>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</si>
  <si>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</si>
  <si>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</si>
  <si>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</si>
  <si>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</si>
  <si>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</si>
  <si>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</si>
  <si>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</si>
  <si>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</si>
  <si>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</si>
  <si>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</si>
  <si>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</si>
  <si>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</si>
  <si>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</si>
  <si>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</si>
  <si>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</si>
  <si>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</si>
  <si>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</si>
  <si>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</si>
  <si>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</si>
  <si>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</si>
  <si>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</si>
  <si>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</si>
  <si>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</si>
  <si>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</si>
  <si>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</si>
  <si>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</si>
  <si>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</si>
  <si>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</si>
  <si>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</si>
  <si>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</si>
  <si>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</si>
  <si>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</si>
  <si>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</si>
  <si>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</si>
  <si>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</si>
  <si>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</si>
  <si>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</si>
  <si>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</si>
  <si>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</si>
  <si>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</si>
  <si>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</si>
  <si>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</si>
  <si>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</si>
  <si>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</si>
  <si>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</si>
  <si>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</si>
  <si>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</si>
  <si>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</si>
  <si>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</si>
  <si>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</si>
  <si>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</si>
  <si>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</si>
  <si>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</si>
  <si>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</si>
  <si>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</si>
  <si>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</si>
  <si>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</si>
  <si>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</si>
  <si>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</si>
  <si>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</si>
  <si>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</si>
  <si>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</si>
  <si>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</si>
  <si>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</si>
  <si>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</si>
  <si>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</si>
  <si>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</si>
  <si>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</si>
  <si>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</si>
  <si>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</si>
  <si>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</si>
  <si>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</si>
  <si>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</si>
  <si>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</si>
  <si>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</si>
  <si>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</si>
  <si>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</si>
  <si>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</si>
  <si>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</si>
  <si>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</si>
  <si>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</si>
  <si>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</si>
  <si>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</si>
  <si>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</si>
  <si>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</si>
  <si>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</si>
  <si>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</si>
  <si>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</si>
  <si>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</si>
  <si>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</si>
  <si>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</si>
  <si>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</si>
  <si>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</si>
  <si>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</si>
  <si>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</si>
  <si>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</si>
  <si>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</si>
  <si>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</si>
  <si>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</si>
  <si>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</si>
  <si>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</si>
  <si>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</si>
  <si>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</si>
  <si>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</si>
  <si>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</si>
  <si>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</si>
  <si>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</si>
  <si>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</si>
  <si>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</si>
  <si>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</si>
  <si>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</si>
  <si>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</si>
  <si>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</si>
  <si>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</si>
  <si>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</si>
  <si>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</si>
  <si>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</si>
  <si>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</si>
  <si>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</si>
  <si>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</si>
  <si>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</si>
  <si>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</si>
  <si>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</si>
  <si>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</si>
  <si>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</si>
  <si>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</si>
  <si>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</si>
  <si>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</si>
  <si>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</si>
  <si>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</si>
  <si>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</si>
  <si>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</si>
  <si>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</si>
  <si>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</si>
  <si>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</si>
  <si>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</si>
  <si>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</si>
  <si>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</si>
  <si>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</si>
  <si>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</si>
  <si>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</si>
  <si>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</si>
  <si>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</si>
  <si>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</si>
  <si>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</si>
  <si>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</si>
  <si>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</si>
  <si>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</si>
  <si>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</si>
  <si>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</si>
  <si>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</si>
  <si>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</si>
  <si>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</si>
  <si>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</si>
  <si>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</si>
  <si>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</si>
  <si>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</si>
  <si>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</si>
  <si>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</si>
  <si>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</si>
  <si>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</si>
  <si>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</si>
  <si>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</si>
  <si>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</si>
  <si>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</si>
  <si>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</si>
  <si>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</si>
  <si>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</si>
  <si>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</si>
  <si>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</si>
  <si>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</si>
  <si>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</si>
  <si>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</si>
  <si>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</si>
  <si>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</si>
  <si>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</si>
  <si>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</si>
  <si>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</si>
  <si>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</si>
  <si>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</si>
  <si>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</si>
  <si>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</si>
  <si>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</si>
  <si>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</si>
  <si>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</si>
  <si>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</si>
  <si>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</si>
  <si>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</si>
  <si>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</si>
  <si>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</si>
  <si>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</si>
  <si>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</si>
  <si>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</si>
  <si>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</si>
  <si>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</si>
  <si>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</si>
  <si>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</si>
  <si>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</si>
  <si>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</si>
  <si>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</si>
  <si>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</si>
  <si>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</si>
  <si>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</si>
  <si>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</si>
  <si>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</si>
  <si>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</si>
  <si>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</si>
  <si>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</si>
  <si>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</si>
  <si>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</si>
  <si>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</si>
  <si>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</si>
  <si>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</si>
  <si>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</si>
  <si>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</si>
  <si>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</si>
  <si>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</si>
  <si>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</si>
  <si>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</si>
  <si>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</si>
  <si>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</si>
  <si>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</si>
  <si>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</si>
  <si>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</si>
  <si>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</si>
  <si>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</si>
  <si>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</si>
  <si>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</si>
  <si>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</si>
  <si>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</si>
  <si>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</si>
  <si>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</si>
  <si>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</si>
  <si>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</si>
  <si>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</si>
  <si>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</si>
  <si>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</si>
  <si>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</si>
  <si>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</si>
  <si>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</si>
  <si>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</si>
  <si>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</si>
  <si>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</si>
  <si>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</si>
  <si>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</si>
  <si>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</si>
  <si>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</si>
  <si>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</si>
  <si>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</si>
  <si>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</si>
  <si>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</si>
  <si>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</si>
  <si>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</si>
  <si>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</si>
  <si>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</si>
  <si>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</si>
  <si>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</si>
  <si>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</si>
  <si>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</si>
  <si>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</si>
  <si>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</si>
  <si>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</si>
  <si>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</si>
  <si>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</si>
  <si>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</si>
  <si>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</si>
  <si>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</si>
  <si>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</si>
  <si>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</si>
  <si>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</si>
  <si>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</si>
  <si>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</si>
  <si>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</si>
  <si>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</si>
  <si>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</si>
  <si>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</si>
  <si>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</si>
  <si>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</si>
  <si>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</si>
  <si>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</si>
  <si>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</si>
  <si>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</si>
  <si>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</si>
  <si>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</si>
  <si>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</si>
  <si>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</si>
  <si>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</si>
  <si>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</si>
  <si>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</si>
  <si>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</si>
  <si>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</si>
  <si>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</si>
  <si>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</si>
  <si>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</si>
  <si>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</si>
  <si>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</si>
  <si>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</si>
  <si>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</si>
  <si>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</si>
  <si>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</si>
  <si>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</si>
  <si>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</si>
  <si>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</si>
  <si>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</si>
  <si>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</si>
  <si>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</si>
  <si>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</si>
  <si>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</si>
  <si>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</si>
  <si>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</si>
  <si>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</si>
  <si>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</si>
  <si>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</si>
  <si>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</si>
  <si>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</si>
  <si>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</si>
  <si>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</si>
  <si>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</si>
  <si>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</si>
  <si>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</si>
  <si>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</si>
  <si>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</si>
  <si>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</si>
  <si>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</si>
  <si>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</si>
  <si>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</si>
  <si>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</si>
  <si>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</si>
  <si>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</si>
  <si>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</si>
  <si>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</si>
  <si>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</si>
  <si>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</si>
  <si>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</si>
  <si>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</si>
  <si>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</si>
  <si>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</si>
  <si>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</si>
  <si>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</si>
  <si>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</si>
  <si>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</si>
  <si>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</si>
  <si>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</si>
  <si>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</si>
  <si>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</si>
  <si>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</si>
  <si>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</si>
  <si>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</si>
  <si>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</si>
  <si>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</si>
  <si>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</si>
  <si>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</si>
  <si>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</si>
  <si>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</si>
  <si>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</si>
  <si>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</si>
  <si>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</si>
  <si>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</si>
  <si>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</si>
  <si>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</si>
  <si>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</si>
  <si>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</si>
  <si>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</si>
  <si>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</si>
  <si>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</si>
  <si>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</si>
  <si>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</si>
  <si>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</si>
  <si>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</si>
  <si>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</si>
  <si>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</si>
  <si>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</si>
  <si>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</si>
  <si>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</si>
  <si>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</si>
  <si>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</si>
  <si>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</si>
  <si>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</si>
  <si>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</si>
  <si>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</si>
  <si>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</si>
  <si>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</si>
  <si>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</si>
  <si>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</si>
  <si>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</si>
  <si>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</si>
  <si>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</si>
  <si>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</si>
  <si>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</si>
  <si>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</si>
  <si>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</si>
  <si>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</si>
  <si>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</si>
  <si>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</si>
  <si>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</si>
  <si>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</si>
  <si>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</si>
  <si>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</si>
  <si>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</si>
  <si>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</si>
  <si>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</si>
  <si>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</si>
  <si>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</si>
  <si>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</si>
  <si>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</si>
  <si>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</si>
  <si>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</si>
  <si>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</si>
  <si>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</si>
  <si>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</si>
  <si>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</si>
  <si>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</si>
  <si>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</si>
  <si>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</si>
  <si>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</si>
  <si>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</si>
  <si>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</si>
  <si>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</si>
  <si>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</si>
  <si>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</si>
  <si>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</si>
  <si>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</si>
  <si>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</si>
  <si>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</si>
  <si>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</si>
  <si>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</si>
  <si>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</si>
  <si>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</si>
  <si>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</si>
  <si>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</si>
  <si>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</si>
  <si>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</si>
  <si>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</si>
  <si>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</si>
  <si>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</si>
  <si>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</si>
  <si>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</si>
  <si>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</si>
  <si>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</si>
  <si>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</si>
  <si>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</si>
  <si>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</si>
  <si>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</si>
  <si>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</si>
  <si>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</si>
  <si>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</si>
  <si>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</si>
  <si>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</si>
  <si>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</si>
  <si>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</si>
  <si>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</si>
  <si>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</si>
  <si>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</si>
  <si>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</si>
  <si>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</si>
  <si>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</si>
  <si>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</si>
  <si>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</si>
  <si>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</si>
  <si>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</si>
  <si>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</si>
  <si>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</si>
  <si>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</si>
  <si>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</si>
  <si>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</si>
  <si>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</si>
  <si>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</si>
  <si>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</si>
  <si>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</si>
  <si>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</si>
  <si>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</si>
  <si>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</si>
  <si>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</si>
  <si>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</si>
  <si>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</si>
  <si>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</si>
  <si>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</si>
  <si>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</si>
  <si>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</si>
  <si>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</si>
  <si>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</si>
  <si>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</si>
  <si>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</si>
  <si>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</si>
  <si>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</si>
  <si>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</si>
  <si>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</si>
  <si>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</si>
  <si>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</si>
  <si>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</si>
  <si>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</si>
  <si>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</si>
  <si>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</si>
  <si>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</si>
  <si>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</si>
  <si>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</si>
  <si>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</si>
  <si>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</si>
  <si>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</si>
  <si>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</si>
  <si>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</si>
  <si>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</si>
  <si>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</si>
  <si>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</si>
  <si>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</si>
  <si>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</si>
  <si>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</si>
  <si>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</si>
  <si>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</si>
  <si>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</si>
  <si>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</si>
  <si>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</si>
  <si>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</si>
  <si>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</si>
  <si>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</si>
  <si>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</si>
  <si>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</si>
  <si>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</si>
  <si>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</si>
  <si>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</si>
  <si>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</si>
  <si>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</si>
  <si>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</si>
  <si>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</si>
  <si>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</si>
  <si>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</si>
  <si>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</si>
  <si>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</si>
  <si>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</si>
  <si>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</si>
  <si>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</si>
  <si>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</si>
  <si>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</si>
  <si>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</si>
  <si>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</si>
  <si>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</si>
  <si>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</si>
  <si>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</si>
  <si>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</si>
  <si>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</si>
  <si>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</si>
  <si>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</si>
  <si>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</si>
  <si>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</si>
  <si>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</si>
  <si>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</si>
  <si>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</si>
  <si>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</si>
  <si>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</si>
  <si>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</si>
  <si>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</si>
  <si>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</si>
  <si>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</si>
  <si>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</si>
  <si>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</si>
  <si>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</si>
  <si>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</si>
  <si>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</si>
  <si>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</si>
  <si>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</si>
  <si>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</si>
  <si>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</si>
  <si>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</si>
  <si>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</si>
  <si>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</si>
  <si>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</si>
  <si>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</si>
  <si>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</si>
  <si>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</si>
  <si>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</si>
  <si>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</si>
  <si>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</si>
  <si>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</si>
  <si>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</si>
  <si>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</si>
  <si>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</si>
  <si>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</si>
  <si>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</si>
  <si>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</si>
  <si>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</si>
  <si>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</si>
  <si>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</si>
  <si>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</si>
  <si>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</si>
  <si>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</si>
  <si>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</si>
  <si>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</si>
  <si>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</si>
  <si>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</si>
  <si>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</si>
  <si>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</si>
  <si>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</si>
  <si>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</si>
  <si>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</si>
  <si>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</si>
  <si>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</si>
  <si>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</si>
  <si>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</si>
  <si>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</si>
  <si>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</si>
  <si>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</si>
  <si>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</si>
  <si>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</si>
  <si>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</si>
  <si>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</si>
  <si>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</si>
  <si>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</si>
  <si>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</si>
  <si>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</si>
  <si>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</si>
  <si>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</si>
  <si>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</si>
  <si>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</si>
  <si>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</si>
  <si>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</si>
  <si>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</si>
  <si>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</si>
  <si>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</si>
  <si>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</si>
  <si>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</si>
  <si>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</si>
  <si>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</si>
  <si>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</si>
  <si>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</si>
  <si>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</si>
  <si>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</si>
  <si>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</si>
  <si>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</si>
  <si>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</si>
  <si>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</si>
  <si>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</si>
  <si>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</si>
  <si>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</si>
  <si>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</si>
  <si>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</si>
  <si>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</si>
  <si>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</si>
  <si>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</si>
  <si>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</si>
  <si>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</si>
  <si>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</si>
  <si>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</si>
  <si>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</si>
  <si>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</si>
  <si>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</si>
  <si>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</si>
  <si>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</si>
  <si>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</si>
  <si>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</si>
  <si>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</si>
  <si>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</si>
  <si>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</si>
  <si>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</si>
  <si>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</si>
  <si>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</si>
  <si>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</si>
  <si>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</si>
  <si>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</si>
  <si>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</si>
  <si>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</si>
  <si>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</si>
  <si>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</si>
  <si>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</si>
  <si>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</si>
  <si>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</si>
  <si>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</si>
  <si>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</si>
  <si>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</si>
  <si>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</si>
  <si>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</si>
  <si>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</si>
  <si>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</si>
  <si>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</si>
  <si>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</si>
  <si>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</si>
  <si>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</si>
  <si>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</si>
  <si>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</si>
  <si>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</si>
  <si>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</si>
  <si>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</si>
  <si>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</si>
  <si>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</si>
  <si>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</si>
  <si>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</si>
  <si>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</si>
  <si>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</si>
  <si>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</si>
  <si>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</si>
  <si>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</si>
  <si>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</si>
  <si>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</si>
  <si>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</si>
  <si>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</si>
  <si>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</si>
  <si>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</si>
  <si>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</si>
  <si>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</si>
  <si>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</si>
  <si>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</si>
  <si>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</si>
  <si>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</si>
  <si>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</si>
  <si>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</si>
  <si>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</si>
  <si>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</si>
  <si>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</si>
  <si>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</si>
  <si>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</si>
  <si>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</si>
  <si>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</si>
  <si>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</si>
  <si>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</si>
  <si>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</si>
  <si>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</si>
  <si>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</si>
  <si>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</si>
  <si>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</si>
  <si>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</si>
  <si>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</si>
  <si>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</si>
  <si>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</si>
  <si>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</si>
  <si>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</si>
  <si>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</si>
  <si>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</si>
  <si>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</si>
  <si>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</si>
  <si>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</si>
  <si>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</si>
  <si>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</si>
  <si>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</si>
  <si>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</si>
  <si>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</si>
  <si>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</si>
  <si>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</si>
  <si>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</si>
  <si>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</si>
  <si>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</si>
  <si>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</si>
  <si>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</si>
  <si>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</si>
  <si>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</si>
  <si>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</si>
  <si>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</si>
  <si>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</si>
  <si>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</si>
  <si>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</si>
  <si>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</si>
  <si>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</si>
  <si>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</si>
  <si>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</si>
  <si>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</si>
  <si>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</si>
  <si>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</si>
  <si>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</si>
  <si>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</si>
  <si>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</si>
  <si>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</si>
  <si>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</si>
  <si>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</si>
  <si>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</si>
  <si>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</si>
  <si>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</si>
  <si>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</si>
  <si>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</si>
  <si>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</si>
  <si>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</si>
  <si>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</si>
  <si>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</si>
  <si>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</si>
  <si>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</si>
  <si>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</si>
  <si>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</si>
  <si>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</si>
  <si>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</si>
  <si>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</si>
  <si>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</si>
  <si>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</si>
  <si>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</si>
  <si>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</si>
  <si>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</si>
  <si>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</si>
  <si>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</si>
  <si>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</si>
  <si>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</si>
  <si>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</si>
  <si>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</si>
  <si>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</si>
  <si>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</si>
  <si>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</si>
  <si>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</si>
  <si>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</si>
  <si>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</si>
  <si>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</si>
  <si>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</si>
  <si>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</si>
  <si>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</si>
  <si>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</si>
  <si>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</si>
  <si>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</si>
  <si>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</si>
  <si>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</si>
  <si>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</si>
  <si>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</si>
  <si>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</si>
  <si>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</si>
  <si>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</si>
  <si>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</si>
  <si>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</si>
  <si>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</si>
  <si>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</si>
  <si>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</si>
  <si>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</si>
  <si>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</si>
  <si>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</si>
  <si>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</si>
  <si>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</si>
  <si>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</si>
  <si>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</si>
  <si>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</si>
  <si>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</si>
  <si>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</si>
  <si>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</si>
  <si>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</si>
  <si>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</si>
  <si>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</si>
  <si>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</si>
  <si>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</si>
  <si>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</si>
  <si>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</si>
  <si>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</si>
  <si>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</si>
  <si>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</si>
  <si>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</si>
  <si>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</si>
  <si>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</si>
  <si>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</si>
  <si>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</si>
  <si>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</si>
  <si>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</si>
  <si>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</si>
  <si>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</si>
  <si>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</si>
  <si>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</si>
  <si>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</si>
  <si>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</si>
  <si>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</si>
  <si>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</si>
  <si>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</si>
  <si>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</si>
  <si>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</si>
  <si>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</si>
  <si>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</si>
  <si>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</si>
  <si>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</si>
  <si>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</si>
  <si>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</si>
  <si>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</si>
  <si>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</si>
  <si>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</si>
  <si>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</si>
  <si>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</si>
  <si>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</si>
  <si>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</si>
  <si>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</si>
  <si>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</si>
  <si>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</si>
  <si>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</si>
  <si>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</si>
  <si>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</si>
  <si>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</si>
  <si>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</si>
  <si>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</si>
  <si>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</si>
  <si>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</si>
  <si>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</si>
  <si>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</si>
  <si>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</si>
  <si>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</si>
  <si>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</si>
  <si>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</si>
  <si>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</si>
  <si>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</si>
  <si>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</si>
  <si>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</si>
  <si>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</si>
  <si>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</si>
  <si>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</si>
  <si>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</si>
  <si>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</si>
  <si>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</si>
  <si>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</si>
  <si>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</si>
  <si>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</si>
  <si>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</si>
  <si>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</si>
  <si>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</si>
  <si>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</si>
  <si>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</si>
  <si>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</si>
  <si>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</si>
  <si>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</si>
  <si>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</si>
  <si>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</si>
  <si>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</si>
  <si>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</si>
  <si>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</si>
  <si>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</si>
  <si>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</si>
  <si>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</si>
  <si>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</si>
  <si>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</si>
  <si>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</si>
  <si>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</si>
  <si>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</si>
  <si>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</si>
  <si>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</si>
  <si>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</si>
  <si>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</si>
  <si>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</si>
  <si>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</si>
  <si>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</si>
  <si>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</si>
  <si>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</si>
  <si>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</si>
  <si>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</si>
  <si>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</si>
  <si>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</si>
  <si>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</si>
  <si>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</si>
  <si>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</si>
  <si>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</si>
  <si>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</si>
  <si>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</si>
  <si>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</si>
  <si>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</si>
  <si>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</si>
  <si>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</si>
  <si>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</si>
  <si>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</si>
  <si>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</si>
  <si>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</si>
  <si>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</si>
  <si>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</si>
  <si>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</si>
  <si>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</si>
  <si>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</si>
  <si>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</si>
  <si>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</si>
  <si>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</si>
  <si>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</si>
  <si>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</si>
  <si>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</si>
  <si>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</si>
  <si>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</si>
  <si>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</si>
  <si>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</si>
  <si>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</si>
  <si>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</si>
  <si>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</si>
  <si>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</si>
  <si>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</si>
  <si>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</si>
  <si>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</si>
  <si>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</si>
  <si>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</si>
  <si>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</si>
  <si>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</si>
  <si>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</si>
  <si>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</si>
  <si>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</si>
  <si>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</si>
  <si>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</si>
  <si>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</si>
  <si>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</si>
  <si>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</si>
  <si>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</si>
  <si>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</si>
  <si>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</si>
  <si>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</si>
  <si>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</si>
  <si>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</si>
  <si>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</si>
  <si>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</si>
  <si>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</si>
  <si>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</si>
  <si>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</si>
  <si>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</si>
  <si>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</si>
  <si>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</si>
  <si>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</si>
  <si>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</si>
  <si>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</si>
  <si>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</si>
  <si>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</si>
  <si>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</si>
  <si>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</si>
  <si>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</si>
  <si>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</si>
  <si>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</si>
  <si>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</si>
  <si>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</si>
  <si>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</si>
  <si>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</si>
  <si>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</si>
  <si>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</si>
  <si>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</si>
  <si>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</si>
  <si>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</si>
  <si>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</si>
  <si>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</si>
  <si>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</si>
  <si>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</si>
  <si>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</si>
  <si>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</si>
  <si>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</si>
  <si>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</si>
  <si>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</si>
  <si>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</si>
  <si>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</si>
  <si>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</si>
  <si>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</si>
  <si>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</si>
  <si>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</si>
  <si>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</si>
  <si>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</si>
  <si>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</si>
  <si>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</si>
  <si>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</si>
  <si>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</si>
  <si>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</si>
  <si>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</si>
  <si>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</si>
  <si>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</si>
  <si>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</si>
  <si>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</si>
  <si>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</si>
  <si>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</si>
  <si>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</si>
  <si>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</si>
  <si>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</si>
  <si>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</si>
  <si>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</si>
  <si>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</si>
  <si>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</si>
  <si>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</si>
  <si>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</si>
  <si>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</si>
  <si>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</si>
  <si>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</si>
  <si>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</si>
  <si>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</si>
  <si>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</si>
  <si>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</si>
  <si>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</si>
  <si>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</si>
  <si>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</si>
  <si>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</si>
  <si>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</si>
  <si>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</si>
  <si>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</si>
  <si>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</si>
  <si>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</si>
  <si>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</si>
  <si>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</si>
  <si>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</si>
  <si>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</si>
  <si>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</si>
  <si>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</si>
  <si>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</si>
  <si>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</si>
  <si>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</si>
  <si>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</si>
  <si>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</si>
  <si>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</si>
  <si>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</si>
  <si>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</si>
  <si>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</si>
  <si>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</si>
  <si>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</si>
  <si>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</si>
  <si>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</si>
  <si>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</si>
  <si>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</si>
  <si>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</si>
  <si>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</si>
  <si>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</si>
  <si>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</si>
  <si>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</si>
  <si>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</si>
  <si>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</si>
  <si>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</si>
  <si>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</si>
  <si>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</si>
  <si>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</si>
  <si>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</si>
  <si>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</si>
  <si>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</si>
  <si>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</si>
  <si>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</si>
  <si>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</si>
  <si>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</si>
  <si>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</si>
  <si>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</si>
  <si>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</si>
  <si>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</si>
  <si>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</si>
  <si>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</si>
  <si>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</si>
  <si>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</si>
  <si>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</si>
  <si>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</si>
  <si>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</si>
  <si>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</si>
  <si>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</si>
  <si>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</si>
  <si>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</si>
  <si>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</si>
  <si>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</si>
  <si>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</si>
  <si>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</si>
  <si>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</si>
  <si>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</si>
  <si>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</si>
  <si>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</si>
  <si>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</si>
  <si>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</si>
  <si>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</si>
  <si>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</si>
  <si>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</si>
  <si>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</si>
  <si>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</si>
  <si>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</si>
  <si>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</si>
  <si>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</si>
  <si>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</si>
  <si>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</si>
  <si>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</si>
  <si>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</si>
  <si>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</si>
  <si>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</si>
  <si>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</si>
  <si>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</si>
  <si>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</si>
  <si>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</si>
  <si>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</si>
  <si>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</si>
  <si>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</si>
  <si>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</si>
  <si>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</si>
  <si>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</si>
  <si>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</si>
  <si>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</si>
  <si>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</si>
  <si>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</si>
  <si>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</si>
  <si>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</si>
  <si>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</si>
  <si>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</si>
  <si>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</si>
  <si>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</si>
  <si>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</si>
  <si>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</si>
  <si>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</si>
  <si>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</si>
  <si>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</si>
  <si>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</si>
  <si>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</si>
  <si>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</si>
  <si>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</si>
  <si>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</si>
  <si>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</si>
  <si>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</si>
  <si>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</si>
  <si>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</si>
  <si>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</si>
  <si>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</si>
  <si>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</si>
  <si>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</si>
  <si>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</si>
  <si>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</si>
  <si>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</si>
  <si>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</si>
  <si>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</si>
  <si>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</si>
  <si>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</si>
  <si>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</si>
  <si>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</si>
  <si>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</si>
  <si>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</si>
  <si>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</si>
  <si>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</si>
  <si>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</si>
  <si>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</si>
  <si>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</si>
  <si>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</si>
  <si>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</si>
  <si>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</si>
  <si>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</si>
  <si>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</si>
  <si>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</si>
  <si>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</si>
  <si>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</si>
  <si>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</si>
  <si>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</si>
  <si>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</si>
  <si>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</si>
  <si>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</si>
  <si>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</si>
  <si>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</si>
  <si>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</si>
  <si>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</si>
  <si>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</si>
  <si>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</si>
  <si>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</si>
  <si>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</si>
  <si>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</si>
  <si>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</si>
  <si>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</si>
  <si>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</si>
  <si>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</si>
  <si>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</si>
  <si>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</si>
  <si>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</si>
  <si>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</si>
  <si>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</si>
  <si>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</si>
  <si>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</si>
  <si>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</si>
  <si>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</si>
  <si>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</si>
  <si>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</si>
  <si>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</si>
  <si>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</si>
  <si>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</si>
  <si>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</si>
  <si>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</si>
  <si>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</si>
  <si>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</si>
  <si>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</si>
  <si>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</si>
  <si>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</si>
  <si>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</si>
  <si>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</si>
  <si>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</si>
  <si>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</si>
  <si>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</si>
  <si>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</si>
  <si>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</si>
  <si>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</si>
  <si>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</si>
  <si>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</si>
  <si>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</si>
  <si>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</si>
  <si>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</si>
  <si>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</si>
  <si>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</si>
  <si>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</si>
  <si>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</si>
  <si>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</si>
  <si>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</si>
  <si>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</si>
  <si>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</si>
  <si>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</si>
  <si>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</si>
  <si>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</si>
  <si>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</si>
  <si>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</si>
  <si>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</si>
  <si>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</si>
  <si>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</si>
  <si>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</si>
  <si>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</si>
  <si>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</si>
  <si>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</si>
  <si>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</si>
  <si>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</si>
  <si>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</si>
  <si>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</si>
  <si>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</si>
  <si>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</si>
  <si>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</si>
  <si>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</si>
  <si>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</si>
  <si>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</si>
  <si>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</si>
  <si>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</si>
  <si>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</si>
  <si>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</si>
  <si>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</si>
  <si>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</si>
  <si>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</si>
  <si>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</si>
  <si>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</si>
  <si>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</si>
  <si>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</si>
  <si>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</si>
  <si>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</si>
  <si>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</si>
  <si>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</si>
  <si>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</si>
  <si>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</si>
  <si>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</si>
  <si>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</si>
  <si>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</si>
  <si>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</si>
  <si>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</si>
  <si>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</si>
  <si>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</si>
  <si>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</si>
  <si>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</si>
  <si>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</si>
  <si>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</si>
  <si>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</si>
  <si>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</si>
  <si>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</si>
  <si>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</si>
  <si>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</si>
  <si>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</si>
  <si>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</si>
  <si>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</si>
  <si>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</si>
  <si>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</si>
  <si>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</si>
  <si>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</si>
  <si>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</si>
  <si>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</si>
  <si>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</si>
  <si>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</si>
  <si>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</si>
  <si>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</si>
  <si>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</si>
  <si>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</si>
  <si>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</si>
  <si>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</si>
  <si>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</si>
  <si>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</si>
  <si>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</si>
  <si>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</si>
  <si>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</si>
  <si>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</si>
  <si>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</si>
  <si>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</si>
  <si>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</si>
  <si>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</si>
  <si>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</si>
  <si>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</si>
  <si>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</si>
  <si>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</si>
  <si>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</si>
  <si>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</si>
  <si>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</si>
  <si>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</si>
  <si>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</si>
  <si>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</si>
  <si>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</si>
  <si>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</si>
  <si>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</si>
  <si>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</si>
  <si>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</si>
  <si>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</si>
  <si>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</si>
  <si>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</si>
  <si>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</si>
  <si>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</si>
  <si>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</si>
  <si>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</si>
  <si>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</si>
  <si>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</si>
  <si>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</si>
  <si>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</si>
  <si>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</si>
  <si>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</si>
  <si>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</si>
  <si>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</si>
  <si>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</si>
  <si>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</si>
  <si>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</si>
  <si>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</si>
  <si>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</si>
  <si>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</si>
  <si>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</si>
  <si>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</si>
  <si>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</si>
  <si>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</si>
  <si>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</si>
  <si>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</si>
  <si>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</si>
  <si>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</si>
  <si>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</si>
  <si>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</si>
  <si>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</si>
  <si>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</si>
  <si>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</si>
  <si>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</si>
  <si>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</si>
  <si>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</si>
  <si>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</si>
  <si>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</si>
  <si>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</si>
  <si>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</si>
  <si>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</si>
  <si>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</si>
  <si>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</si>
  <si>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</si>
  <si>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</si>
  <si>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</si>
  <si>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</si>
  <si>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</si>
  <si>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</si>
  <si>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</si>
  <si>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</si>
  <si>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</si>
  <si>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</si>
  <si>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</si>
  <si>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</si>
  <si>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</si>
  <si>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</si>
  <si>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</si>
  <si>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</si>
  <si>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</si>
  <si>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</si>
  <si>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</si>
  <si>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</si>
  <si>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</si>
  <si>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</si>
  <si>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</si>
  <si>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</si>
  <si>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</si>
  <si>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</si>
  <si>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</si>
  <si>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</si>
  <si>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</si>
  <si>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</si>
  <si>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</si>
  <si>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</si>
  <si>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</si>
  <si>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</si>
  <si>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</si>
  <si>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</si>
  <si>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</si>
  <si>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</si>
  <si>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</si>
  <si>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</si>
  <si>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</si>
  <si>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</si>
  <si>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</si>
  <si>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</si>
  <si>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</si>
  <si>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</si>
  <si>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</si>
  <si>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</si>
  <si>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</si>
  <si>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</si>
  <si>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</si>
  <si>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</si>
  <si>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</si>
  <si>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</si>
  <si>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</si>
  <si>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</si>
  <si>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</si>
  <si>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</si>
  <si>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</si>
  <si>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</si>
  <si>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</si>
  <si>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</si>
  <si>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</si>
  <si>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</si>
  <si>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</si>
  <si>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</si>
  <si>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</si>
  <si>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</si>
  <si>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</si>
  <si>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</si>
  <si>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</si>
  <si>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</si>
  <si>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</si>
  <si>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</si>
  <si>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</si>
  <si>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</si>
  <si>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</si>
  <si>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</si>
  <si>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</si>
  <si>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</si>
  <si>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</si>
  <si>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</si>
  <si>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</si>
  <si>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</si>
  <si>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</si>
  <si>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</si>
  <si>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</si>
  <si>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</si>
  <si>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</si>
  <si>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</si>
  <si>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</si>
  <si>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</si>
  <si>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</si>
  <si>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</si>
  <si>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</si>
  <si>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</si>
  <si>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</si>
  <si>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</si>
  <si>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</si>
  <si>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</si>
  <si>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</si>
  <si>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</si>
  <si>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</si>
  <si>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</si>
  <si>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</si>
  <si>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</si>
  <si>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</si>
  <si>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</si>
  <si>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</si>
  <si>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</si>
  <si>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</si>
  <si>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</si>
  <si>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</si>
  <si>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</si>
  <si>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</si>
  <si>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</si>
  <si>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</si>
  <si>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</si>
  <si>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</si>
  <si>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</si>
  <si>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</si>
  <si>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</si>
  <si>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</si>
  <si>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</si>
  <si>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</si>
  <si>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</si>
  <si>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</si>
  <si>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</si>
  <si>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</si>
  <si>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</si>
  <si>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</si>
  <si>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</si>
  <si>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</si>
  <si>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</si>
  <si>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</si>
  <si>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</si>
  <si>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</si>
  <si>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</si>
  <si>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</si>
  <si>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</si>
  <si>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</si>
  <si>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</si>
  <si>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DUPAGE</t>
  </si>
  <si>
    <t>8502 BAILEY ROAD</t>
  </si>
  <si>
    <t>DARIEN</t>
  </si>
  <si>
    <t>WWW.CASSD63.ORG</t>
  </si>
  <si>
    <t>MR. MARK CROSS</t>
  </si>
  <si>
    <t>331-481-4000</t>
  </si>
  <si>
    <t>331-481-4001</t>
  </si>
  <si>
    <t>EVOY, KAMSCHULTE, JACOBS &amp; CO. LLP</t>
  </si>
  <si>
    <t>JAMES HENRY, CPA</t>
  </si>
  <si>
    <t>2122 YEOMAN STREET</t>
  </si>
  <si>
    <t>WAUKEGAN</t>
  </si>
  <si>
    <t>IL</t>
  </si>
  <si>
    <t>847-662-8305</t>
  </si>
  <si>
    <t>847-662-8300</t>
  </si>
  <si>
    <t>066-003289</t>
  </si>
  <si>
    <t>JHENRY@EKJLLP.COM</t>
  </si>
  <si>
    <t>1996 - C - WORKING CASH FUND BONDS</t>
  </si>
  <si>
    <t>2001 - A &amp; B - BUILDING BONDS</t>
  </si>
  <si>
    <t>2006 - A &amp; B - BUILDING BONDS</t>
  </si>
  <si>
    <t>2013 - A - WORKING CASH AND REFUNDING BONDS</t>
  </si>
  <si>
    <t>2016 - A - REFUNDING BONDS</t>
  </si>
  <si>
    <t>2019 - A - REFUNDING BONDS</t>
  </si>
  <si>
    <t>2019 - B - WORKING CASH FUND BONDS</t>
  </si>
  <si>
    <t>2006 - C - REFUNDING BONDS (Alternate Revenue Source)</t>
  </si>
  <si>
    <t>2013 - B - REFUNDING BONDS (Alternate Revenue Source)</t>
  </si>
  <si>
    <t>2016 - B - REFUNDING AND BUILDING BONDS (Alternate Revenue Source)</t>
  </si>
  <si>
    <t>CAPITAL LEASES - EQUIPMENT</t>
  </si>
  <si>
    <t>CAPITAL LEASES - BUSES</t>
  </si>
  <si>
    <t>VARIOUS</t>
  </si>
  <si>
    <t>1 AND 3</t>
  </si>
  <si>
    <t>3 AND 6</t>
  </si>
  <si>
    <t>Equipment Leases</t>
  </si>
  <si>
    <t>Bus Leases</t>
  </si>
  <si>
    <t>Illinois School District Liquid Asset Fund (ISDLAF)</t>
  </si>
  <si>
    <t>Special Association for Special Education in DuPage County (SASED)</t>
  </si>
  <si>
    <t>Page 11, Line 106-Other Local Fees-Education Fund-"Before and After School" Program fees-$129,046</t>
  </si>
  <si>
    <t>Page 12, Line 168-Other Restrictd Revenues from State Sources-Education Fund-State Library Grant-$750, IL Arts Council Grant for</t>
  </si>
  <si>
    <t>Arts and Foreign Language-$51,475</t>
  </si>
  <si>
    <t>Page 8-Line 75-Other Uses-Bond and Interest Fund-Transfer to Refunded Bonds Escrow Agent-$876,746, Costs of Bond Issuance-$20,924,</t>
  </si>
  <si>
    <t>Underwriter's Discount-$4,815; Other Uses-Working Cash Fund-Costs of Bond Issuance-$26,727, Underwriter's Discount-$10,500</t>
  </si>
  <si>
    <t>NOTE - Audit Check Page - "Error"</t>
  </si>
  <si>
    <t>The audit check page indicates an "error" in connection with Long-Term Debt principal retired as shown on page 24. The long-term debt</t>
  </si>
  <si>
    <t>principal retired as shown on page 24 AGREES with the sum of the long-term debt principal retired as shown on page 18, line 170 (Debt</t>
  </si>
  <si>
    <t>Service Fund) , PLUS long-term debt principal retired as shown on page 20, line 206 (Transportation Fund).</t>
  </si>
  <si>
    <t>NOTE - Single Audit</t>
  </si>
  <si>
    <t>Although a single audit is NOT required, as indicated on the cover page, the SEFA pages within this AFR have been completed, for information</t>
  </si>
  <si>
    <t>purposes, to demonstrate that federal expenditures were below $750,000, even though federal revenues exceeded $750,000</t>
  </si>
  <si>
    <t>U S DEPARTMENT OF AGRICULTURE</t>
  </si>
  <si>
    <t xml:space="preserve">  Child Nutrition Cluster</t>
  </si>
  <si>
    <t xml:space="preserve">    National School Lunch Program</t>
  </si>
  <si>
    <t>2020-4210</t>
  </si>
  <si>
    <t>2019-4210</t>
  </si>
  <si>
    <t xml:space="preserve">    Summer Food Service Program</t>
  </si>
  <si>
    <t>2020-4225</t>
  </si>
  <si>
    <t xml:space="preserve">    USDA Food Commodities-Non-Cash</t>
  </si>
  <si>
    <t xml:space="preserve">    DoD Fruits and Vegetables-Non-Cash</t>
  </si>
  <si>
    <t>TOTAL U S DEPARTMENT OF AGRICULTURE</t>
  </si>
  <si>
    <t xml:space="preserve">  Total Child Nutrition Cluster</t>
  </si>
  <si>
    <t>U S DEPARTMENT OF EDUCATION</t>
  </si>
  <si>
    <t>Direct from Federal Government</t>
  </si>
  <si>
    <t xml:space="preserve">  Federal Impact Aid, Section 8002, Title VIII, ESEA</t>
  </si>
  <si>
    <t>2020-4001</t>
  </si>
  <si>
    <t>2019-4001</t>
  </si>
  <si>
    <t>2018-4001</t>
  </si>
  <si>
    <t>Total Direct from Federal Government</t>
  </si>
  <si>
    <t>U S DEPARTMENT OF EDUCATION (continued)</t>
  </si>
  <si>
    <t>Passed Through IL State Board of Education</t>
  </si>
  <si>
    <t xml:space="preserve">    Title I, Low Income</t>
  </si>
  <si>
    <t>2020-4300</t>
  </si>
  <si>
    <t>2019-4300</t>
  </si>
  <si>
    <t xml:space="preserve">    Title IV, Student Support &amp; Academic Achievement</t>
  </si>
  <si>
    <t>2020-4400</t>
  </si>
  <si>
    <t>2020-4932</t>
  </si>
  <si>
    <t xml:space="preserve">    Title III, Language Instruction Program Limited English Proficiency</t>
  </si>
  <si>
    <t xml:space="preserve">    Title II, Teacher Quality</t>
  </si>
  <si>
    <t>2020-4909</t>
  </si>
  <si>
    <t>2019-4932</t>
  </si>
  <si>
    <t xml:space="preserve">    Federal Special Education, IDEA, Pre-School-Flow-Through</t>
  </si>
  <si>
    <t>2020-4600</t>
  </si>
  <si>
    <t>2019-4600</t>
  </si>
  <si>
    <t xml:space="preserve">    Federal Special Education, IDEA, Flow-Through</t>
  </si>
  <si>
    <t>2020-4620</t>
  </si>
  <si>
    <t>2019-4620</t>
  </si>
  <si>
    <t xml:space="preserve">  Special Education Cluster (IDEA)</t>
  </si>
  <si>
    <t xml:space="preserve">  Total Special Education Cluster (IDEA)</t>
  </si>
  <si>
    <t>TOTAL U S DEPARTMENT OF EDUCATION</t>
  </si>
  <si>
    <t>U S DEPARTMENT OF HEALTH AND HUMAN SERVICES</t>
  </si>
  <si>
    <t>Passed Through Illinois Department of Healthcare and Family Services</t>
  </si>
  <si>
    <t xml:space="preserve">  Medicaid Medical Assistance Program-Administrative Claim</t>
  </si>
  <si>
    <t>2020-4991</t>
  </si>
  <si>
    <t>2019-4991</t>
  </si>
  <si>
    <t>TOTAL U S DEPARTMENT OF HEALTH AND HUMAN SERVICES</t>
  </si>
  <si>
    <t>TOTAL FEDERAL FINANCIAL ASSISTANCE</t>
  </si>
  <si>
    <t>ED-Food Service-Purch Svc</t>
  </si>
  <si>
    <t>Aramark</t>
  </si>
  <si>
    <t>TR-Transportation Service-Purch Svc</t>
  </si>
  <si>
    <t>Berwyn Garage</t>
  </si>
  <si>
    <t>Chicagoland Transportation</t>
  </si>
  <si>
    <t>Comcast</t>
  </si>
  <si>
    <t>ED-Technology Service-Purch Svc</t>
  </si>
  <si>
    <t>Imperial Service System</t>
  </si>
  <si>
    <t>O&amp;M-Oper &amp; Maint Service-Purch Svc</t>
  </si>
  <si>
    <t>Wayne Ostrowski</t>
  </si>
  <si>
    <t>Single Path</t>
  </si>
  <si>
    <t>ED-Exec Admin Service-Purch Svc</t>
  </si>
  <si>
    <t>Robert Strande</t>
  </si>
  <si>
    <t>TLS Timberlake Lawn &amp; Snow</t>
  </si>
  <si>
    <t xml:space="preserve">  Cass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</si>
</sst>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768927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E16" sqref="E1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19022063002</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2159</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60087</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2065</v>
      </c>
      <c r="U21" s="2050"/>
      <c r="V21" s="2050"/>
      <c r="W21" s="2050"/>
      <c r="X21" s="2063" t="s">
        <v>2064</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60561</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1" sqref="E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7792989</v>
      </c>
      <c r="C4" s="1722">
        <v>4064405</v>
      </c>
      <c r="D4" s="1723">
        <f>B4-C4</f>
        <v>3728584</v>
      </c>
      <c r="E4" s="1722">
        <v>7879525</v>
      </c>
      <c r="F4" s="1723">
        <f>E4-C4</f>
        <v>3815120</v>
      </c>
    </row>
    <row r="5" spans="1:8" ht="13.7" customHeight="1" x14ac:dyDescent="0.2">
      <c r="A5" s="579" t="s">
        <v>865</v>
      </c>
      <c r="B5" s="1724">
        <f>'Revenues 9-14'!D5</f>
        <v>945540</v>
      </c>
      <c r="C5" s="1664">
        <v>493174</v>
      </c>
      <c r="D5" s="1725">
        <f t="shared" ref="D5:D18" si="0">B5-C5</f>
        <v>452366</v>
      </c>
      <c r="E5" s="1664">
        <v>956100</v>
      </c>
      <c r="F5" s="1725">
        <f>E5-C5</f>
        <v>462926</v>
      </c>
    </row>
    <row r="6" spans="1:8" ht="13.7" customHeight="1" x14ac:dyDescent="0.2">
      <c r="A6" s="579" t="s">
        <v>408</v>
      </c>
      <c r="B6" s="1724">
        <f>'Revenues 9-14'!E5</f>
        <v>333419</v>
      </c>
      <c r="C6" s="1664">
        <v>173869</v>
      </c>
      <c r="D6" s="1725">
        <f t="shared" si="0"/>
        <v>159550</v>
      </c>
      <c r="E6" s="1664">
        <v>337073</v>
      </c>
      <c r="F6" s="1725">
        <f t="shared" ref="F6:F18" si="1">E6-C6</f>
        <v>163204</v>
      </c>
    </row>
    <row r="7" spans="1:8" ht="13.7" customHeight="1" x14ac:dyDescent="0.2">
      <c r="A7" s="579" t="s">
        <v>154</v>
      </c>
      <c r="B7" s="1724">
        <f>'Revenues 9-14'!F5</f>
        <v>165227</v>
      </c>
      <c r="C7" s="1664">
        <v>86205</v>
      </c>
      <c r="D7" s="1725">
        <f t="shared" si="0"/>
        <v>79022</v>
      </c>
      <c r="E7" s="1664">
        <v>167123</v>
      </c>
      <c r="F7" s="1725">
        <f t="shared" si="1"/>
        <v>80918</v>
      </c>
    </row>
    <row r="8" spans="1:8" ht="13.7" customHeight="1" x14ac:dyDescent="0.2">
      <c r="A8" s="579" t="s">
        <v>1169</v>
      </c>
      <c r="B8" s="1724">
        <f>'Revenues 9-14'!G5</f>
        <v>136904</v>
      </c>
      <c r="C8" s="1664">
        <v>71443</v>
      </c>
      <c r="D8" s="1725">
        <f t="shared" si="0"/>
        <v>65461</v>
      </c>
      <c r="E8" s="1664">
        <v>138504</v>
      </c>
      <c r="F8" s="1725">
        <f t="shared" si="1"/>
        <v>67061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76928</v>
      </c>
      <c r="C14" s="1664">
        <v>40095</v>
      </c>
      <c r="D14" s="1725">
        <f t="shared" si="0"/>
        <v>36833</v>
      </c>
      <c r="E14" s="1664">
        <v>77732</v>
      </c>
      <c r="F14" s="1725">
        <f t="shared" si="1"/>
        <v>37637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168024</v>
      </c>
      <c r="C16" s="1664">
        <v>87663</v>
      </c>
      <c r="D16" s="1725">
        <f t="shared" si="0"/>
        <v>80361</v>
      </c>
      <c r="E16" s="1664">
        <v>169950</v>
      </c>
      <c r="F16" s="1725">
        <f t="shared" si="1"/>
        <v>82287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9619031</v>
      </c>
      <c r="C19" s="1726">
        <f>SUM(C4:C18)</f>
        <v>5016854</v>
      </c>
      <c r="D19" s="1726">
        <f>SUM(D4:D18)</f>
        <v>4602177</v>
      </c>
      <c r="E19" s="1726">
        <f>SUM(E4:E18)</f>
        <v>9726007</v>
      </c>
      <c r="F19" s="1726">
        <f>SUM(F4:F18)</f>
        <v>4709153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52" sqref="J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35200</v>
      </c>
      <c r="C31" s="1734">
        <v>896701</v>
      </c>
      <c r="D31" s="1735">
        <v>1</v>
      </c>
      <c r="E31" s="1734"/>
      <c r="F31" s="1734"/>
      <c r="G31" s="1734"/>
      <c r="H31" s="1734"/>
      <c r="I31" s="1736">
        <f>((E31+F31)-H31)+G31</f>
        <v>0</v>
      </c>
      <c r="J31" s="1734">
        <v>-29001</v>
      </c>
      <c r="K31" s="596"/>
    </row>
    <row r="32" spans="1:11" ht="12" customHeight="1" x14ac:dyDescent="0.2">
      <c r="A32" s="594" t="s">
        <v>2069</v>
      </c>
      <c r="B32" s="595">
        <v>36982</v>
      </c>
      <c r="C32" s="1734">
        <v>1966270</v>
      </c>
      <c r="D32" s="1735">
        <v>6</v>
      </c>
      <c r="E32" s="1734">
        <v>159150</v>
      </c>
      <c r="F32" s="1734"/>
      <c r="G32" s="1734"/>
      <c r="H32" s="1734">
        <v>80038</v>
      </c>
      <c r="I32" s="1736">
        <f>((E32+F32)-H32)+G32</f>
        <v>79112</v>
      </c>
      <c r="J32" s="1734">
        <v>-46779</v>
      </c>
      <c r="K32" s="596"/>
    </row>
    <row r="33" spans="1:11" ht="12" customHeight="1" x14ac:dyDescent="0.2">
      <c r="A33" s="594" t="s">
        <v>2070</v>
      </c>
      <c r="B33" s="595">
        <v>36982</v>
      </c>
      <c r="C33" s="1734">
        <v>956305</v>
      </c>
      <c r="D33" s="1735">
        <v>6</v>
      </c>
      <c r="E33" s="1734"/>
      <c r="F33" s="1734"/>
      <c r="G33" s="1734"/>
      <c r="H33" s="1734"/>
      <c r="I33" s="1736">
        <f t="shared" ref="I33:I48" si="1">((E33+F33)-H33)+G33</f>
        <v>0</v>
      </c>
      <c r="J33" s="1734"/>
      <c r="K33" s="596"/>
    </row>
    <row r="34" spans="1:11" ht="12" customHeight="1" x14ac:dyDescent="0.2">
      <c r="A34" s="594" t="s">
        <v>2071</v>
      </c>
      <c r="B34" s="595">
        <v>41564</v>
      </c>
      <c r="C34" s="1734">
        <v>2270000</v>
      </c>
      <c r="D34" s="1735" t="s">
        <v>2081</v>
      </c>
      <c r="E34" s="1734">
        <v>2270000</v>
      </c>
      <c r="F34" s="1734"/>
      <c r="G34" s="1734">
        <v>-605000</v>
      </c>
      <c r="H34" s="1734"/>
      <c r="I34" s="1736">
        <f t="shared" si="1"/>
        <v>1665000</v>
      </c>
      <c r="J34" s="1734">
        <v>1664138</v>
      </c>
      <c r="K34" s="597"/>
    </row>
    <row r="35" spans="1:11" ht="12" customHeight="1" x14ac:dyDescent="0.2">
      <c r="A35" s="594" t="s">
        <v>2072</v>
      </c>
      <c r="B35" s="595">
        <v>42705</v>
      </c>
      <c r="C35" s="1737">
        <v>1150000</v>
      </c>
      <c r="D35" s="1735">
        <v>3</v>
      </c>
      <c r="E35" s="1737">
        <v>1150000</v>
      </c>
      <c r="F35" s="1737"/>
      <c r="G35" s="1737">
        <v>-180000</v>
      </c>
      <c r="H35" s="1737"/>
      <c r="I35" s="1736">
        <f t="shared" si="1"/>
        <v>970000</v>
      </c>
      <c r="J35" s="1737">
        <v>967694</v>
      </c>
      <c r="K35" s="597"/>
    </row>
    <row r="36" spans="1:11" ht="12" customHeight="1" x14ac:dyDescent="0.2">
      <c r="A36" s="594" t="s">
        <v>2073</v>
      </c>
      <c r="B36" s="595">
        <v>43718</v>
      </c>
      <c r="C36" s="1734">
        <v>890000</v>
      </c>
      <c r="D36" s="1735">
        <v>3</v>
      </c>
      <c r="E36" s="1734"/>
      <c r="F36" s="1734">
        <v>890000</v>
      </c>
      <c r="G36" s="1734"/>
      <c r="H36" s="1734"/>
      <c r="I36" s="1736">
        <f t="shared" si="1"/>
        <v>890000</v>
      </c>
      <c r="J36" s="1734">
        <v>889504</v>
      </c>
      <c r="K36" s="598"/>
    </row>
    <row r="37" spans="1:11" ht="12" customHeight="1" x14ac:dyDescent="0.2">
      <c r="A37" s="594" t="s">
        <v>2074</v>
      </c>
      <c r="B37" s="595">
        <v>43718</v>
      </c>
      <c r="C37" s="1574">
        <v>1500000</v>
      </c>
      <c r="D37" s="1738">
        <v>1</v>
      </c>
      <c r="E37" s="1574"/>
      <c r="F37" s="1574">
        <v>1500000</v>
      </c>
      <c r="G37" s="1574"/>
      <c r="H37" s="1574"/>
      <c r="I37" s="1736">
        <f t="shared" si="1"/>
        <v>1500000</v>
      </c>
      <c r="J37" s="1574">
        <v>1455724</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2075</v>
      </c>
      <c r="B39" s="595">
        <v>38869</v>
      </c>
      <c r="C39" s="1734">
        <v>1865000</v>
      </c>
      <c r="D39" s="1739">
        <v>3</v>
      </c>
      <c r="E39" s="1740"/>
      <c r="F39" s="1740"/>
      <c r="G39" s="1740"/>
      <c r="H39" s="1740"/>
      <c r="I39" s="1736">
        <f t="shared" si="1"/>
        <v>0</v>
      </c>
      <c r="J39" s="1741"/>
      <c r="K39" s="599"/>
    </row>
    <row r="40" spans="1:11" ht="12" customHeight="1" x14ac:dyDescent="0.2">
      <c r="A40" s="594" t="s">
        <v>2076</v>
      </c>
      <c r="B40" s="595">
        <v>41564</v>
      </c>
      <c r="C40" s="1734">
        <v>755000</v>
      </c>
      <c r="D40" s="1739">
        <v>3</v>
      </c>
      <c r="E40" s="1740">
        <v>165000</v>
      </c>
      <c r="F40" s="1740"/>
      <c r="G40" s="1740"/>
      <c r="H40" s="1740">
        <v>80000</v>
      </c>
      <c r="I40" s="1736">
        <f t="shared" si="1"/>
        <v>85000</v>
      </c>
      <c r="J40" s="1741">
        <v>85000</v>
      </c>
      <c r="K40" s="599"/>
    </row>
    <row r="41" spans="1:11" ht="12" customHeight="1" x14ac:dyDescent="0.2">
      <c r="A41" s="594" t="s">
        <v>2077</v>
      </c>
      <c r="B41" s="595">
        <v>42705</v>
      </c>
      <c r="C41" s="1734">
        <v>3130000</v>
      </c>
      <c r="D41" s="1739" t="s">
        <v>2082</v>
      </c>
      <c r="E41" s="1740">
        <v>2710000</v>
      </c>
      <c r="F41" s="1740"/>
      <c r="G41" s="1740"/>
      <c r="H41" s="1740">
        <v>210000</v>
      </c>
      <c r="I41" s="1736">
        <f t="shared" si="1"/>
        <v>2500000</v>
      </c>
      <c r="J41" s="1741">
        <v>2500000</v>
      </c>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t="s">
        <v>2078</v>
      </c>
      <c r="B43" s="595" t="s">
        <v>2080</v>
      </c>
      <c r="C43" s="1734">
        <v>356295</v>
      </c>
      <c r="D43" s="1739">
        <v>7</v>
      </c>
      <c r="E43" s="1740">
        <v>180474</v>
      </c>
      <c r="F43" s="1740"/>
      <c r="G43" s="1740"/>
      <c r="H43" s="1740">
        <v>100808</v>
      </c>
      <c r="I43" s="1736">
        <f t="shared" si="1"/>
        <v>79666</v>
      </c>
      <c r="J43" s="1741">
        <v>79666</v>
      </c>
      <c r="K43" s="599"/>
    </row>
    <row r="44" spans="1:11" ht="12" customHeight="1" x14ac:dyDescent="0.2">
      <c r="A44" s="594" t="s">
        <v>2079</v>
      </c>
      <c r="B44" s="595" t="s">
        <v>2080</v>
      </c>
      <c r="C44" s="1734">
        <v>463649</v>
      </c>
      <c r="D44" s="1735">
        <v>8</v>
      </c>
      <c r="E44" s="1734">
        <v>257957</v>
      </c>
      <c r="F44" s="1734"/>
      <c r="G44" s="1734"/>
      <c r="H44" s="1734">
        <v>89631</v>
      </c>
      <c r="I44" s="1736">
        <f t="shared" si="1"/>
        <v>168326</v>
      </c>
      <c r="J44" s="1734">
        <v>168326</v>
      </c>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16199220</v>
      </c>
      <c r="D49" s="1742"/>
      <c r="E49" s="1736">
        <f t="shared" ref="E49:J49" si="2">SUM(E31:E48)</f>
        <v>6892581</v>
      </c>
      <c r="F49" s="1736">
        <f t="shared" si="2"/>
        <v>2390000</v>
      </c>
      <c r="G49" s="1736">
        <f t="shared" si="2"/>
        <v>-785000</v>
      </c>
      <c r="H49" s="1736">
        <f t="shared" si="2"/>
        <v>560477</v>
      </c>
      <c r="I49" s="1736">
        <f t="shared" si="2"/>
        <v>7937104</v>
      </c>
      <c r="J49" s="1736">
        <f t="shared" si="2"/>
        <v>7734272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2083</v>
      </c>
      <c r="G52" s="2312"/>
      <c r="H52" s="596"/>
      <c r="I52" s="596"/>
      <c r="J52" s="600"/>
    </row>
    <row r="53" spans="1:11" ht="11.25" customHeight="1" x14ac:dyDescent="0.2">
      <c r="A53" s="604" t="s">
        <v>907</v>
      </c>
      <c r="B53" s="605" t="s">
        <v>945</v>
      </c>
      <c r="C53" s="600"/>
      <c r="D53" s="597"/>
      <c r="E53" s="603" t="s">
        <v>494</v>
      </c>
      <c r="F53" s="2313" t="s">
        <v>2084</v>
      </c>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J40" sqref="J4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v>0</v>
      </c>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76928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76928</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76928</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76928</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33063</v>
      </c>
    </row>
    <row r="37" spans="1:11" x14ac:dyDescent="0.2">
      <c r="A37" s="660" t="s">
        <v>890</v>
      </c>
      <c r="B37" s="658"/>
      <c r="C37" s="658"/>
      <c r="D37" s="658"/>
      <c r="E37" s="658"/>
      <c r="F37" s="659"/>
      <c r="G37" s="619">
        <v>8462</v>
      </c>
    </row>
    <row r="38" spans="1:11" x14ac:dyDescent="0.2">
      <c r="A38" s="660" t="s">
        <v>986</v>
      </c>
      <c r="B38" s="658"/>
      <c r="C38" s="658"/>
      <c r="D38" s="658"/>
      <c r="E38" s="658"/>
      <c r="F38" s="659"/>
      <c r="G38" s="619">
        <v>72202</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49573</v>
      </c>
      <c r="D5" s="1770"/>
      <c r="E5" s="1770"/>
      <c r="F5" s="1765">
        <f>(C5+D5)-E5</f>
        <v>49573</v>
      </c>
      <c r="G5" s="676"/>
      <c r="H5" s="680"/>
      <c r="I5" s="680"/>
      <c r="J5" s="680"/>
      <c r="K5" s="637"/>
      <c r="L5" s="1442">
        <f>F5-K5</f>
        <v>49573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14385151</v>
      </c>
      <c r="D8" s="1771">
        <v>1567232</v>
      </c>
      <c r="E8" s="1771"/>
      <c r="F8" s="1765">
        <f>(C8+D8)-E8</f>
        <v>15952383</v>
      </c>
      <c r="G8" s="681">
        <v>50</v>
      </c>
      <c r="H8" s="619">
        <v>8557315</v>
      </c>
      <c r="I8" s="619">
        <v>367048</v>
      </c>
      <c r="J8" s="619"/>
      <c r="K8" s="1442">
        <f>(H8+I8)-J8</f>
        <v>8924363</v>
      </c>
      <c r="L8" s="1442">
        <f>F8-K8</f>
        <v>7028020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653249</v>
      </c>
      <c r="D10" s="1772"/>
      <c r="E10" s="1772"/>
      <c r="F10" s="1773">
        <f>(C10+D10)-E10</f>
        <v>653249</v>
      </c>
      <c r="G10" s="681">
        <v>20</v>
      </c>
      <c r="H10" s="683">
        <v>456285</v>
      </c>
      <c r="I10" s="683">
        <v>17146</v>
      </c>
      <c r="J10" s="683"/>
      <c r="K10" s="1442">
        <f>(H10+I10)-J10</f>
        <v>473431</v>
      </c>
      <c r="L10" s="1442">
        <f>F10-K10</f>
        <v>179818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5312492</v>
      </c>
      <c r="D12" s="1771">
        <v>78671</v>
      </c>
      <c r="E12" s="1771"/>
      <c r="F12" s="1765">
        <f>(C12+D12)-E12</f>
        <v>5391163</v>
      </c>
      <c r="G12" s="681">
        <v>10</v>
      </c>
      <c r="H12" s="619">
        <v>4686438</v>
      </c>
      <c r="I12" s="619">
        <v>203845</v>
      </c>
      <c r="J12" s="619"/>
      <c r="K12" s="1442">
        <f>(H12+I12)-J12</f>
        <v>4890283</v>
      </c>
      <c r="L12" s="1442">
        <f>F12-K12</f>
        <v>500880</v>
      </c>
    </row>
    <row r="13" spans="1:14" ht="14.25" thickTop="1" thickBot="1" x14ac:dyDescent="0.25">
      <c r="A13" s="684" t="s">
        <v>1112</v>
      </c>
      <c r="B13" s="679">
        <v>252</v>
      </c>
      <c r="C13" s="1771">
        <v>905850</v>
      </c>
      <c r="D13" s="1771"/>
      <c r="E13" s="1771"/>
      <c r="F13" s="1765">
        <f>(C13+D13)-E13</f>
        <v>905850</v>
      </c>
      <c r="G13" s="681">
        <v>5</v>
      </c>
      <c r="H13" s="619">
        <v>593929</v>
      </c>
      <c r="I13" s="619">
        <v>98412</v>
      </c>
      <c r="J13" s="619"/>
      <c r="K13" s="1442">
        <f>(H13+I13)-J13</f>
        <v>692341</v>
      </c>
      <c r="L13" s="1442">
        <f>F13-K13</f>
        <v>213509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21306315</v>
      </c>
      <c r="D16" s="1765">
        <f>SUM(D3,D5:D6,D8:D10,D12:D15)</f>
        <v>1645903</v>
      </c>
      <c r="E16" s="1765">
        <f>SUM(E3,E5:E6,E8:E10,E12:E15)</f>
        <v>0</v>
      </c>
      <c r="F16" s="1765">
        <f>SUM(F3,F5:F6,F8:F10,F12:F15)</f>
        <v>22952218</v>
      </c>
      <c r="G16" s="681"/>
      <c r="H16" s="1435">
        <f>SUM(H3,H6,H8:H10,H12:H14,)</f>
        <v>14293967</v>
      </c>
      <c r="I16" s="1435">
        <f>SUM(I3,I6,I8:I10,I12:I14,)</f>
        <v>686451</v>
      </c>
      <c r="J16" s="1435">
        <f>SUM(J3,J6,J8:J10,J12:J14,)</f>
        <v>0</v>
      </c>
      <c r="K16" s="1435">
        <f>(H16+I16)-J16</f>
        <v>14980418</v>
      </c>
      <c r="L16" s="1435">
        <f>F16-K16</f>
        <v>7971800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686451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9103428</v>
      </c>
      <c r="G8" s="701"/>
    </row>
    <row r="9" spans="1:9" x14ac:dyDescent="0.2">
      <c r="A9" s="705" t="s">
        <v>457</v>
      </c>
      <c r="B9" s="706" t="s">
        <v>1848</v>
      </c>
      <c r="C9" s="707"/>
      <c r="D9" s="705" t="s">
        <v>498</v>
      </c>
      <c r="E9" s="704"/>
      <c r="F9" s="1775">
        <f>'Expenditures 15-22'!K151</f>
        <v>1039506</v>
      </c>
      <c r="G9" s="708"/>
    </row>
    <row r="10" spans="1:9" x14ac:dyDescent="0.2">
      <c r="A10" s="705" t="s">
        <v>496</v>
      </c>
      <c r="B10" s="706" t="s">
        <v>1849</v>
      </c>
      <c r="C10" s="707"/>
      <c r="D10" s="705" t="s">
        <v>498</v>
      </c>
      <c r="E10" s="704"/>
      <c r="F10" s="1775">
        <f>'Expenditures 15-22'!K174</f>
        <v>755030</v>
      </c>
      <c r="G10" s="708"/>
    </row>
    <row r="11" spans="1:9" x14ac:dyDescent="0.2">
      <c r="A11" s="705" t="s">
        <v>458</v>
      </c>
      <c r="B11" s="706" t="s">
        <v>1850</v>
      </c>
      <c r="C11" s="707"/>
      <c r="D11" s="705" t="s">
        <v>498</v>
      </c>
      <c r="E11" s="704"/>
      <c r="F11" s="1775">
        <f>'Expenditures 15-22'!K210</f>
        <v>513678</v>
      </c>
      <c r="G11" s="708"/>
    </row>
    <row r="12" spans="1:9" x14ac:dyDescent="0.2">
      <c r="A12" s="705" t="s">
        <v>459</v>
      </c>
      <c r="B12" s="706" t="s">
        <v>1851</v>
      </c>
      <c r="C12" s="707"/>
      <c r="D12" s="705" t="s">
        <v>498</v>
      </c>
      <c r="E12" s="704"/>
      <c r="F12" s="1775">
        <f>'Expenditures 15-22'!K295</f>
        <v>310039</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11721681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6844</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127356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73494</v>
      </c>
      <c r="G52" s="701"/>
    </row>
    <row r="53" spans="1:7" x14ac:dyDescent="0.2">
      <c r="A53" s="705" t="s">
        <v>456</v>
      </c>
      <c r="B53" s="705" t="s">
        <v>1458</v>
      </c>
      <c r="C53" s="724">
        <f>'Expenditures 15-22'!B102</f>
        <v>4000</v>
      </c>
      <c r="D53" s="723" t="str">
        <f>'Expenditures 15-22'!A102</f>
        <v>Total Payments to Other Govt Units</v>
      </c>
      <c r="E53" s="704"/>
      <c r="F53" s="1782">
        <f>'Expenditures 15-22'!K102</f>
        <v>832104</v>
      </c>
      <c r="G53" s="701"/>
    </row>
    <row r="54" spans="1:7" x14ac:dyDescent="0.2">
      <c r="A54" s="705" t="s">
        <v>456</v>
      </c>
      <c r="B54" s="705" t="s">
        <v>1459</v>
      </c>
      <c r="C54" s="724" t="s">
        <v>975</v>
      </c>
      <c r="D54" s="720" t="s">
        <v>1086</v>
      </c>
      <c r="E54" s="704"/>
      <c r="F54" s="1782">
        <f>'Expenditures 15-22'!G114</f>
        <v>78671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124807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470846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89631</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7214</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1810967</v>
      </c>
      <c r="G77" s="701"/>
    </row>
    <row r="78" spans="1:9" s="728" customFormat="1" ht="12" customHeight="1" thickTop="1" thickBot="1" x14ac:dyDescent="0.25">
      <c r="A78" s="1450"/>
      <c r="B78" s="1448"/>
      <c r="C78" s="1445"/>
      <c r="D78" s="1449" t="s">
        <v>2012</v>
      </c>
      <c r="E78" s="1447"/>
      <c r="F78" s="1788">
        <f>(F14-F77)</f>
        <v>9910714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728.2</v>
      </c>
      <c r="G79" s="733"/>
      <c r="H79" s="705"/>
      <c r="I79" s="705"/>
    </row>
    <row r="80" spans="1:9" s="728" customFormat="1" ht="12" customHeight="1" thickBot="1" x14ac:dyDescent="0.25">
      <c r="A80" s="1452"/>
      <c r="B80" s="1448"/>
      <c r="C80" s="1445"/>
      <c r="D80" s="1449" t="s">
        <v>2013</v>
      </c>
      <c r="E80" s="1447" t="s">
        <v>952</v>
      </c>
      <c r="F80" s="1790">
        <f>IF(F79&gt;0,F78/F79," Complete Line 79")</f>
        <v>13609.87915407855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46393</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1898</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99250</v>
      </c>
      <c r="G95" s="745"/>
    </row>
    <row r="96" spans="1:7" x14ac:dyDescent="0.2">
      <c r="A96" s="741" t="s">
        <v>139</v>
      </c>
      <c r="B96" s="741" t="s">
        <v>174</v>
      </c>
      <c r="C96" s="743">
        <v>1700</v>
      </c>
      <c r="D96" s="751" t="str">
        <f>'Revenues 9-14'!A82</f>
        <v>Total District/School Activity Income</v>
      </c>
      <c r="E96" s="739"/>
      <c r="F96" s="1793">
        <f>SUM('Revenues 9-14'!C82,'Revenues 9-14'!D82)</f>
        <v>147271</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198421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129046</v>
      </c>
      <c r="G105" s="745"/>
    </row>
    <row r="106" spans="1:7" x14ac:dyDescent="0.2">
      <c r="A106" s="741" t="s">
        <v>500</v>
      </c>
      <c r="B106" s="741" t="s">
        <v>1910</v>
      </c>
      <c r="C106" s="746">
        <v>3100</v>
      </c>
      <c r="D106" s="752" t="str">
        <f>'Revenues 9-14'!A132</f>
        <v>Total Special Education</v>
      </c>
      <c r="E106" s="739"/>
      <c r="F106" s="1793">
        <f>SUM('Revenues 9-14'!C132:D132,'Revenues 9-14'!F132)</f>
        <v>22013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420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206174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52225</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56868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60251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152052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9174</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14887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5757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3095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219232</v>
      </c>
      <c r="G172" s="760"/>
    </row>
    <row r="173" spans="1:7" x14ac:dyDescent="0.2">
      <c r="A173" s="1529" t="s">
        <v>659</v>
      </c>
      <c r="B173" s="1530" t="s">
        <v>1885</v>
      </c>
      <c r="C173" s="1531">
        <v>3300</v>
      </c>
      <c r="D173" s="1532" t="s">
        <v>1888</v>
      </c>
      <c r="E173" s="739"/>
      <c r="F173" s="1794">
        <v>1498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1485925</v>
      </c>
    </row>
    <row r="176" spans="1:7" ht="12" customHeight="1" x14ac:dyDescent="0.2">
      <c r="A176" s="1443"/>
      <c r="B176" s="1453"/>
      <c r="C176" s="1454"/>
      <c r="D176" s="1455" t="s">
        <v>2014</v>
      </c>
      <c r="E176" s="1456"/>
      <c r="F176" s="1793">
        <f>'PCTC-OEPP 27-28'!F78-F175</f>
        <v>8424789</v>
      </c>
    </row>
    <row r="177" spans="1:9" ht="12" customHeight="1" x14ac:dyDescent="0.2">
      <c r="A177" s="1443"/>
      <c r="B177" s="1453"/>
      <c r="C177" s="1454"/>
      <c r="D177" s="1455" t="s">
        <v>1794</v>
      </c>
      <c r="E177" s="1456"/>
      <c r="F177" s="1793">
        <f>'Cap Outlay Deprec 26'!I18</f>
        <v>686451</v>
      </c>
    </row>
    <row r="178" spans="1:9" ht="12" customHeight="1" x14ac:dyDescent="0.2">
      <c r="A178" s="1443"/>
      <c r="B178" s="1453"/>
      <c r="C178" s="1454"/>
      <c r="D178" s="1455" t="s">
        <v>2015</v>
      </c>
      <c r="E178" s="1456"/>
      <c r="F178" s="1793">
        <f>F176+F177</f>
        <v>9111240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728.2</v>
      </c>
      <c r="G179" s="763"/>
      <c r="I179" s="701"/>
    </row>
    <row r="180" spans="1:9" ht="12" customHeight="1" thickBot="1" x14ac:dyDescent="0.25">
      <c r="A180" s="1443"/>
      <c r="B180" s="1457"/>
      <c r="C180" s="1454"/>
      <c r="D180" s="1455" t="s">
        <v>2017</v>
      </c>
      <c r="E180" s="1456" t="s">
        <v>1528</v>
      </c>
      <c r="F180" s="1798">
        <f>F178/F179</f>
        <v>12512.002197198572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2" zoomScaleNormal="100" workbookViewId="0">
      <selection activeCell="D27" sqref="D27"/>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2145</v>
      </c>
      <c r="B18" s="1908">
        <v>102560300</v>
      </c>
      <c r="C18" s="2036" t="s">
        <v>2146</v>
      </c>
      <c r="D18" s="1886">
        <v>137672</v>
      </c>
      <c r="E18" s="1906" t="str">
        <f t="shared" ref="E18:E81" si="0">IF(D18&lt;25000,D18,"25,000")</f>
        <v>25,000</v>
      </c>
      <c r="F18" s="1906">
        <f t="shared" ref="F18:F81" si="1">IF(D18&gt;=25000,(D18-E18),"0")</f>
        <v>112672</v>
      </c>
      <c r="G18" s="1887"/>
    </row>
    <row r="19" spans="1:7" x14ac:dyDescent="0.25">
      <c r="A19" s="2035" t="s">
        <v>2147</v>
      </c>
      <c r="B19" s="1908">
        <v>402550300</v>
      </c>
      <c r="C19" s="2036" t="s">
        <v>2148</v>
      </c>
      <c r="D19" s="1886">
        <v>33697</v>
      </c>
      <c r="E19" s="1906" t="str">
        <f t="shared" si="0"/>
        <v>25,000</v>
      </c>
      <c r="F19" s="1906">
        <f t="shared" si="1"/>
        <v>8697</v>
      </c>
    </row>
    <row r="20" spans="1:7" x14ac:dyDescent="0.25">
      <c r="A20" s="2035" t="s">
        <v>2147</v>
      </c>
      <c r="B20" s="1908">
        <v>402550300</v>
      </c>
      <c r="C20" s="2036" t="s">
        <v>2149</v>
      </c>
      <c r="D20" s="1886">
        <v>37117</v>
      </c>
      <c r="E20" s="1906" t="str">
        <f t="shared" si="0"/>
        <v>25,000</v>
      </c>
      <c r="F20" s="1906">
        <f t="shared" si="1"/>
        <v>12117</v>
      </c>
    </row>
    <row r="21" spans="1:7" x14ac:dyDescent="0.25">
      <c r="A21" s="2035" t="s">
        <v>2151</v>
      </c>
      <c r="B21" s="1908">
        <v>102200300</v>
      </c>
      <c r="C21" s="2036" t="s">
        <v>2150</v>
      </c>
      <c r="D21" s="1886">
        <v>50017</v>
      </c>
      <c r="E21" s="1906" t="str">
        <f t="shared" si="0"/>
        <v>25,000</v>
      </c>
      <c r="F21" s="1906">
        <f t="shared" si="1"/>
        <v>25017</v>
      </c>
    </row>
    <row r="22" spans="1:7" x14ac:dyDescent="0.25">
      <c r="A22" s="2035" t="s">
        <v>2153</v>
      </c>
      <c r="B22" s="1908">
        <v>202540300</v>
      </c>
      <c r="C22" s="2036" t="s">
        <v>2152</v>
      </c>
      <c r="D22" s="1886">
        <v>55610</v>
      </c>
      <c r="E22" s="1906" t="str">
        <f t="shared" si="0"/>
        <v>25,000</v>
      </c>
      <c r="F22" s="1906">
        <f t="shared" si="1"/>
        <v>30610</v>
      </c>
    </row>
    <row r="23" spans="1:7" x14ac:dyDescent="0.25">
      <c r="A23" s="2035" t="s">
        <v>2153</v>
      </c>
      <c r="B23" s="1908">
        <v>202540300</v>
      </c>
      <c r="C23" s="2036" t="s">
        <v>2154</v>
      </c>
      <c r="D23" s="1886">
        <v>37811</v>
      </c>
      <c r="E23" s="1906" t="str">
        <f t="shared" si="0"/>
        <v>25,000</v>
      </c>
      <c r="F23" s="1906">
        <f t="shared" si="1"/>
        <v>12811</v>
      </c>
    </row>
    <row r="24" spans="1:7" x14ac:dyDescent="0.25">
      <c r="A24" s="2035" t="s">
        <v>2151</v>
      </c>
      <c r="B24" s="1908">
        <v>102200300</v>
      </c>
      <c r="C24" s="2036" t="s">
        <v>2155</v>
      </c>
      <c r="D24" s="1886">
        <v>117009</v>
      </c>
      <c r="E24" s="1906" t="str">
        <f t="shared" si="0"/>
        <v>25,000</v>
      </c>
      <c r="F24" s="1906">
        <f t="shared" si="1"/>
        <v>92009</v>
      </c>
    </row>
    <row r="25" spans="1:7" x14ac:dyDescent="0.25">
      <c r="A25" s="2035" t="s">
        <v>2156</v>
      </c>
      <c r="B25" s="1908">
        <v>102300300</v>
      </c>
      <c r="C25" s="2036" t="s">
        <v>2157</v>
      </c>
      <c r="D25" s="1886">
        <v>43482</v>
      </c>
      <c r="E25" s="1906" t="str">
        <f t="shared" si="0"/>
        <v>25,000</v>
      </c>
      <c r="F25" s="1906">
        <f t="shared" si="1"/>
        <v>18482</v>
      </c>
    </row>
    <row r="26" spans="1:7" x14ac:dyDescent="0.25">
      <c r="A26" s="2035" t="s">
        <v>2153</v>
      </c>
      <c r="B26" s="1908">
        <v>202540300</v>
      </c>
      <c r="C26" s="2036" t="s">
        <v>2158</v>
      </c>
      <c r="D26" s="1886">
        <v>29429</v>
      </c>
      <c r="E26" s="1906" t="str">
        <f t="shared" si="0"/>
        <v>25,000</v>
      </c>
      <c r="F26" s="1906">
        <f t="shared" si="1"/>
        <v>4429</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541844</v>
      </c>
      <c r="E142" s="1893">
        <f>SUM(E18:E141)</f>
        <v>0</v>
      </c>
      <c r="F142" s="1894">
        <f>SUM(F18:F141)</f>
        <v>316844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56868</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7699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5351730</v>
      </c>
      <c r="F19" s="1802"/>
      <c r="G19" s="1804">
        <f>'Expenditures 15-22'!K33-SUM('Expenditures 15-22'!G33,'Expenditures 15-22'!I33)+'Expenditures 15-22'!D229</f>
        <v>5351730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598116</v>
      </c>
      <c r="F21" s="1805"/>
      <c r="G21" s="1808">
        <f>'Expenditures 15-22'!K42-SUM('Expenditures 15-22'!G42,'Expenditures 15-22'!I42)+'Expenditures 15-22'!K120-SUM('Expenditures 15-22'!G120,'Expenditures 15-22'!I120)+'Expenditures 15-22'!K180-SUM('Expenditures 15-22'!G180,'Expenditures 15-22'!I180)+'Expenditures 15-22'!D238</f>
        <v>598116</v>
      </c>
      <c r="H21" s="817"/>
      <c r="I21" s="157"/>
    </row>
    <row r="22" spans="1:9" s="542" customFormat="1" ht="12" customHeight="1" x14ac:dyDescent="0.2">
      <c r="A22" s="824" t="s">
        <v>560</v>
      </c>
      <c r="B22" s="825"/>
      <c r="C22" s="823">
        <v>2200</v>
      </c>
      <c r="D22" s="1805"/>
      <c r="E22" s="1807">
        <f>'Expenditures 15-22'!K47-SUM('Expenditures 15-22'!G47,'Expenditures 15-22'!I47)+'Expenditures 15-22'!D243</f>
        <v>503880</v>
      </c>
      <c r="F22" s="1805"/>
      <c r="G22" s="1808">
        <f>'Expenditures 15-22'!K47-SUM('Expenditures 15-22'!G47,'Expenditures 15-22'!I47)+'Expenditures 15-22'!D243</f>
        <v>503880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934685</v>
      </c>
      <c r="F23" s="1805"/>
      <c r="G23" s="1807">
        <f>'Expenditures 15-22'!K53-SUM('Expenditures 15-22'!G53,'Expenditures 15-22'!I53)+'Expenditures 15-22'!D257+'Expenditures 15-22'!K330-SUM('Expenditures 15-22'!G330,'Expenditures 15-22'!I330)</f>
        <v>934685</v>
      </c>
      <c r="H23" s="817"/>
      <c r="I23" s="157"/>
    </row>
    <row r="24" spans="1:9" s="542" customFormat="1" ht="12" customHeight="1" x14ac:dyDescent="0.2">
      <c r="A24" s="824" t="s">
        <v>562</v>
      </c>
      <c r="B24" s="825"/>
      <c r="C24" s="823">
        <v>2400</v>
      </c>
      <c r="D24" s="1805"/>
      <c r="E24" s="1807">
        <f>'Expenditures 15-22'!K57-SUM('Expenditures 15-22'!G57,'Expenditures 15-22'!I57)+'Expenditures 15-22'!D261</f>
        <v>740881</v>
      </c>
      <c r="F24" s="1805"/>
      <c r="G24" s="1808">
        <f>'Expenditures 15-22'!K57-SUM('Expenditures 15-22'!G57,'Expenditures 15-22'!I57)+'Expenditures 15-22'!D261</f>
        <v>740881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939791</v>
      </c>
      <c r="F28" s="1809">
        <f>'Expenditures 15-22'!K61-SUM('Expenditures 15-22'!G61,'Expenditures 15-22'!I61)+'Expenditures 15-22'!K124-SUM('Expenditures 15-22'!G124,'Expenditures 15-22'!I124)+'Expenditures 15-22'!D266-E9</f>
        <v>939791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449402</v>
      </c>
      <c r="F29" s="1805"/>
      <c r="G29" s="1808">
        <f>'Expenditures 15-22'!K62-SUM('Expenditures 15-22'!G62,'Expenditures 15-22'!I62)+'Expenditures 15-22'!K125-SUM('Expenditures 15-22'!G125,'Expenditures 15-22'!I125)+'Expenditures 15-22'!K182-SUM('Expenditures 15-22'!G182,'Expenditures 15-22'!I182)+'Expenditures 15-22'!D267</f>
        <v>449402</v>
      </c>
      <c r="H29" s="815"/>
    </row>
    <row r="30" spans="1:9" ht="12" customHeight="1" x14ac:dyDescent="0.2">
      <c r="A30" s="824" t="s">
        <v>100</v>
      </c>
      <c r="B30" s="827"/>
      <c r="C30" s="823">
        <v>2560</v>
      </c>
      <c r="D30" s="1805"/>
      <c r="E30" s="1807">
        <f>'Expenditures 15-22'!K63-SUM('Expenditures 15-22'!G63,'Expenditures 15-22'!I63)+'Expenditures 15-22'!D268-E10</f>
        <v>70631</v>
      </c>
      <c r="F30" s="1805"/>
      <c r="G30" s="1807">
        <f>'Expenditures 15-22'!K63-SUM('Expenditures 15-22'!G63,'Expenditures 15-22'!I63)+'Expenditures 15-22'!D268-E10</f>
        <v>70631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80708</v>
      </c>
      <c r="F39" s="1805"/>
      <c r="G39" s="1807">
        <f>'Expenditures 15-22'!K75-SUM('Expenditures 15-22'!G75,'Expenditures 15-22'!I75)+'Expenditures 15-22'!K130-SUM('Expenditures 15-22'!G130,'Expenditures 15-22'!I130)+'Expenditures 15-22'!K185-SUM('Expenditures 15-22'!G185,'Expenditures 15-22'!I185)+'Expenditures 15-22'!D280</f>
        <v>80708</v>
      </c>
    </row>
    <row r="40" spans="1:7" ht="12" customHeight="1" x14ac:dyDescent="0.2">
      <c r="A40" s="820" t="s">
        <v>1798</v>
      </c>
      <c r="B40" s="821"/>
      <c r="C40" s="823"/>
      <c r="D40" s="1805"/>
      <c r="E40" s="1809">
        <f>-'Contracts Paid in CY 29'!F142</f>
        <v>-316844</v>
      </c>
      <c r="F40" s="1805"/>
      <c r="G40" s="1809">
        <f>-'Contracts Paid in CY 29'!F142</f>
        <v>-316844</v>
      </c>
    </row>
    <row r="41" spans="1:7" ht="12" customHeight="1" x14ac:dyDescent="0.2">
      <c r="A41" s="828" t="s">
        <v>155</v>
      </c>
      <c r="B41" s="829"/>
      <c r="C41" s="830"/>
      <c r="D41" s="1809">
        <f>SUM(D19:D39)</f>
        <v>0</v>
      </c>
      <c r="E41" s="1809">
        <f>SUM(E19:E40)</f>
        <v>9352980</v>
      </c>
      <c r="F41" s="1809">
        <f>SUM(F19:F39)</f>
        <v>939791</v>
      </c>
      <c r="G41" s="1809">
        <f>SUM(G19:G40)</f>
        <v>8413189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939791</v>
      </c>
    </row>
    <row r="44" spans="1:7" ht="12" customHeight="1" x14ac:dyDescent="0.2">
      <c r="A44" s="817"/>
      <c r="B44" s="157"/>
      <c r="C44" s="831"/>
      <c r="D44" s="1458" t="s">
        <v>471</v>
      </c>
      <c r="E44" s="1810">
        <f>E41</f>
        <v>9352980</v>
      </c>
      <c r="F44" s="1458" t="s">
        <v>471</v>
      </c>
      <c r="G44" s="1810">
        <f>G41</f>
        <v>8413189</v>
      </c>
    </row>
    <row r="45" spans="1:7" ht="12" customHeight="1" x14ac:dyDescent="0.2">
      <c r="A45" s="817"/>
      <c r="B45" s="157"/>
      <c r="C45" s="157"/>
      <c r="D45" s="1459" t="s">
        <v>999</v>
      </c>
      <c r="E45" s="1811">
        <f>(E43/E44)</f>
        <v>0</v>
      </c>
      <c r="F45" s="1459" t="s">
        <v>999</v>
      </c>
      <c r="G45" s="1811">
        <f>(G43/G44)</f>
        <v>0.1117044916024114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Cass SD 63</v>
      </c>
      <c r="D6" s="2404"/>
      <c r="E6" s="2404"/>
      <c r="F6" s="1482"/>
      <c r="G6" s="1507"/>
      <c r="L6" s="1507"/>
      <c r="M6" s="1855"/>
      <c r="N6" s="1855"/>
      <c r="O6" s="1855"/>
    </row>
    <row r="7" spans="1:15" ht="11.25" customHeight="1" thickBot="1" x14ac:dyDescent="0.3">
      <c r="A7" s="1480"/>
      <c r="B7" s="1481"/>
      <c r="C7" s="2405">
        <f>COVER!A13</f>
        <v>19022063002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2051</v>
      </c>
      <c r="D20" s="1495" t="s">
        <v>2051</v>
      </c>
      <c r="E20" s="1498"/>
      <c r="F20" s="1497" t="s">
        <v>2085</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2086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Cass SD 63</v>
      </c>
      <c r="K6" s="2420"/>
      <c r="L6" s="2421"/>
      <c r="M6" s="838"/>
      <c r="N6" s="1998"/>
    </row>
    <row r="7" spans="1:14" x14ac:dyDescent="0.2">
      <c r="A7" s="2422" t="s">
        <v>864</v>
      </c>
      <c r="B7" s="2423"/>
      <c r="C7" s="2423"/>
      <c r="D7" s="2423"/>
      <c r="E7" s="2424"/>
      <c r="F7" s="839"/>
      <c r="G7" s="838"/>
      <c r="H7" s="838"/>
      <c r="I7" s="1924" t="s">
        <v>369</v>
      </c>
      <c r="J7" s="2425">
        <f>COVER!A13</f>
        <v>19022063002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728155</v>
      </c>
      <c r="F12" s="1942"/>
      <c r="G12" s="1968">
        <f>G68</f>
        <v>0</v>
      </c>
      <c r="H12" s="1944">
        <f t="shared" ref="H12:H18" si="0">SUM(E12:G12)</f>
        <v>728155</v>
      </c>
      <c r="I12" s="1943">
        <v>664906</v>
      </c>
      <c r="J12" s="1942"/>
      <c r="K12" s="1943"/>
      <c r="L12" s="1944">
        <f t="shared" ref="L12:L18" si="1">SUM(I12:K12)</f>
        <v>664906</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728155</v>
      </c>
      <c r="F19" s="1950">
        <f t="shared" si="2"/>
        <v>0</v>
      </c>
      <c r="G19" s="1950">
        <f t="shared" ref="G19" si="3">SUM(G12:G17)-G18</f>
        <v>0</v>
      </c>
      <c r="H19" s="1950">
        <f t="shared" si="2"/>
        <v>728155</v>
      </c>
      <c r="I19" s="1950">
        <f t="shared" si="2"/>
        <v>664906</v>
      </c>
      <c r="J19" s="1950">
        <f t="shared" si="2"/>
        <v>0</v>
      </c>
      <c r="K19" s="1950">
        <f t="shared" si="2"/>
        <v>0</v>
      </c>
      <c r="L19" s="1950">
        <f t="shared" si="2"/>
        <v>664906</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-8.6862000535600253E-2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Cass SD 63</v>
      </c>
      <c r="M52" s="2420"/>
      <c r="N52" s="2450"/>
    </row>
    <row r="53" spans="1:14" x14ac:dyDescent="0.2">
      <c r="A53" s="1982"/>
      <c r="B53" s="1983"/>
      <c r="C53" s="1983"/>
      <c r="D53" s="1983"/>
      <c r="E53" s="1983"/>
      <c r="F53" s="1983"/>
      <c r="G53" s="1983"/>
      <c r="H53" s="1983"/>
      <c r="I53" s="1983"/>
      <c r="J53" s="1983"/>
      <c r="K53" s="1924" t="s">
        <v>369</v>
      </c>
      <c r="L53" s="2425">
        <f>J7</f>
        <v>19022063002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4" sqref="B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2087</v>
      </c>
    </row>
    <row r="6" spans="1:2" x14ac:dyDescent="0.2">
      <c r="A6" s="847">
        <v>2</v>
      </c>
      <c r="B6" s="307" t="s">
        <v>2088</v>
      </c>
    </row>
    <row r="7" spans="1:2" x14ac:dyDescent="0.2">
      <c r="B7" s="307" t="s">
        <v>2089</v>
      </c>
    </row>
    <row r="8" spans="1:2" x14ac:dyDescent="0.2">
      <c r="A8" s="847">
        <v>3</v>
      </c>
      <c r="B8" s="307" t="s">
        <v>2090</v>
      </c>
    </row>
    <row r="9" spans="1:2" x14ac:dyDescent="0.2">
      <c r="B9" s="307" t="s">
        <v>2091</v>
      </c>
    </row>
    <row r="10" spans="1:2" x14ac:dyDescent="0.2">
      <c r="A10" s="847"/>
    </row>
    <row r="11" spans="1:2" x14ac:dyDescent="0.2">
      <c r="A11" s="848"/>
    </row>
    <row r="12" spans="1:2" x14ac:dyDescent="0.2">
      <c r="A12" s="848"/>
      <c r="B12" s="307" t="s">
        <v>2092</v>
      </c>
    </row>
    <row r="13" spans="1:2" x14ac:dyDescent="0.2">
      <c r="A13" s="848"/>
      <c r="B13" s="307" t="s">
        <v>2093</v>
      </c>
    </row>
    <row r="14" spans="1:2" x14ac:dyDescent="0.2">
      <c r="A14" s="848"/>
      <c r="B14" s="307" t="s">
        <v>2094</v>
      </c>
    </row>
    <row r="15" spans="1:2" x14ac:dyDescent="0.2">
      <c r="A15" s="848"/>
      <c r="B15" s="307" t="s">
        <v>2095</v>
      </c>
    </row>
    <row r="16" spans="1:2" x14ac:dyDescent="0.2">
      <c r="A16" s="848"/>
    </row>
    <row r="17" spans="1:2" x14ac:dyDescent="0.2">
      <c r="A17" s="848"/>
    </row>
    <row r="18" spans="1:2" x14ac:dyDescent="0.2">
      <c r="A18" s="848"/>
      <c r="B18" s="307" t="s">
        <v>2096</v>
      </c>
    </row>
    <row r="19" spans="1:2" x14ac:dyDescent="0.2">
      <c r="A19" s="848"/>
      <c r="B19" s="307" t="s">
        <v>2097</v>
      </c>
    </row>
    <row r="20" spans="1:2" x14ac:dyDescent="0.2">
      <c r="A20" s="848"/>
      <c r="B20" s="307" t="s">
        <v>2098</v>
      </c>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Cass SD 63</v>
      </c>
    </row>
    <row r="65" spans="2:2" x14ac:dyDescent="0.2">
      <c r="B65" s="849">
        <f>COVER!A13</f>
        <v>19022063002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9641416</v>
      </c>
      <c r="C8" s="1813">
        <f>'Acct Summary 7-8'!D8</f>
        <v>1393560</v>
      </c>
      <c r="D8" s="1813">
        <f>'Acct Summary 7-8'!F8</f>
        <v>589677</v>
      </c>
      <c r="E8" s="1813">
        <f>'Acct Summary 7-8'!I8</f>
        <v>181</v>
      </c>
      <c r="F8" s="1813">
        <f>SUM(B8:E8)</f>
        <v>11624834</v>
      </c>
    </row>
    <row r="9" spans="1:8" s="858" customFormat="1" ht="14.25" customHeight="1" thickBot="1" x14ac:dyDescent="0.25">
      <c r="A9" s="857" t="s">
        <v>1353</v>
      </c>
      <c r="B9" s="1814">
        <f>'Acct Summary 7-8'!C17</f>
        <v>9103428</v>
      </c>
      <c r="C9" s="1814">
        <f>'Acct Summary 7-8'!D17</f>
        <v>1039506</v>
      </c>
      <c r="D9" s="1814">
        <f>'Acct Summary 7-8'!F17</f>
        <v>513678</v>
      </c>
      <c r="E9" s="1813"/>
      <c r="F9" s="1813">
        <f>SUM(B9:E9)</f>
        <v>10656612</v>
      </c>
    </row>
    <row r="10" spans="1:8" s="858" customFormat="1" ht="14.25" thickTop="1" thickBot="1" x14ac:dyDescent="0.25">
      <c r="A10" s="859" t="s">
        <v>1354</v>
      </c>
      <c r="B10" s="1815">
        <f>(B8-B9)</f>
        <v>537988</v>
      </c>
      <c r="C10" s="1815">
        <f>(C8-C9)</f>
        <v>354054</v>
      </c>
      <c r="D10" s="1815">
        <f>(D8-D9)</f>
        <v>75999</v>
      </c>
      <c r="E10" s="1814">
        <f>(E8-E9)</f>
        <v>181</v>
      </c>
      <c r="F10" s="1816">
        <f>SUM(F8-F9)</f>
        <v>968222</v>
      </c>
    </row>
    <row r="11" spans="1:8" s="858" customFormat="1" ht="14.25" thickTop="1" thickBot="1" x14ac:dyDescent="0.25">
      <c r="A11" s="860" t="s">
        <v>1903</v>
      </c>
      <c r="B11" s="1817">
        <f>'Acct Summary 7-8'!C81</f>
        <v>3530923</v>
      </c>
      <c r="C11" s="1817">
        <f>'Acct Summary 7-8'!D81</f>
        <v>582615</v>
      </c>
      <c r="D11" s="1817">
        <f>'Acct Summary 7-8'!F81</f>
        <v>278893</v>
      </c>
      <c r="E11" s="1817">
        <f>'Acct Summary 7-8'!I81</f>
        <v>33286</v>
      </c>
      <c r="F11" s="1818">
        <f>SUM(B11:E11)</f>
        <v>4425717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C87" sqref="C8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19022063002</v>
      </c>
      <c r="E2" s="1542">
        <v>2020</v>
      </c>
      <c r="F2" s="1542">
        <v>1</v>
      </c>
      <c r="G2" s="1899">
        <v>101000300</v>
      </c>
    </row>
    <row r="3" spans="1:7" ht="15" x14ac:dyDescent="0.25">
      <c r="A3" t="s">
        <v>950</v>
      </c>
      <c r="B3" s="135" t="str">
        <f>COVER!A15</f>
        <v>DUPAGE</v>
      </c>
      <c r="E3" s="1830" t="s">
        <v>1971</v>
      </c>
      <c r="F3" s="1830" t="s">
        <v>1970</v>
      </c>
      <c r="G3" s="1899">
        <v>101000400</v>
      </c>
    </row>
    <row r="4" spans="1:7" ht="15" x14ac:dyDescent="0.25">
      <c r="A4" t="s">
        <v>1000</v>
      </c>
      <c r="B4" s="135" t="str">
        <f>COVER!A17</f>
        <v xml:space="preserve">  Cass SD 63</v>
      </c>
      <c r="E4" s="1828">
        <v>44119</v>
      </c>
      <c r="F4" s="1829">
        <v>44151</v>
      </c>
      <c r="G4" s="1899">
        <v>101000600</v>
      </c>
    </row>
    <row r="5" spans="1:7" ht="15" x14ac:dyDescent="0.25">
      <c r="A5" t="s">
        <v>699</v>
      </c>
      <c r="B5" s="135" t="str">
        <f>COVER!A38</f>
        <v>MR. MARK CROSS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JAMES HENRY, CPA</v>
      </c>
      <c r="G17" s="1899">
        <v>402100800</v>
      </c>
    </row>
    <row r="18" spans="1:7" ht="15" x14ac:dyDescent="0.25">
      <c r="A18" t="s">
        <v>1140</v>
      </c>
      <c r="B18" s="135" t="str">
        <f>COVER!T17</f>
        <v>2122 YEOMAN STREET</v>
      </c>
      <c r="G18" s="1899">
        <v>102200300</v>
      </c>
    </row>
    <row r="19" spans="1:7" ht="15" x14ac:dyDescent="0.25">
      <c r="A19" t="s">
        <v>880</v>
      </c>
      <c r="B19" s="135" t="str">
        <f>COVER!T25</f>
        <v>JHENRY@EKJLLP.COM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3530923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3530923</v>
      </c>
      <c r="D92" s="2" t="str">
        <f t="shared" si="0"/>
        <v>Error?</v>
      </c>
      <c r="G92" s="1899">
        <v>102640600</v>
      </c>
    </row>
    <row r="93" spans="1:7" ht="15" x14ac:dyDescent="0.25">
      <c r="A93" s="5">
        <v>32</v>
      </c>
      <c r="B93" s="1832">
        <f>'Assets-Liab 5-6'!C41</f>
        <v>3530923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582615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582615</v>
      </c>
      <c r="D123" s="2" t="str">
        <f t="shared" si="0"/>
        <v>Error?</v>
      </c>
      <c r="G123" s="1899">
        <v>203000400</v>
      </c>
    </row>
    <row r="124" spans="1:7" ht="15" x14ac:dyDescent="0.25">
      <c r="A124" s="5">
        <v>63</v>
      </c>
      <c r="B124" s="1832">
        <f>'Assets-Liab 5-6'!D41</f>
        <v>582615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202832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202832</v>
      </c>
      <c r="D140" s="2" t="str">
        <f t="shared" si="1"/>
        <v>Error?</v>
      </c>
    </row>
    <row r="141" spans="1:7" x14ac:dyDescent="0.2">
      <c r="A141" s="5">
        <v>80</v>
      </c>
      <c r="B141" s="1832">
        <f>'Assets-Liab 5-6'!E41</f>
        <v>202832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278893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278893</v>
      </c>
      <c r="D170" s="2" t="str">
        <f t="shared" si="1"/>
        <v>Error?</v>
      </c>
    </row>
    <row r="171" spans="1:4" x14ac:dyDescent="0.2">
      <c r="A171" s="5">
        <v>110</v>
      </c>
      <c r="B171" s="1832">
        <f>'Assets-Liab 5-6'!F41</f>
        <v>278893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246311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246311</v>
      </c>
      <c r="D189" s="2" t="str">
        <f t="shared" si="1"/>
        <v>Error?</v>
      </c>
    </row>
    <row r="190" spans="1:4" x14ac:dyDescent="0.2">
      <c r="A190" s="5">
        <v>129</v>
      </c>
      <c r="B190" s="1832">
        <f>'Assets-Liab 5-6'!G41</f>
        <v>246311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49573</v>
      </c>
      <c r="D273" s="2" t="str">
        <f t="shared" si="3"/>
        <v>Error?</v>
      </c>
    </row>
    <row r="274" spans="1:4" x14ac:dyDescent="0.2">
      <c r="A274" s="5">
        <v>213</v>
      </c>
      <c r="B274" s="1832">
        <f>'Assets-Liab 5-6'!M17</f>
        <v>7028020</v>
      </c>
      <c r="D274" s="2" t="str">
        <f t="shared" si="3"/>
        <v>Error?</v>
      </c>
    </row>
    <row r="275" spans="1:4" x14ac:dyDescent="0.2">
      <c r="A275" s="5">
        <v>214</v>
      </c>
      <c r="B275" s="1832">
        <f>'Assets-Liab 5-6'!M18</f>
        <v>179818</v>
      </c>
      <c r="D275" s="2" t="str">
        <f t="shared" si="3"/>
        <v>Error?</v>
      </c>
    </row>
    <row r="276" spans="1:4" x14ac:dyDescent="0.2">
      <c r="A276" s="5">
        <v>215</v>
      </c>
      <c r="B276" s="1832">
        <f>'Assets-Liab 5-6'!M19</f>
        <v>714389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7971800</v>
      </c>
      <c r="C279" s="2" t="s">
        <v>569</v>
      </c>
      <c r="D279" s="2" t="str">
        <f t="shared" si="3"/>
        <v>Error?</v>
      </c>
    </row>
    <row r="280" spans="1:4" x14ac:dyDescent="0.2">
      <c r="A280" s="5">
        <v>219</v>
      </c>
      <c r="B280" s="1832">
        <f>'Assets-Liab 5-6'!M40</f>
        <v>7971800</v>
      </c>
      <c r="D280" s="2" t="str">
        <f t="shared" si="3"/>
        <v>Error?</v>
      </c>
    </row>
    <row r="281" spans="1:4" x14ac:dyDescent="0.2">
      <c r="A281" s="5">
        <v>220</v>
      </c>
      <c r="B281" s="1832">
        <f>'Assets-Liab 5-6'!M41</f>
        <v>7971800</v>
      </c>
      <c r="C281" s="2" t="s">
        <v>569</v>
      </c>
      <c r="D281" s="2" t="str">
        <f t="shared" si="3"/>
        <v>Error?</v>
      </c>
    </row>
    <row r="282" spans="1:4" x14ac:dyDescent="0.2">
      <c r="A282" s="5">
        <v>221</v>
      </c>
      <c r="B282" s="1832">
        <f>'Assets-Liab 5-6'!N21</f>
        <v>202832</v>
      </c>
      <c r="D282" s="2" t="str">
        <f t="shared" si="3"/>
        <v>Error?</v>
      </c>
    </row>
    <row r="283" spans="1:4" x14ac:dyDescent="0.2">
      <c r="A283" s="5">
        <v>222</v>
      </c>
      <c r="B283" s="1832">
        <f>'Assets-Liab 5-6'!N22</f>
        <v>7734272</v>
      </c>
      <c r="D283" s="2" t="str">
        <f t="shared" si="3"/>
        <v>Error?</v>
      </c>
    </row>
    <row r="284" spans="1:4" x14ac:dyDescent="0.2">
      <c r="A284" s="5">
        <v>223</v>
      </c>
      <c r="B284" s="1832">
        <f>'Assets-Liab 5-6'!N23</f>
        <v>7937104</v>
      </c>
      <c r="C284" s="2" t="s">
        <v>569</v>
      </c>
      <c r="D284" s="2" t="str">
        <f t="shared" si="3"/>
        <v>Error?</v>
      </c>
    </row>
    <row r="285" spans="1:4" x14ac:dyDescent="0.2">
      <c r="A285" s="5">
        <v>224</v>
      </c>
      <c r="B285" s="1832">
        <f>'Assets-Liab 5-6'!N36</f>
        <v>7937104</v>
      </c>
      <c r="D285" s="2" t="str">
        <f t="shared" si="3"/>
        <v>Error?</v>
      </c>
    </row>
    <row r="286" spans="1:4" x14ac:dyDescent="0.2">
      <c r="A286" s="10">
        <v>225</v>
      </c>
      <c r="B286" s="1832"/>
      <c r="D286" s="2" t="str">
        <f t="shared" si="3"/>
        <v>OK</v>
      </c>
    </row>
    <row r="287" spans="1:4" x14ac:dyDescent="0.2">
      <c r="A287" s="5">
        <v>226</v>
      </c>
      <c r="B287" s="1832">
        <f>'Assets-Liab 5-6'!N37</f>
        <v>7937104</v>
      </c>
      <c r="C287" s="2" t="s">
        <v>569</v>
      </c>
      <c r="D287" s="2" t="str">
        <f t="shared" si="3"/>
        <v>Error?</v>
      </c>
    </row>
    <row r="288" spans="1:4" x14ac:dyDescent="0.2">
      <c r="A288" s="5">
        <v>227</v>
      </c>
      <c r="B288" s="1832">
        <f>'Assets-Liab 5-6'!N41</f>
        <v>7937104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1500000</v>
      </c>
      <c r="D651" s="2" t="str">
        <f t="shared" si="9"/>
        <v>Error?</v>
      </c>
    </row>
    <row r="652" spans="1:4" x14ac:dyDescent="0.2">
      <c r="A652" s="5">
        <v>591</v>
      </c>
      <c r="B652" s="1832">
        <f>'Acct Summary 7-8'!I34</f>
        <v>56026</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3236337</v>
      </c>
      <c r="D705" s="2" t="str">
        <f t="shared" si="10"/>
        <v>Error?</v>
      </c>
    </row>
    <row r="706" spans="1:4" x14ac:dyDescent="0.2">
      <c r="A706" s="5">
        <v>645</v>
      </c>
      <c r="B706" s="1832">
        <f>'Expenditures 15-22'!C16</f>
        <v>103065</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4268198</v>
      </c>
      <c r="C720" s="2" t="s">
        <v>569</v>
      </c>
      <c r="D720" s="2" t="str">
        <f t="shared" si="10"/>
        <v>Error?</v>
      </c>
    </row>
    <row r="721" spans="1:4" x14ac:dyDescent="0.2">
      <c r="A721" s="5">
        <v>660</v>
      </c>
      <c r="B721" s="1832">
        <f>'Expenditures 15-22'!C36</f>
        <v>60051</v>
      </c>
      <c r="D721" s="2" t="str">
        <f t="shared" si="10"/>
        <v>Error?</v>
      </c>
    </row>
    <row r="722" spans="1:4" x14ac:dyDescent="0.2">
      <c r="A722" s="5">
        <v>661</v>
      </c>
      <c r="B722" s="1832">
        <f>'Expenditures 15-22'!C37</f>
        <v>151919</v>
      </c>
      <c r="D722" s="2" t="str">
        <f t="shared" si="10"/>
        <v>Error?</v>
      </c>
    </row>
    <row r="723" spans="1:4" x14ac:dyDescent="0.2">
      <c r="A723" s="5">
        <v>662</v>
      </c>
      <c r="B723" s="1832">
        <f>'Expenditures 15-22'!C38</f>
        <v>53286</v>
      </c>
      <c r="D723" s="2" t="str">
        <f t="shared" si="10"/>
        <v>Error?</v>
      </c>
    </row>
    <row r="724" spans="1:4" x14ac:dyDescent="0.2">
      <c r="A724" s="5">
        <v>663</v>
      </c>
      <c r="B724" s="1832">
        <f>'Expenditures 15-22'!C39</f>
        <v>65336</v>
      </c>
      <c r="D724" s="2" t="str">
        <f t="shared" si="10"/>
        <v>Error?</v>
      </c>
    </row>
    <row r="725" spans="1:4" x14ac:dyDescent="0.2">
      <c r="A725" s="5">
        <v>664</v>
      </c>
      <c r="B725" s="1832">
        <f>'Expenditures 15-22'!C40</f>
        <v>181264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511856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75148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75148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433829</v>
      </c>
      <c r="D733" s="2" t="str">
        <f t="shared" si="10"/>
        <v>Error?</v>
      </c>
    </row>
    <row r="734" spans="1:4" x14ac:dyDescent="0.2">
      <c r="A734" s="5">
        <v>673</v>
      </c>
      <c r="B734" s="1832">
        <f>'Expenditures 15-22'!C53</f>
        <v>433829</v>
      </c>
      <c r="C734" s="2" t="s">
        <v>569</v>
      </c>
      <c r="D734" s="2" t="str">
        <f t="shared" si="10"/>
        <v>Error?</v>
      </c>
    </row>
    <row r="735" spans="1:4" x14ac:dyDescent="0.2">
      <c r="A735" s="5">
        <v>674</v>
      </c>
      <c r="B735" s="1832">
        <f>'Expenditures 15-22'!C55</f>
        <v>490552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490552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1608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1608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1512993</v>
      </c>
      <c r="C755" s="2" t="s">
        <v>569</v>
      </c>
      <c r="D755" s="2" t="str">
        <f t="shared" si="10"/>
        <v>Error?</v>
      </c>
    </row>
    <row r="756" spans="1:4" x14ac:dyDescent="0.2">
      <c r="A756" s="5">
        <v>695</v>
      </c>
      <c r="B756" s="1832">
        <f>'Expenditures 15-22'!C75</f>
        <v>67388</v>
      </c>
      <c r="D756" s="2" t="str">
        <f t="shared" si="10"/>
        <v>Error?</v>
      </c>
    </row>
    <row r="757" spans="1:4" x14ac:dyDescent="0.2">
      <c r="A757" s="5">
        <v>696</v>
      </c>
      <c r="B757" s="1832">
        <f>'Expenditures 15-22'!C114</f>
        <v>5848579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465713</v>
      </c>
      <c r="D763" s="2" t="str">
        <f t="shared" si="10"/>
        <v>Error?</v>
      </c>
    </row>
    <row r="764" spans="1:4" x14ac:dyDescent="0.2">
      <c r="A764" s="5">
        <v>703</v>
      </c>
      <c r="B764" s="1832">
        <f>'Expenditures 15-22'!D16</f>
        <v>16147</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625114</v>
      </c>
      <c r="C778" s="2" t="s">
        <v>569</v>
      </c>
      <c r="D778" s="2" t="str">
        <f t="shared" si="11"/>
        <v>Error?</v>
      </c>
    </row>
    <row r="779" spans="1:4" x14ac:dyDescent="0.2">
      <c r="A779" s="5">
        <v>718</v>
      </c>
      <c r="B779" s="1832">
        <f>'Expenditures 15-22'!D36</f>
        <v>9228</v>
      </c>
      <c r="D779" s="2" t="str">
        <f t="shared" si="11"/>
        <v>Error?</v>
      </c>
    </row>
    <row r="780" spans="1:4" x14ac:dyDescent="0.2">
      <c r="A780" s="5">
        <v>719</v>
      </c>
      <c r="B780" s="1832">
        <f>'Expenditures 15-22'!D37</f>
        <v>11414</v>
      </c>
      <c r="D780" s="2" t="str">
        <f t="shared" si="11"/>
        <v>Error?</v>
      </c>
    </row>
    <row r="781" spans="1:4" x14ac:dyDescent="0.2">
      <c r="A781" s="5">
        <v>720</v>
      </c>
      <c r="B781" s="1832">
        <f>'Expenditures 15-22'!D38</f>
        <v>6727</v>
      </c>
      <c r="D781" s="2" t="str">
        <f t="shared" si="11"/>
        <v>Error?</v>
      </c>
    </row>
    <row r="782" spans="1:4" x14ac:dyDescent="0.2">
      <c r="A782" s="5">
        <v>721</v>
      </c>
      <c r="B782" s="1832">
        <f>'Expenditures 15-22'!D39</f>
        <v>7059</v>
      </c>
      <c r="D782" s="2" t="str">
        <f t="shared" si="11"/>
        <v>Error?</v>
      </c>
    </row>
    <row r="783" spans="1:4" x14ac:dyDescent="0.2">
      <c r="A783" s="5">
        <v>722</v>
      </c>
      <c r="B783" s="1832">
        <f>'Expenditures 15-22'!D40</f>
        <v>29503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63931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25539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25539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204789</v>
      </c>
      <c r="D791" s="2" t="str">
        <f t="shared" si="11"/>
        <v>Error?</v>
      </c>
    </row>
    <row r="792" spans="1:4" x14ac:dyDescent="0.2">
      <c r="A792" s="5">
        <v>731</v>
      </c>
      <c r="B792" s="1832">
        <f>'Expenditures 15-22'!D53</f>
        <v>204789</v>
      </c>
      <c r="C792" s="2" t="s">
        <v>569</v>
      </c>
      <c r="D792" s="2" t="str">
        <f t="shared" si="11"/>
        <v>Error?</v>
      </c>
    </row>
    <row r="793" spans="1:4" x14ac:dyDescent="0.2">
      <c r="A793" s="5">
        <v>732</v>
      </c>
      <c r="B793" s="1832">
        <f>'Expenditures 15-22'!D55</f>
        <v>213220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213220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507479</v>
      </c>
      <c r="C813" s="2" t="s">
        <v>569</v>
      </c>
      <c r="D813" s="2" t="str">
        <f t="shared" si="11"/>
        <v>Error?</v>
      </c>
    </row>
    <row r="814" spans="1:4" x14ac:dyDescent="0.2">
      <c r="A814" s="5">
        <v>753</v>
      </c>
      <c r="B814" s="1832">
        <f>'Expenditures 15-22'!D75</f>
        <v>301</v>
      </c>
      <c r="D814" s="2" t="str">
        <f t="shared" si="11"/>
        <v>Error?</v>
      </c>
    </row>
    <row r="815" spans="1:4" x14ac:dyDescent="0.2">
      <c r="A815" s="5">
        <v>754</v>
      </c>
      <c r="B815" s="1832">
        <f>'Expenditures 15-22'!D114</f>
        <v>1132894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13325</v>
      </c>
      <c r="D821" s="2" t="str">
        <f t="shared" si="11"/>
        <v>Error?</v>
      </c>
    </row>
    <row r="822" spans="1:4" x14ac:dyDescent="0.2">
      <c r="A822" s="5">
        <v>761</v>
      </c>
      <c r="B822" s="1832">
        <f>'Expenditures 15-22'!E16</f>
        <v>270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28896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3478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3478</v>
      </c>
      <c r="C843" s="2" t="s">
        <v>569</v>
      </c>
      <c r="D843" s="2" t="str">
        <f t="shared" si="12"/>
        <v>Error?</v>
      </c>
    </row>
    <row r="844" spans="1:4" x14ac:dyDescent="0.2">
      <c r="A844" s="5">
        <v>783</v>
      </c>
      <c r="B844" s="1832">
        <f>'Expenditures 15-22'!E44</f>
        <v>10532</v>
      </c>
      <c r="D844" s="2" t="str">
        <f t="shared" si="12"/>
        <v>Error?</v>
      </c>
    </row>
    <row r="845" spans="1:4" x14ac:dyDescent="0.2">
      <c r="A845" s="5">
        <v>784</v>
      </c>
      <c r="B845" s="1832">
        <f>'Expenditures 15-22'!E45</f>
        <v>254875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265407</v>
      </c>
      <c r="C847" s="2" t="s">
        <v>569</v>
      </c>
      <c r="D847" s="2" t="str">
        <f t="shared" si="12"/>
        <v>Error?</v>
      </c>
    </row>
    <row r="848" spans="1:4" x14ac:dyDescent="0.2">
      <c r="A848" s="5">
        <v>787</v>
      </c>
      <c r="B848" s="1832">
        <f>'Expenditures 15-22'!E49</f>
        <v>129075</v>
      </c>
      <c r="D848" s="2" t="str">
        <f t="shared" si="12"/>
        <v>Error?</v>
      </c>
    </row>
    <row r="849" spans="1:4" x14ac:dyDescent="0.2">
      <c r="A849" s="5">
        <v>788</v>
      </c>
      <c r="B849" s="1832">
        <f>'Expenditures 15-22'!E50</f>
        <v>66122</v>
      </c>
      <c r="D849" s="2" t="str">
        <f t="shared" si="12"/>
        <v>Error?</v>
      </c>
    </row>
    <row r="850" spans="1:4" x14ac:dyDescent="0.2">
      <c r="A850" s="5">
        <v>789</v>
      </c>
      <c r="B850" s="1832">
        <f>'Expenditures 15-22'!E53</f>
        <v>195197</v>
      </c>
      <c r="C850" s="2" t="s">
        <v>569</v>
      </c>
      <c r="D850" s="2" t="str">
        <f t="shared" si="12"/>
        <v>Error?</v>
      </c>
    </row>
    <row r="851" spans="1:4" x14ac:dyDescent="0.2">
      <c r="A851" s="5">
        <v>790</v>
      </c>
      <c r="B851" s="1832">
        <f>'Expenditures 15-22'!E55</f>
        <v>4839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4839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80001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123557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203558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672479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702662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168947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2034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185336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146</v>
      </c>
      <c r="D896" s="2" t="str">
        <f t="shared" si="13"/>
        <v>Error?</v>
      </c>
    </row>
    <row r="897" spans="1:4" x14ac:dyDescent="0.2">
      <c r="A897" s="5">
        <v>836</v>
      </c>
      <c r="B897" s="1832">
        <f>'Expenditures 15-22'!F38</f>
        <v>553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311</v>
      </c>
      <c r="D899" s="2" t="str">
        <f t="shared" si="13"/>
        <v>Error?</v>
      </c>
    </row>
    <row r="900" spans="1:4" x14ac:dyDescent="0.2">
      <c r="A900" s="5">
        <v>839</v>
      </c>
      <c r="B900" s="1832">
        <f>'Expenditures 15-22'!F41</f>
        <v>1833</v>
      </c>
      <c r="D900" s="2" t="str">
        <f t="shared" si="13"/>
        <v>Error?</v>
      </c>
    </row>
    <row r="901" spans="1:4" x14ac:dyDescent="0.2">
      <c r="A901" s="5">
        <v>840</v>
      </c>
      <c r="B901" s="1832">
        <f>'Expenditures 15-22'!F42</f>
        <v>2843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124230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124230</v>
      </c>
      <c r="C905" s="2" t="s">
        <v>569</v>
      </c>
      <c r="D905" s="2" t="str">
        <f t="shared" si="13"/>
        <v>Error?</v>
      </c>
    </row>
    <row r="906" spans="1:4" x14ac:dyDescent="0.2">
      <c r="A906" s="5">
        <v>845</v>
      </c>
      <c r="B906" s="1832">
        <f>'Expenditures 15-22'!F49</f>
        <v>16924</v>
      </c>
      <c r="D906" s="2" t="str">
        <f t="shared" si="13"/>
        <v>Error?</v>
      </c>
    </row>
    <row r="907" spans="1:4" x14ac:dyDescent="0.2">
      <c r="A907" s="5">
        <v>846</v>
      </c>
      <c r="B907" s="1832">
        <f>'Expenditures 15-22'!F50</f>
        <v>17332</v>
      </c>
      <c r="D907" s="2" t="str">
        <f t="shared" si="13"/>
        <v>Error?</v>
      </c>
    </row>
    <row r="908" spans="1:4" x14ac:dyDescent="0.2">
      <c r="A908" s="5">
        <v>847</v>
      </c>
      <c r="B908" s="1832">
        <f>'Expenditures 15-22'!F53</f>
        <v>34256</v>
      </c>
      <c r="C908" s="2" t="s">
        <v>569</v>
      </c>
      <c r="D908" s="2" t="str">
        <f t="shared" si="13"/>
        <v>Error?</v>
      </c>
    </row>
    <row r="909" spans="1:4" x14ac:dyDescent="0.2">
      <c r="A909" s="5">
        <v>848</v>
      </c>
      <c r="B909" s="1832">
        <f>'Expenditures 15-22'!F55</f>
        <v>3549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3549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2053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2053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166931</v>
      </c>
      <c r="C929" s="2" t="s">
        <v>569</v>
      </c>
      <c r="D929" s="2" t="str">
        <f t="shared" si="13"/>
        <v>Error?</v>
      </c>
    </row>
    <row r="930" spans="1:4" x14ac:dyDescent="0.2">
      <c r="A930" s="5">
        <v>869</v>
      </c>
      <c r="B930" s="1832">
        <f>'Expenditures 15-22'!F75</f>
        <v>5805</v>
      </c>
      <c r="D930" s="2" t="str">
        <f t="shared" si="13"/>
        <v>Error?</v>
      </c>
    </row>
    <row r="931" spans="1:4" x14ac:dyDescent="0.2">
      <c r="A931" s="5">
        <v>870</v>
      </c>
      <c r="B931" s="1832">
        <f>'Expenditures 15-22'!F114</f>
        <v>358072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9657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12903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59481</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59481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5457</v>
      </c>
      <c r="D965" s="2" t="str">
        <f t="shared" si="14"/>
        <v>Error?</v>
      </c>
    </row>
    <row r="966" spans="1:4" x14ac:dyDescent="0.2">
      <c r="A966" s="5">
        <v>905</v>
      </c>
      <c r="B966" s="1832">
        <f>'Expenditures 15-22'!G53</f>
        <v>5457</v>
      </c>
      <c r="C966" s="2" t="s">
        <v>569</v>
      </c>
      <c r="D966" s="2" t="str">
        <f t="shared" si="14"/>
        <v>Error?</v>
      </c>
    </row>
    <row r="967" spans="1:4" x14ac:dyDescent="0.2">
      <c r="A967" s="5">
        <v>906</v>
      </c>
      <c r="B967" s="1832">
        <f>'Expenditures 15-22'!G55</f>
        <v>830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830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65768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78671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9088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136444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14663</v>
      </c>
      <c r="D1022" s="2" t="str">
        <f t="shared" si="14"/>
        <v>Error?</v>
      </c>
    </row>
    <row r="1023" spans="1:4" x14ac:dyDescent="0.2">
      <c r="A1023" s="5">
        <v>962</v>
      </c>
      <c r="B1023" s="1832">
        <f>'Expenditures 15-22'!H50</f>
        <v>626</v>
      </c>
      <c r="D1023" s="2" t="str">
        <f t="shared" ref="D1023:D1086" si="15">IF(ISBLANK(B1023),"OK",IF(A1023-B1023=0,"OK","Error?"))</f>
        <v>Error?</v>
      </c>
    </row>
    <row r="1024" spans="1:4" x14ac:dyDescent="0.2">
      <c r="A1024" s="5">
        <v>963</v>
      </c>
      <c r="B1024" s="1832">
        <f>'Expenditures 15-22'!H53</f>
        <v>15289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15289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830817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982550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3893979</v>
      </c>
      <c r="C1093" s="2" t="s">
        <v>569</v>
      </c>
      <c r="D1093" s="2" t="str">
        <f t="shared" si="16"/>
        <v>Error?</v>
      </c>
    </row>
    <row r="1094" spans="1:4" x14ac:dyDescent="0.2">
      <c r="A1094" s="5">
        <v>1033</v>
      </c>
      <c r="B1094" s="1832">
        <f>'Expenditures 15-22'!K16</f>
        <v>119482</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11122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5256891</v>
      </c>
      <c r="C1108" s="2" t="s">
        <v>569</v>
      </c>
      <c r="D1108" s="2" t="str">
        <f t="shared" si="16"/>
        <v>Error?</v>
      </c>
    </row>
    <row r="1109" spans="1:4" x14ac:dyDescent="0.2">
      <c r="A1109" s="5">
        <v>1048</v>
      </c>
      <c r="B1109" s="1832">
        <f>'Expenditures 15-22'!K36</f>
        <v>69279</v>
      </c>
      <c r="C1109" s="2" t="s">
        <v>569</v>
      </c>
      <c r="D1109" s="2" t="str">
        <f t="shared" si="16"/>
        <v>Error?</v>
      </c>
    </row>
    <row r="1110" spans="1:4" x14ac:dyDescent="0.2">
      <c r="A1110" s="5">
        <v>1049</v>
      </c>
      <c r="B1110" s="1832">
        <f>'Expenditures 15-22'!K37</f>
        <v>163479</v>
      </c>
      <c r="C1110" s="2" t="s">
        <v>569</v>
      </c>
      <c r="D1110" s="2" t="str">
        <f t="shared" si="16"/>
        <v>Error?</v>
      </c>
    </row>
    <row r="1111" spans="1:4" x14ac:dyDescent="0.2">
      <c r="A1111" s="5">
        <v>1050</v>
      </c>
      <c r="B1111" s="1832">
        <f>'Expenditures 15-22'!K38</f>
        <v>64044</v>
      </c>
      <c r="C1111" s="2" t="s">
        <v>569</v>
      </c>
      <c r="D1111" s="2" t="str">
        <f t="shared" si="16"/>
        <v>Error?</v>
      </c>
    </row>
    <row r="1112" spans="1:4" x14ac:dyDescent="0.2">
      <c r="A1112" s="5">
        <v>1051</v>
      </c>
      <c r="B1112" s="1832">
        <f>'Expenditures 15-22'!K39</f>
        <v>72395</v>
      </c>
      <c r="C1112" s="2" t="s">
        <v>569</v>
      </c>
      <c r="D1112" s="2" t="str">
        <f t="shared" si="16"/>
        <v>Error?</v>
      </c>
    </row>
    <row r="1113" spans="1:4" x14ac:dyDescent="0.2">
      <c r="A1113" s="5">
        <v>1052</v>
      </c>
      <c r="B1113" s="1832">
        <f>'Expenditures 15-22'!K40</f>
        <v>211078</v>
      </c>
      <c r="C1113" s="2" t="s">
        <v>569</v>
      </c>
      <c r="D1113" s="2" t="str">
        <f t="shared" si="16"/>
        <v>Error?</v>
      </c>
    </row>
    <row r="1114" spans="1:4" x14ac:dyDescent="0.2">
      <c r="A1114" s="5">
        <v>1053</v>
      </c>
      <c r="B1114" s="1832">
        <f>'Expenditures 15-22'!K41</f>
        <v>1833</v>
      </c>
      <c r="C1114" s="2" t="s">
        <v>569</v>
      </c>
      <c r="D1114" s="2" t="str">
        <f t="shared" si="16"/>
        <v>Error?</v>
      </c>
    </row>
    <row r="1115" spans="1:4" x14ac:dyDescent="0.2">
      <c r="A1115" s="5">
        <v>1054</v>
      </c>
      <c r="B1115" s="1832">
        <f>'Expenditures 15-22'!K42</f>
        <v>582108</v>
      </c>
      <c r="C1115" s="2" t="s">
        <v>569</v>
      </c>
      <c r="D1115" s="2" t="str">
        <f t="shared" si="16"/>
        <v>Error?</v>
      </c>
    </row>
    <row r="1116" spans="1:4" x14ac:dyDescent="0.2">
      <c r="A1116" s="5">
        <v>1055</v>
      </c>
      <c r="B1116" s="1832">
        <f>'Expenditures 15-22'!K44</f>
        <v>10532</v>
      </c>
      <c r="C1116" s="2" t="s">
        <v>569</v>
      </c>
      <c r="D1116" s="2" t="str">
        <f t="shared" si="16"/>
        <v>Error?</v>
      </c>
    </row>
    <row r="1117" spans="1:4" x14ac:dyDescent="0.2">
      <c r="A1117" s="5">
        <v>1056</v>
      </c>
      <c r="B1117" s="1832">
        <f>'Expenditures 15-22'!K45</f>
        <v>539273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549805</v>
      </c>
      <c r="C1119" s="2" t="s">
        <v>569</v>
      </c>
      <c r="D1119" s="2" t="str">
        <f t="shared" si="16"/>
        <v>Error?</v>
      </c>
    </row>
    <row r="1120" spans="1:4" x14ac:dyDescent="0.2">
      <c r="A1120" s="5">
        <v>1059</v>
      </c>
      <c r="B1120" s="1832">
        <f>'Expenditures 15-22'!K49</f>
        <v>160662</v>
      </c>
      <c r="C1120" s="2" t="s">
        <v>569</v>
      </c>
      <c r="D1120" s="2" t="str">
        <f t="shared" si="16"/>
        <v>Error?</v>
      </c>
    </row>
    <row r="1121" spans="1:4" x14ac:dyDescent="0.2">
      <c r="A1121" s="5">
        <v>1060</v>
      </c>
      <c r="B1121" s="1832">
        <f>'Expenditures 15-22'!K50</f>
        <v>728155</v>
      </c>
      <c r="C1121" s="2" t="s">
        <v>569</v>
      </c>
      <c r="D1121" s="2" t="str">
        <f t="shared" si="16"/>
        <v>Error?</v>
      </c>
    </row>
    <row r="1122" spans="1:4" x14ac:dyDescent="0.2">
      <c r="A1122" s="5">
        <v>1061</v>
      </c>
      <c r="B1122" s="1832">
        <f>'Expenditures 15-22'!K53</f>
        <v>888817</v>
      </c>
      <c r="C1122" s="2" t="s">
        <v>569</v>
      </c>
      <c r="D1122" s="2" t="str">
        <f t="shared" si="16"/>
        <v>Error?</v>
      </c>
    </row>
    <row r="1123" spans="1:4" x14ac:dyDescent="0.2">
      <c r="A1123" s="5">
        <v>1062</v>
      </c>
      <c r="B1123" s="1832">
        <f>'Expenditures 15-22'!K55</f>
        <v>712990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712990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80001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127218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207219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2940939</v>
      </c>
      <c r="C1143" s="2" t="s">
        <v>569</v>
      </c>
      <c r="D1143" s="2" t="str">
        <f t="shared" si="16"/>
        <v>Error?</v>
      </c>
    </row>
    <row r="1144" spans="1:4" x14ac:dyDescent="0.2">
      <c r="A1144" s="5">
        <v>1083</v>
      </c>
      <c r="B1144" s="1832">
        <f>'Expenditures 15-22'!K75</f>
        <v>73494</v>
      </c>
      <c r="C1144" s="2" t="s">
        <v>569</v>
      </c>
      <c r="D1144" s="2" t="str">
        <f t="shared" si="16"/>
        <v>Error?</v>
      </c>
    </row>
    <row r="1145" spans="1:4" x14ac:dyDescent="0.2">
      <c r="A1145" s="5">
        <v>1084</v>
      </c>
      <c r="B1145" s="1832">
        <f>'Expenditures 15-22'!K102</f>
        <v>832104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9103428</v>
      </c>
      <c r="C1152" s="2" t="s">
        <v>569</v>
      </c>
      <c r="D1152" s="2" t="str">
        <f t="shared" si="17"/>
        <v>Error?</v>
      </c>
    </row>
    <row r="1153" spans="1:4" x14ac:dyDescent="0.2">
      <c r="A1153" s="5">
        <v>1092</v>
      </c>
      <c r="B1153" s="1832">
        <f>'Expenditures 15-22'!K115</f>
        <v>537988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239894</v>
      </c>
      <c r="D1221" s="2" t="str">
        <f t="shared" si="18"/>
        <v>Error?</v>
      </c>
    </row>
    <row r="1222" spans="1:4" x14ac:dyDescent="0.2">
      <c r="A1222" s="10">
        <v>1161</v>
      </c>
      <c r="B1222" s="1832"/>
      <c r="D1222" s="2" t="str">
        <f t="shared" si="18"/>
        <v>OK</v>
      </c>
    </row>
    <row r="1223" spans="1:4" x14ac:dyDescent="0.2">
      <c r="A1223" s="5">
        <v>1162</v>
      </c>
      <c r="B1223" s="1832">
        <f>'Expenditures 15-22'!C127</f>
        <v>239894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239894</v>
      </c>
      <c r="C1225" s="2" t="s">
        <v>569</v>
      </c>
      <c r="D1225" s="2" t="str">
        <f t="shared" si="18"/>
        <v>Error?</v>
      </c>
    </row>
    <row r="1226" spans="1:4" x14ac:dyDescent="0.2">
      <c r="A1226" s="5">
        <v>1165</v>
      </c>
      <c r="B1226" s="1832">
        <f>'Expenditures 15-22'!C151</f>
        <v>239894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78100</v>
      </c>
      <c r="D1229" s="2" t="str">
        <f t="shared" si="18"/>
        <v>Error?</v>
      </c>
    </row>
    <row r="1230" spans="1:4" x14ac:dyDescent="0.2">
      <c r="A1230" s="10">
        <v>1169</v>
      </c>
      <c r="B1230" s="1832"/>
      <c r="D1230" s="2" t="str">
        <f t="shared" si="18"/>
        <v>OK</v>
      </c>
    </row>
    <row r="1231" spans="1:4" x14ac:dyDescent="0.2">
      <c r="A1231" s="5">
        <v>1170</v>
      </c>
      <c r="B1231" s="1832">
        <f>'Expenditures 15-22'!D127</f>
        <v>78100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78100</v>
      </c>
      <c r="C1233" s="2" t="s">
        <v>569</v>
      </c>
      <c r="D1233" s="2" t="str">
        <f t="shared" si="18"/>
        <v>Error?</v>
      </c>
    </row>
    <row r="1234" spans="1:4" x14ac:dyDescent="0.2">
      <c r="A1234" s="5">
        <v>1173</v>
      </c>
      <c r="B1234" s="1832">
        <f>'Expenditures 15-22'!D151</f>
        <v>78100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244032</v>
      </c>
      <c r="D1237" s="2" t="str">
        <f t="shared" si="18"/>
        <v>Error?</v>
      </c>
    </row>
    <row r="1238" spans="1:4" x14ac:dyDescent="0.2">
      <c r="A1238" s="10">
        <v>1177</v>
      </c>
      <c r="B1238" s="1832"/>
      <c r="D1238" s="2" t="str">
        <f t="shared" si="18"/>
        <v>OK</v>
      </c>
    </row>
    <row r="1239" spans="1:4" x14ac:dyDescent="0.2">
      <c r="A1239" s="5">
        <v>1178</v>
      </c>
      <c r="B1239" s="1832">
        <f>'Expenditures 15-22'!E127</f>
        <v>244032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244032</v>
      </c>
      <c r="C1241" s="2" t="s">
        <v>569</v>
      </c>
      <c r="D1241" s="2" t="str">
        <f t="shared" si="18"/>
        <v>Error?</v>
      </c>
    </row>
    <row r="1242" spans="1:4" x14ac:dyDescent="0.2">
      <c r="A1242" s="5">
        <v>1181</v>
      </c>
      <c r="B1242" s="1832">
        <f>'Expenditures 15-22'!E151</f>
        <v>244032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247369</v>
      </c>
      <c r="D1245" s="2" t="str">
        <f t="shared" si="18"/>
        <v>Error?</v>
      </c>
    </row>
    <row r="1246" spans="1:4" x14ac:dyDescent="0.2">
      <c r="A1246" s="10">
        <v>1185</v>
      </c>
      <c r="B1246" s="1832"/>
      <c r="D1246" s="2" t="str">
        <f t="shared" si="18"/>
        <v>OK</v>
      </c>
    </row>
    <row r="1247" spans="1:4" x14ac:dyDescent="0.2">
      <c r="A1247" s="5">
        <v>1186</v>
      </c>
      <c r="B1247" s="1832">
        <f>'Expenditures 15-22'!F127</f>
        <v>247369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247369</v>
      </c>
      <c r="C1249" s="2" t="s">
        <v>569</v>
      </c>
      <c r="D1249" s="2" t="str">
        <f t="shared" si="18"/>
        <v>Error?</v>
      </c>
    </row>
    <row r="1250" spans="1:4" x14ac:dyDescent="0.2">
      <c r="A1250" s="5">
        <v>1189</v>
      </c>
      <c r="B1250" s="1832">
        <f>'Expenditures 15-22'!F151</f>
        <v>247369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124807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124807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124807</v>
      </c>
      <c r="C1258" s="2" t="s">
        <v>569</v>
      </c>
      <c r="D1258" s="2" t="str">
        <f t="shared" si="18"/>
        <v>Error?</v>
      </c>
    </row>
    <row r="1259" spans="1:4" x14ac:dyDescent="0.2">
      <c r="A1259" s="5">
        <v>1198</v>
      </c>
      <c r="B1259" s="1832">
        <f>'Expenditures 15-22'!G151</f>
        <v>124807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105304</v>
      </c>
      <c r="C1272" s="2" t="s">
        <v>569</v>
      </c>
      <c r="D1272" s="2" t="str">
        <f t="shared" si="18"/>
        <v>Error?</v>
      </c>
    </row>
    <row r="1273" spans="1:4" x14ac:dyDescent="0.2">
      <c r="A1273" s="5">
        <v>1212</v>
      </c>
      <c r="B1273" s="1832">
        <f>'Expenditures 15-22'!H151</f>
        <v>105304</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934202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934202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934202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105304</v>
      </c>
      <c r="C1287" s="2" t="s">
        <v>569</v>
      </c>
      <c r="D1287" s="2" t="str">
        <f t="shared" si="19"/>
        <v>Error?</v>
      </c>
    </row>
    <row r="1288" spans="1:4" x14ac:dyDescent="0.2">
      <c r="A1288" s="5">
        <v>1227</v>
      </c>
      <c r="B1288" s="1832">
        <f>'Expenditures 15-22'!K151</f>
        <v>1039506</v>
      </c>
      <c r="C1288" s="2" t="s">
        <v>569</v>
      </c>
      <c r="D1288" s="2" t="str">
        <f t="shared" si="19"/>
        <v>Error?</v>
      </c>
    </row>
    <row r="1289" spans="1:4" x14ac:dyDescent="0.2">
      <c r="A1289" s="5">
        <v>1228</v>
      </c>
      <c r="B1289" s="1832">
        <f>'Expenditures 15-22'!K152</f>
        <v>354054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281588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470846</v>
      </c>
      <c r="D1315" s="2" t="str">
        <f t="shared" si="19"/>
        <v>Error?</v>
      </c>
    </row>
    <row r="1316" spans="1:4" x14ac:dyDescent="0.2">
      <c r="A1316" s="5">
        <v>1255</v>
      </c>
      <c r="B1316" s="1832">
        <f>'Expenditures 15-22'!H171</f>
        <v>2596</v>
      </c>
      <c r="D1316" s="2" t="str">
        <f t="shared" si="19"/>
        <v>Error?</v>
      </c>
    </row>
    <row r="1317" spans="1:4" x14ac:dyDescent="0.2">
      <c r="A1317" s="5">
        <v>1256</v>
      </c>
      <c r="B1317" s="1832">
        <f>'Expenditures 15-22'!H172</f>
        <v>755030</v>
      </c>
      <c r="C1317" s="2" t="s">
        <v>569</v>
      </c>
      <c r="D1317" s="2" t="str">
        <f t="shared" si="19"/>
        <v>Error?</v>
      </c>
    </row>
    <row r="1318" spans="1:4" x14ac:dyDescent="0.2">
      <c r="A1318" s="5">
        <v>1257</v>
      </c>
      <c r="B1318" s="1832">
        <f>'Expenditures 15-22'!H174</f>
        <v>755030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281588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470846</v>
      </c>
      <c r="C1329" s="2" t="s">
        <v>569</v>
      </c>
      <c r="D1329" s="2" t="str">
        <f t="shared" si="19"/>
        <v>Error?</v>
      </c>
    </row>
    <row r="1330" spans="1:4" x14ac:dyDescent="0.2">
      <c r="A1330" s="5">
        <v>1269</v>
      </c>
      <c r="B1330" s="1832">
        <f>'Expenditures 15-22'!K171</f>
        <v>2596</v>
      </c>
      <c r="C1330" s="2" t="s">
        <v>569</v>
      </c>
      <c r="D1330" s="2" t="str">
        <f t="shared" si="19"/>
        <v>Error?</v>
      </c>
    </row>
    <row r="1331" spans="1:4" x14ac:dyDescent="0.2">
      <c r="A1331" s="5">
        <v>1270</v>
      </c>
      <c r="B1331" s="1832">
        <f>'Expenditures 15-22'!K172</f>
        <v>755030</v>
      </c>
      <c r="C1331" s="2" t="s">
        <v>569</v>
      </c>
      <c r="D1331" s="2" t="str">
        <f t="shared" si="19"/>
        <v>Error?</v>
      </c>
    </row>
    <row r="1332" spans="1:4" x14ac:dyDescent="0.2">
      <c r="A1332" s="5">
        <v>1271</v>
      </c>
      <c r="B1332" s="1832">
        <f>'Expenditures 15-22'!K174</f>
        <v>755030</v>
      </c>
      <c r="C1332" s="2" t="s">
        <v>569</v>
      </c>
      <c r="D1332" s="2" t="str">
        <f t="shared" si="19"/>
        <v>Error?</v>
      </c>
    </row>
    <row r="1333" spans="1:4" x14ac:dyDescent="0.2">
      <c r="A1333" s="5">
        <v>1272</v>
      </c>
      <c r="B1333" s="1832">
        <f>'Expenditures 15-22'!K175</f>
        <v>-421411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216052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216052</v>
      </c>
      <c r="C1339" s="2" t="s">
        <v>569</v>
      </c>
      <c r="D1339" s="2" t="str">
        <f t="shared" si="19"/>
        <v>Error?</v>
      </c>
    </row>
    <row r="1340" spans="1:4" x14ac:dyDescent="0.2">
      <c r="A1340" s="5">
        <v>1279</v>
      </c>
      <c r="B1340" s="1832">
        <f>'Expenditures 15-22'!C210</f>
        <v>216052</v>
      </c>
      <c r="C1340" s="2" t="s">
        <v>569</v>
      </c>
      <c r="D1340" s="2" t="str">
        <f t="shared" si="19"/>
        <v>Error?</v>
      </c>
    </row>
    <row r="1341" spans="1:4" x14ac:dyDescent="0.2">
      <c r="A1341" s="5">
        <v>1280</v>
      </c>
      <c r="B1341" s="1832">
        <f>'Expenditures 15-22'!D182</f>
        <v>23172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23172</v>
      </c>
      <c r="C1345" s="2" t="s">
        <v>569</v>
      </c>
      <c r="D1345" s="2" t="str">
        <f t="shared" si="20"/>
        <v>Error?</v>
      </c>
    </row>
    <row r="1346" spans="1:4" x14ac:dyDescent="0.2">
      <c r="A1346" s="5">
        <v>1285</v>
      </c>
      <c r="B1346" s="1832">
        <f>'Expenditures 15-22'!D210</f>
        <v>23172</v>
      </c>
      <c r="C1346" s="2" t="s">
        <v>569</v>
      </c>
      <c r="D1346" s="2" t="str">
        <f t="shared" si="20"/>
        <v>Error?</v>
      </c>
    </row>
    <row r="1347" spans="1:4" x14ac:dyDescent="0.2">
      <c r="A1347" s="5">
        <v>1286</v>
      </c>
      <c r="B1347" s="1832">
        <f>'Expenditures 15-22'!E182</f>
        <v>147902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147902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147902</v>
      </c>
      <c r="C1353" s="2" t="s">
        <v>569</v>
      </c>
      <c r="D1353" s="2" t="str">
        <f t="shared" si="20"/>
        <v>Error?</v>
      </c>
    </row>
    <row r="1354" spans="1:4" x14ac:dyDescent="0.2">
      <c r="A1354" s="5">
        <v>1293</v>
      </c>
      <c r="B1354" s="1832">
        <f>'Expenditures 15-22'!F182</f>
        <v>27479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27479</v>
      </c>
      <c r="C1358" s="2" t="s">
        <v>569</v>
      </c>
      <c r="D1358" s="2" t="str">
        <f t="shared" si="20"/>
        <v>Error?</v>
      </c>
    </row>
    <row r="1359" spans="1:4" x14ac:dyDescent="0.2">
      <c r="A1359" s="5">
        <v>1298</v>
      </c>
      <c r="B1359" s="1832">
        <f>'Expenditures 15-22'!F210</f>
        <v>27479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99073</v>
      </c>
      <c r="C1375" s="2" t="s">
        <v>569</v>
      </c>
      <c r="D1375" s="2" t="str">
        <f t="shared" si="20"/>
        <v>Error?</v>
      </c>
    </row>
    <row r="1376" spans="1:4" x14ac:dyDescent="0.2">
      <c r="A1376" s="5">
        <v>1315</v>
      </c>
      <c r="B1376" s="1832">
        <f>'Expenditures 15-22'!H210</f>
        <v>99073</v>
      </c>
      <c r="C1376" s="2" t="s">
        <v>569</v>
      </c>
      <c r="D1376" s="2" t="str">
        <f t="shared" si="20"/>
        <v>Error?</v>
      </c>
    </row>
    <row r="1377" spans="1:4" x14ac:dyDescent="0.2">
      <c r="A1377" s="5">
        <v>1316</v>
      </c>
      <c r="B1377" s="1832">
        <f>'Expenditures 15-22'!K182</f>
        <v>414605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414605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99073</v>
      </c>
      <c r="C1387" s="2" t="s">
        <v>569</v>
      </c>
      <c r="D1387" s="2" t="str">
        <f t="shared" si="20"/>
        <v>Error?</v>
      </c>
    </row>
    <row r="1388" spans="1:4" x14ac:dyDescent="0.2">
      <c r="A1388" s="5">
        <v>1327</v>
      </c>
      <c r="B1388" s="1832">
        <f>'Expenditures 15-22'!K210</f>
        <v>513678</v>
      </c>
      <c r="C1388" s="2" t="s">
        <v>569</v>
      </c>
      <c r="D1388" s="2" t="str">
        <f t="shared" si="20"/>
        <v>Error?</v>
      </c>
    </row>
    <row r="1389" spans="1:4" x14ac:dyDescent="0.2">
      <c r="A1389" s="5">
        <v>1328</v>
      </c>
      <c r="B1389" s="1832">
        <f>'Expenditures 15-22'!K211</f>
        <v>75999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1494</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107742</v>
      </c>
      <c r="C1410" s="2" t="s">
        <v>569</v>
      </c>
      <c r="D1410" s="2" t="str">
        <f t="shared" si="21"/>
        <v>Error?</v>
      </c>
    </row>
    <row r="1411" spans="1:4" x14ac:dyDescent="0.2">
      <c r="A1411" s="5">
        <v>1350</v>
      </c>
      <c r="B1411" s="1832">
        <f>'Expenditures 15-22'!D232</f>
        <v>860</v>
      </c>
      <c r="D1411" s="2" t="str">
        <f t="shared" si="21"/>
        <v>Error?</v>
      </c>
    </row>
    <row r="1412" spans="1:4" x14ac:dyDescent="0.2">
      <c r="A1412" s="5">
        <v>1351</v>
      </c>
      <c r="B1412" s="1832">
        <f>'Expenditures 15-22'!D233</f>
        <v>2203</v>
      </c>
      <c r="D1412" s="2" t="str">
        <f t="shared" si="21"/>
        <v>Error?</v>
      </c>
    </row>
    <row r="1413" spans="1:4" x14ac:dyDescent="0.2">
      <c r="A1413" s="5">
        <v>1352</v>
      </c>
      <c r="B1413" s="1832">
        <f>'Expenditures 15-22'!D234</f>
        <v>9398</v>
      </c>
      <c r="D1413" s="2" t="str">
        <f t="shared" si="21"/>
        <v>Error?</v>
      </c>
    </row>
    <row r="1414" spans="1:4" x14ac:dyDescent="0.2">
      <c r="A1414" s="5">
        <v>1353</v>
      </c>
      <c r="B1414" s="1832">
        <f>'Expenditures 15-22'!D235</f>
        <v>919</v>
      </c>
      <c r="D1414" s="2" t="str">
        <f t="shared" si="21"/>
        <v>Error?</v>
      </c>
    </row>
    <row r="1415" spans="1:4" x14ac:dyDescent="0.2">
      <c r="A1415" s="5">
        <v>1354</v>
      </c>
      <c r="B1415" s="1832">
        <f>'Expenditures 15-22'!D236</f>
        <v>2628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16008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13556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13556</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51325</v>
      </c>
      <c r="D1423" s="2" t="str">
        <f t="shared" si="21"/>
        <v>Error?</v>
      </c>
    </row>
    <row r="1424" spans="1:4" x14ac:dyDescent="0.2">
      <c r="A1424" s="5">
        <v>1363</v>
      </c>
      <c r="B1424" s="1832">
        <f>'Expenditures 15-22'!D257</f>
        <v>51325</v>
      </c>
      <c r="C1424" s="2" t="s">
        <v>569</v>
      </c>
      <c r="D1424" s="2" t="str">
        <f t="shared" si="21"/>
        <v>Error?</v>
      </c>
    </row>
    <row r="1425" spans="1:4" x14ac:dyDescent="0.2">
      <c r="A1425" s="5">
        <v>1364</v>
      </c>
      <c r="B1425" s="1832">
        <f>'Expenditures 15-22'!D259</f>
        <v>28721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28721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50395</v>
      </c>
      <c r="D1431" s="2" t="str">
        <f t="shared" si="21"/>
        <v>Error?</v>
      </c>
    </row>
    <row r="1432" spans="1:4" x14ac:dyDescent="0.2">
      <c r="A1432" s="5">
        <v>1371</v>
      </c>
      <c r="B1432" s="1832">
        <f>'Expenditures 15-22'!D267</f>
        <v>34797</v>
      </c>
      <c r="D1432" s="2" t="str">
        <f t="shared" si="21"/>
        <v>Error?</v>
      </c>
    </row>
    <row r="1433" spans="1:4" x14ac:dyDescent="0.2">
      <c r="A1433" s="5">
        <v>1372</v>
      </c>
      <c r="B1433" s="1832">
        <f>'Expenditures 15-22'!D268</f>
        <v>281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85473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195083</v>
      </c>
      <c r="C1446" s="2" t="s">
        <v>569</v>
      </c>
      <c r="D1446" s="2" t="str">
        <f t="shared" si="21"/>
        <v>Error?</v>
      </c>
    </row>
    <row r="1447" spans="1:4" x14ac:dyDescent="0.2">
      <c r="A1447" s="5">
        <v>1386</v>
      </c>
      <c r="B1447" s="1832">
        <f>'Expenditures 15-22'!D280</f>
        <v>7214</v>
      </c>
      <c r="D1447" s="2" t="str">
        <f t="shared" si="21"/>
        <v>Error?</v>
      </c>
    </row>
    <row r="1448" spans="1:4" x14ac:dyDescent="0.2">
      <c r="A1448" s="5">
        <v>1387</v>
      </c>
      <c r="B1448" s="1832">
        <f>'Expenditures 15-22'!D295</f>
        <v>310039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1494</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107742</v>
      </c>
      <c r="C1474" s="2" t="s">
        <v>569</v>
      </c>
      <c r="D1474" s="2" t="str">
        <f t="shared" si="22"/>
        <v>Error?</v>
      </c>
    </row>
    <row r="1475" spans="1:4" x14ac:dyDescent="0.2">
      <c r="A1475" s="5">
        <v>1414</v>
      </c>
      <c r="B1475" s="1832">
        <f>'Expenditures 15-22'!K232</f>
        <v>860</v>
      </c>
      <c r="C1475" s="2" t="s">
        <v>569</v>
      </c>
      <c r="D1475" s="2" t="str">
        <f t="shared" si="22"/>
        <v>Error?</v>
      </c>
    </row>
    <row r="1476" spans="1:4" x14ac:dyDescent="0.2">
      <c r="A1476" s="5">
        <v>1415</v>
      </c>
      <c r="B1476" s="1832">
        <f>'Expenditures 15-22'!K233</f>
        <v>2203</v>
      </c>
      <c r="C1476" s="2" t="s">
        <v>569</v>
      </c>
      <c r="D1476" s="2" t="str">
        <f t="shared" si="22"/>
        <v>Error?</v>
      </c>
    </row>
    <row r="1477" spans="1:4" x14ac:dyDescent="0.2">
      <c r="A1477" s="5">
        <v>1416</v>
      </c>
      <c r="B1477" s="1832">
        <f>'Expenditures 15-22'!K234</f>
        <v>9398</v>
      </c>
      <c r="C1477" s="2" t="s">
        <v>569</v>
      </c>
      <c r="D1477" s="2" t="str">
        <f t="shared" si="22"/>
        <v>Error?</v>
      </c>
    </row>
    <row r="1478" spans="1:4" x14ac:dyDescent="0.2">
      <c r="A1478" s="5">
        <v>1417</v>
      </c>
      <c r="B1478" s="1832">
        <f>'Expenditures 15-22'!K235</f>
        <v>919</v>
      </c>
      <c r="C1478" s="2" t="s">
        <v>569</v>
      </c>
      <c r="D1478" s="2" t="str">
        <f t="shared" si="22"/>
        <v>Error?</v>
      </c>
    </row>
    <row r="1479" spans="1:4" x14ac:dyDescent="0.2">
      <c r="A1479" s="5">
        <v>1418</v>
      </c>
      <c r="B1479" s="1832">
        <f>'Expenditures 15-22'!K236</f>
        <v>2628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16008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13556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13556</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51325</v>
      </c>
      <c r="C1487" s="2" t="s">
        <v>569</v>
      </c>
      <c r="D1487" s="2" t="str">
        <f t="shared" si="22"/>
        <v>Error?</v>
      </c>
    </row>
    <row r="1488" spans="1:4" x14ac:dyDescent="0.2">
      <c r="A1488" s="5">
        <v>1427</v>
      </c>
      <c r="B1488" s="1832">
        <f>'Expenditures 15-22'!K257</f>
        <v>51325</v>
      </c>
      <c r="C1488" s="2" t="s">
        <v>569</v>
      </c>
      <c r="D1488" s="2" t="str">
        <f t="shared" si="22"/>
        <v>Error?</v>
      </c>
    </row>
    <row r="1489" spans="1:4" x14ac:dyDescent="0.2">
      <c r="A1489" s="5">
        <v>1428</v>
      </c>
      <c r="B1489" s="1832">
        <f>'Expenditures 15-22'!K259</f>
        <v>28721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28721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50395</v>
      </c>
      <c r="C1495" s="2" t="s">
        <v>569</v>
      </c>
      <c r="D1495" s="2" t="str">
        <f t="shared" si="22"/>
        <v>Error?</v>
      </c>
    </row>
    <row r="1496" spans="1:4" x14ac:dyDescent="0.2">
      <c r="A1496" s="5">
        <v>1435</v>
      </c>
      <c r="B1496" s="1832">
        <f>'Expenditures 15-22'!K267</f>
        <v>34797</v>
      </c>
      <c r="C1496" s="2" t="s">
        <v>569</v>
      </c>
      <c r="D1496" s="2" t="str">
        <f t="shared" si="22"/>
        <v>Error?</v>
      </c>
    </row>
    <row r="1497" spans="1:4" x14ac:dyDescent="0.2">
      <c r="A1497" s="5">
        <v>1436</v>
      </c>
      <c r="B1497" s="1832">
        <f>'Expenditures 15-22'!K268</f>
        <v>281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85473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195083</v>
      </c>
      <c r="C1510" s="2" t="s">
        <v>569</v>
      </c>
      <c r="D1510" s="2" t="str">
        <f t="shared" si="22"/>
        <v>Error?</v>
      </c>
    </row>
    <row r="1511" spans="1:4" x14ac:dyDescent="0.2">
      <c r="A1511" s="5">
        <v>1450</v>
      </c>
      <c r="B1511" s="1832">
        <f>'Expenditures 15-22'!K280</f>
        <v>7214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310039</v>
      </c>
      <c r="C1517" s="2" t="s">
        <v>569</v>
      </c>
      <c r="D1517" s="2" t="str">
        <f t="shared" si="22"/>
        <v>Error?</v>
      </c>
    </row>
    <row r="1518" spans="1:4" x14ac:dyDescent="0.2">
      <c r="A1518" s="5">
        <v>1457</v>
      </c>
      <c r="B1518" s="1832">
        <f>'Expenditures 15-22'!K296</f>
        <v>5072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1442425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1442425</v>
      </c>
      <c r="C1547" s="2" t="s">
        <v>569</v>
      </c>
      <c r="D1547" s="2" t="str">
        <f t="shared" si="23"/>
        <v>Error?</v>
      </c>
    </row>
    <row r="1548" spans="1:4" x14ac:dyDescent="0.2">
      <c r="A1548" s="5">
        <v>1487</v>
      </c>
      <c r="B1548" s="1832">
        <f>'Expenditures 15-22'!G312</f>
        <v>1442425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1442425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1442425</v>
      </c>
      <c r="C1559" s="2" t="s">
        <v>569</v>
      </c>
      <c r="D1559" s="2" t="str">
        <f t="shared" si="23"/>
        <v>Error?</v>
      </c>
    </row>
    <row r="1560" spans="1:4" x14ac:dyDescent="0.2">
      <c r="A1560" s="5">
        <v>1499</v>
      </c>
      <c r="B1560" s="1832">
        <f>'Expenditures 15-22'!K312</f>
        <v>1442425</v>
      </c>
      <c r="C1560" s="2" t="s">
        <v>569</v>
      </c>
      <c r="D1560" s="2" t="str">
        <f t="shared" si="23"/>
        <v>Error?</v>
      </c>
    </row>
    <row r="1561" spans="1:4" x14ac:dyDescent="0.2">
      <c r="A1561" s="5">
        <v>1500</v>
      </c>
      <c r="B1561" s="1832">
        <f>'Expenditures 15-22'!K313</f>
        <v>-1442425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3087502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3530923</v>
      </c>
      <c r="C1630" s="2" t="s">
        <v>569</v>
      </c>
      <c r="D1630" s="2" t="str">
        <f t="shared" si="24"/>
        <v>Error?</v>
      </c>
    </row>
    <row r="1631" spans="1:4" x14ac:dyDescent="0.2">
      <c r="A1631" s="5">
        <v>1570</v>
      </c>
      <c r="B1631" s="1832">
        <f>'Acct Summary 7-8'!D79</f>
        <v>532615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582615</v>
      </c>
      <c r="C1644" s="2" t="s">
        <v>569</v>
      </c>
      <c r="D1644" s="2" t="str">
        <f t="shared" si="24"/>
        <v>Error?</v>
      </c>
    </row>
    <row r="1645" spans="1:4" x14ac:dyDescent="0.2">
      <c r="A1645" s="5">
        <v>1584</v>
      </c>
      <c r="B1645" s="1832">
        <f>'Acct Summary 7-8'!E79</f>
        <v>161733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202832</v>
      </c>
      <c r="C1658" s="2" t="s">
        <v>569</v>
      </c>
      <c r="D1658" s="2" t="str">
        <f t="shared" si="24"/>
        <v>Error?</v>
      </c>
    </row>
    <row r="1659" spans="1:4" x14ac:dyDescent="0.2">
      <c r="A1659" s="5">
        <v>1598</v>
      </c>
      <c r="B1659" s="1832">
        <f>'Acct Summary 7-8'!F79</f>
        <v>202894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278893</v>
      </c>
      <c r="C1672" s="2" t="s">
        <v>569</v>
      </c>
      <c r="D1672" s="2" t="str">
        <f t="shared" si="25"/>
        <v>Error?</v>
      </c>
    </row>
    <row r="1673" spans="1:4" x14ac:dyDescent="0.2">
      <c r="A1673" s="5">
        <v>1612</v>
      </c>
      <c r="B1673" s="1832">
        <f>'Acct Summary 7-8'!G79</f>
        <v>241239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246311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7792989</v>
      </c>
      <c r="C1744" s="2" t="s">
        <v>569</v>
      </c>
      <c r="D1744" s="2" t="str">
        <f t="shared" si="26"/>
        <v>Error?</v>
      </c>
    </row>
    <row r="1745" spans="1:5" x14ac:dyDescent="0.2">
      <c r="A1745" s="5">
        <v>1684</v>
      </c>
      <c r="B1745" s="1832">
        <f>'Tax Sched 23'!B5</f>
        <v>945540</v>
      </c>
      <c r="C1745" s="2" t="s">
        <v>569</v>
      </c>
      <c r="D1745" s="2" t="str">
        <f t="shared" si="26"/>
        <v>Error?</v>
      </c>
    </row>
    <row r="1746" spans="1:5" x14ac:dyDescent="0.2">
      <c r="A1746" s="5">
        <v>1685</v>
      </c>
      <c r="B1746" s="1832">
        <f>'Tax Sched 23'!B6</f>
        <v>333419</v>
      </c>
      <c r="C1746" s="2" t="s">
        <v>569</v>
      </c>
      <c r="D1746" s="2" t="str">
        <f t="shared" si="26"/>
        <v>Error?</v>
      </c>
    </row>
    <row r="1747" spans="1:5" x14ac:dyDescent="0.2">
      <c r="A1747" s="5">
        <v>1686</v>
      </c>
      <c r="B1747" s="1832">
        <f>'Tax Sched 23'!B7</f>
        <v>165227</v>
      </c>
      <c r="C1747" s="2" t="s">
        <v>569</v>
      </c>
      <c r="D1747" s="2" t="str">
        <f t="shared" si="26"/>
        <v>Error?</v>
      </c>
    </row>
    <row r="1748" spans="1:5" x14ac:dyDescent="0.2">
      <c r="A1748" s="5">
        <v>1687</v>
      </c>
      <c r="B1748" s="1832">
        <f>'Tax Sched 23'!B8</f>
        <v>136904</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76928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9619031</v>
      </c>
      <c r="C1759" s="2" t="s">
        <v>569</v>
      </c>
      <c r="D1759" s="2" t="str">
        <f t="shared" si="26"/>
        <v>Error?</v>
      </c>
    </row>
    <row r="1760" spans="1:5" x14ac:dyDescent="0.2">
      <c r="A1760" s="5">
        <v>1699</v>
      </c>
      <c r="B1760" s="1832">
        <f>'Tax Sched 23'!D4</f>
        <v>3728584</v>
      </c>
      <c r="C1760" s="2" t="s">
        <v>569</v>
      </c>
      <c r="D1760" s="2" t="str">
        <f t="shared" si="26"/>
        <v>Error?</v>
      </c>
    </row>
    <row r="1761" spans="1:7" x14ac:dyDescent="0.2">
      <c r="A1761" s="5">
        <v>1700</v>
      </c>
      <c r="B1761" s="1832">
        <f>'Tax Sched 23'!D5</f>
        <v>452366</v>
      </c>
      <c r="C1761" s="2" t="s">
        <v>569</v>
      </c>
      <c r="D1761" s="2" t="str">
        <f t="shared" si="26"/>
        <v>Error?</v>
      </c>
    </row>
    <row r="1762" spans="1:7" s="8" customFormat="1" x14ac:dyDescent="0.2">
      <c r="A1762" s="5">
        <v>1701</v>
      </c>
      <c r="B1762" s="1832">
        <f>'Tax Sched 23'!D6</f>
        <v>159550</v>
      </c>
      <c r="C1762" s="2" t="s">
        <v>569</v>
      </c>
      <c r="D1762" s="2" t="str">
        <f t="shared" si="26"/>
        <v>Error?</v>
      </c>
      <c r="E1762" s="9"/>
      <c r="G1762"/>
    </row>
    <row r="1763" spans="1:7" x14ac:dyDescent="0.2">
      <c r="A1763" s="5">
        <v>1702</v>
      </c>
      <c r="B1763" s="1832">
        <f>'Tax Sched 23'!D7</f>
        <v>79022</v>
      </c>
      <c r="C1763" s="2" t="s">
        <v>569</v>
      </c>
      <c r="D1763" s="2" t="str">
        <f t="shared" si="26"/>
        <v>Error?</v>
      </c>
    </row>
    <row r="1764" spans="1:7" x14ac:dyDescent="0.2">
      <c r="A1764" s="5">
        <v>1703</v>
      </c>
      <c r="B1764" s="1832">
        <f>'Tax Sched 23'!D8</f>
        <v>65461</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36833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4602177</v>
      </c>
      <c r="C1775" s="2" t="s">
        <v>569</v>
      </c>
      <c r="D1775" s="2" t="str">
        <f t="shared" si="26"/>
        <v>Error?</v>
      </c>
    </row>
    <row r="1776" spans="1:7" x14ac:dyDescent="0.2">
      <c r="A1776" s="5">
        <v>1715</v>
      </c>
      <c r="B1776" s="1832">
        <f>'Tax Sched 23'!C4</f>
        <v>4064405</v>
      </c>
      <c r="D1776" s="2" t="str">
        <f t="shared" si="26"/>
        <v>Error?</v>
      </c>
    </row>
    <row r="1777" spans="1:4" x14ac:dyDescent="0.2">
      <c r="A1777" s="5">
        <v>1716</v>
      </c>
      <c r="B1777" s="1832">
        <f>'Tax Sched 23'!C5</f>
        <v>493174</v>
      </c>
      <c r="D1777" s="2" t="str">
        <f t="shared" si="26"/>
        <v>Error?</v>
      </c>
    </row>
    <row r="1778" spans="1:4" x14ac:dyDescent="0.2">
      <c r="A1778" s="5">
        <v>1717</v>
      </c>
      <c r="B1778" s="1832">
        <f>'Tax Sched 23'!C6</f>
        <v>173869</v>
      </c>
      <c r="D1778" s="2" t="str">
        <f t="shared" si="26"/>
        <v>Error?</v>
      </c>
    </row>
    <row r="1779" spans="1:4" x14ac:dyDescent="0.2">
      <c r="A1779" s="5">
        <v>1718</v>
      </c>
      <c r="B1779" s="1832">
        <f>'Tax Sched 23'!C7</f>
        <v>86205</v>
      </c>
      <c r="D1779" s="2" t="str">
        <f t="shared" si="26"/>
        <v>Error?</v>
      </c>
    </row>
    <row r="1780" spans="1:4" x14ac:dyDescent="0.2">
      <c r="A1780" s="5">
        <v>1719</v>
      </c>
      <c r="B1780" s="1832">
        <f>'Tax Sched 23'!C8</f>
        <v>71443</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40095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5016854</v>
      </c>
      <c r="C1791" s="2" t="s">
        <v>569</v>
      </c>
      <c r="D1791" s="2" t="str">
        <f t="shared" ref="D1791:D1854" si="27">IF(ISBLANK(B1791),"OK",IF(A1791-B1791=0,"OK","Error?"))</f>
        <v>Error?</v>
      </c>
    </row>
    <row r="1792" spans="1:4" x14ac:dyDescent="0.2">
      <c r="A1792" s="5">
        <v>1731</v>
      </c>
      <c r="B1792" s="1832">
        <f>'Tax Sched 23'!F4</f>
        <v>3815120</v>
      </c>
      <c r="C1792" s="2" t="s">
        <v>569</v>
      </c>
      <c r="D1792" s="2" t="str">
        <f t="shared" si="27"/>
        <v>Error?</v>
      </c>
    </row>
    <row r="1793" spans="1:4" x14ac:dyDescent="0.2">
      <c r="A1793" s="5">
        <v>1732</v>
      </c>
      <c r="B1793" s="1832">
        <f>'Tax Sched 23'!F5</f>
        <v>462926</v>
      </c>
      <c r="C1793" s="2" t="s">
        <v>569</v>
      </c>
      <c r="D1793" s="2" t="str">
        <f t="shared" si="27"/>
        <v>Error?</v>
      </c>
    </row>
    <row r="1794" spans="1:4" x14ac:dyDescent="0.2">
      <c r="A1794" s="5">
        <v>1733</v>
      </c>
      <c r="B1794" s="1832">
        <f>'Tax Sched 23'!F6</f>
        <v>163204</v>
      </c>
      <c r="C1794" s="2" t="s">
        <v>569</v>
      </c>
      <c r="D1794" s="2" t="str">
        <f t="shared" si="27"/>
        <v>Error?</v>
      </c>
    </row>
    <row r="1795" spans="1:4" x14ac:dyDescent="0.2">
      <c r="A1795" s="5">
        <v>1734</v>
      </c>
      <c r="B1795" s="1832">
        <f>'Tax Sched 23'!F7</f>
        <v>80918</v>
      </c>
      <c r="C1795" s="2" t="s">
        <v>569</v>
      </c>
      <c r="D1795" s="2" t="str">
        <f t="shared" si="27"/>
        <v>Error?</v>
      </c>
    </row>
    <row r="1796" spans="1:4" x14ac:dyDescent="0.2">
      <c r="A1796" s="5">
        <v>1735</v>
      </c>
      <c r="B1796" s="1832">
        <f>'Tax Sched 23'!F8</f>
        <v>67061</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37637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4709153</v>
      </c>
      <c r="C1807" s="2" t="s">
        <v>569</v>
      </c>
      <c r="D1807" s="2" t="str">
        <f t="shared" si="27"/>
        <v>Error?</v>
      </c>
    </row>
    <row r="1808" spans="1:4" x14ac:dyDescent="0.2">
      <c r="A1808" s="5">
        <v>1747</v>
      </c>
      <c r="B1808" s="1832">
        <f>'Tax Sched 23'!E4</f>
        <v>7879525</v>
      </c>
      <c r="D1808" s="2" t="str">
        <f t="shared" si="27"/>
        <v>Error?</v>
      </c>
    </row>
    <row r="1809" spans="1:4" x14ac:dyDescent="0.2">
      <c r="A1809" s="5">
        <v>1748</v>
      </c>
      <c r="B1809" s="1832">
        <f>'Tax Sched 23'!E5</f>
        <v>956100</v>
      </c>
      <c r="D1809" s="2" t="str">
        <f t="shared" si="27"/>
        <v>Error?</v>
      </c>
    </row>
    <row r="1810" spans="1:4" x14ac:dyDescent="0.2">
      <c r="A1810" s="5">
        <v>1749</v>
      </c>
      <c r="B1810" s="1832">
        <f>'Tax Sched 23'!E6</f>
        <v>337073</v>
      </c>
      <c r="D1810" s="2" t="str">
        <f t="shared" si="27"/>
        <v>Error?</v>
      </c>
    </row>
    <row r="1811" spans="1:4" x14ac:dyDescent="0.2">
      <c r="A1811" s="5">
        <v>1750</v>
      </c>
      <c r="B1811" s="1832">
        <f>'Tax Sched 23'!E7</f>
        <v>167123</v>
      </c>
      <c r="D1811" s="2" t="str">
        <f t="shared" si="27"/>
        <v>Error?</v>
      </c>
    </row>
    <row r="1812" spans="1:4" x14ac:dyDescent="0.2">
      <c r="A1812" s="5">
        <v>1751</v>
      </c>
      <c r="B1812" s="1832">
        <f>'Tax Sched 23'!E8</f>
        <v>138504</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77732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9726007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6892581</v>
      </c>
      <c r="C1939" s="2" t="s">
        <v>569</v>
      </c>
      <c r="D1939" s="2" t="str">
        <f t="shared" si="29"/>
        <v>Error?</v>
      </c>
    </row>
    <row r="1940" spans="1:5" x14ac:dyDescent="0.2">
      <c r="A1940" s="5">
        <v>1879</v>
      </c>
      <c r="B1940" s="1832">
        <f>'Short-Term Long-Term Debt 24'!F49</f>
        <v>2390000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76928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76928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76928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49573</v>
      </c>
      <c r="D2008" s="2" t="str">
        <f t="shared" si="30"/>
        <v>Error?</v>
      </c>
    </row>
    <row r="2009" spans="1:4" x14ac:dyDescent="0.2">
      <c r="A2009" s="5">
        <v>1948</v>
      </c>
      <c r="B2009" s="1832">
        <f>'Cap Outlay Deprec 26'!C8</f>
        <v>14385151</v>
      </c>
      <c r="D2009" s="2" t="str">
        <f t="shared" si="30"/>
        <v>Error?</v>
      </c>
    </row>
    <row r="2010" spans="1:4" x14ac:dyDescent="0.2">
      <c r="A2010" s="5">
        <v>1949</v>
      </c>
      <c r="B2010" s="1832">
        <f>'Cap Outlay Deprec 26'!C10</f>
        <v>653249</v>
      </c>
      <c r="D2010" s="2" t="str">
        <f t="shared" si="30"/>
        <v>Error?</v>
      </c>
    </row>
    <row r="2011" spans="1:4" x14ac:dyDescent="0.2">
      <c r="A2011" s="5">
        <v>1950</v>
      </c>
      <c r="B2011" s="1832">
        <f>'Cap Outlay Deprec 26'!C12</f>
        <v>5312492</v>
      </c>
      <c r="D2011" s="2" t="str">
        <f t="shared" si="30"/>
        <v>Error?</v>
      </c>
    </row>
    <row r="2012" spans="1:4" x14ac:dyDescent="0.2">
      <c r="A2012" s="5">
        <v>1951</v>
      </c>
      <c r="B2012" s="1832">
        <f>'Cap Outlay Deprec 26'!C13</f>
        <v>905850</v>
      </c>
      <c r="D2012" s="2" t="str">
        <f t="shared" si="30"/>
        <v>Error?</v>
      </c>
    </row>
    <row r="2013" spans="1:4" x14ac:dyDescent="0.2">
      <c r="A2013" s="5">
        <v>1952</v>
      </c>
      <c r="B2013" s="1832">
        <f>'Cap Outlay Deprec 26'!C16</f>
        <v>21306315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1567232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78671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1645903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49573</v>
      </c>
      <c r="C2026" s="2" t="s">
        <v>569</v>
      </c>
      <c r="D2026" s="2" t="str">
        <f t="shared" si="30"/>
        <v>Error?</v>
      </c>
    </row>
    <row r="2027" spans="1:4" x14ac:dyDescent="0.2">
      <c r="A2027" s="5">
        <v>1966</v>
      </c>
      <c r="B2027" s="1832">
        <f>'Cap Outlay Deprec 26'!F8</f>
        <v>15952383</v>
      </c>
      <c r="C2027" s="2" t="s">
        <v>569</v>
      </c>
      <c r="D2027" s="2" t="str">
        <f t="shared" si="30"/>
        <v>Error?</v>
      </c>
    </row>
    <row r="2028" spans="1:4" x14ac:dyDescent="0.2">
      <c r="A2028" s="5">
        <v>1967</v>
      </c>
      <c r="B2028" s="1832">
        <f>'Cap Outlay Deprec 26'!F10</f>
        <v>653249</v>
      </c>
      <c r="C2028" s="2" t="s">
        <v>569</v>
      </c>
      <c r="D2028" s="2" t="str">
        <f t="shared" si="30"/>
        <v>Error?</v>
      </c>
    </row>
    <row r="2029" spans="1:4" x14ac:dyDescent="0.2">
      <c r="A2029" s="5">
        <v>1968</v>
      </c>
      <c r="B2029" s="1832">
        <f>'Cap Outlay Deprec 26'!F12</f>
        <v>5391163</v>
      </c>
      <c r="C2029" s="2" t="s">
        <v>569</v>
      </c>
      <c r="D2029" s="2" t="str">
        <f t="shared" si="30"/>
        <v>Error?</v>
      </c>
    </row>
    <row r="2030" spans="1:4" x14ac:dyDescent="0.2">
      <c r="A2030" s="5">
        <v>1969</v>
      </c>
      <c r="B2030" s="1832">
        <f>'Cap Outlay Deprec 26'!F13</f>
        <v>905850</v>
      </c>
      <c r="C2030" s="2" t="s">
        <v>569</v>
      </c>
      <c r="D2030" s="2" t="str">
        <f t="shared" si="30"/>
        <v>Error?</v>
      </c>
    </row>
    <row r="2031" spans="1:4" x14ac:dyDescent="0.2">
      <c r="A2031" s="5">
        <v>1970</v>
      </c>
      <c r="B2031" s="1832">
        <f>'Cap Outlay Deprec 26'!F16</f>
        <v>22952218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8557315</v>
      </c>
      <c r="D2033" s="2" t="str">
        <f t="shared" si="30"/>
        <v>Error?</v>
      </c>
    </row>
    <row r="2034" spans="1:4" x14ac:dyDescent="0.2">
      <c r="A2034" s="5">
        <v>1973</v>
      </c>
      <c r="B2034" s="1832">
        <f>'Cap Outlay Deprec 26'!H10</f>
        <v>456285</v>
      </c>
      <c r="D2034" s="2" t="str">
        <f t="shared" si="30"/>
        <v>Error?</v>
      </c>
    </row>
    <row r="2035" spans="1:4" x14ac:dyDescent="0.2">
      <c r="A2035" s="5">
        <v>1974</v>
      </c>
      <c r="B2035" s="1832">
        <f>'Cap Outlay Deprec 26'!H12</f>
        <v>4686438</v>
      </c>
      <c r="D2035" s="2" t="str">
        <f t="shared" si="30"/>
        <v>Error?</v>
      </c>
    </row>
    <row r="2036" spans="1:4" x14ac:dyDescent="0.2">
      <c r="A2036" s="5">
        <v>1975</v>
      </c>
      <c r="B2036" s="1832">
        <f>'Cap Outlay Deprec 26'!H13</f>
        <v>593929</v>
      </c>
      <c r="D2036" s="2" t="str">
        <f t="shared" si="30"/>
        <v>Error?</v>
      </c>
    </row>
    <row r="2037" spans="1:4" x14ac:dyDescent="0.2">
      <c r="A2037" s="5">
        <v>1976</v>
      </c>
      <c r="B2037" s="1832">
        <f>'Cap Outlay Deprec 26'!H16</f>
        <v>14293967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367048</v>
      </c>
      <c r="D2039" s="2" t="str">
        <f t="shared" si="30"/>
        <v>Error?</v>
      </c>
    </row>
    <row r="2040" spans="1:4" x14ac:dyDescent="0.2">
      <c r="A2040" s="5">
        <v>1979</v>
      </c>
      <c r="B2040" s="1832">
        <f>'Cap Outlay Deprec 26'!I10</f>
        <v>17146</v>
      </c>
      <c r="D2040" s="2" t="str">
        <f t="shared" si="30"/>
        <v>Error?</v>
      </c>
    </row>
    <row r="2041" spans="1:4" x14ac:dyDescent="0.2">
      <c r="A2041" s="5">
        <v>1980</v>
      </c>
      <c r="B2041" s="1832">
        <f>'Cap Outlay Deprec 26'!I12</f>
        <v>203845</v>
      </c>
      <c r="D2041" s="2" t="str">
        <f t="shared" si="30"/>
        <v>Error?</v>
      </c>
    </row>
    <row r="2042" spans="1:4" x14ac:dyDescent="0.2">
      <c r="A2042" s="5">
        <v>1981</v>
      </c>
      <c r="B2042" s="1832">
        <f>'Cap Outlay Deprec 26'!I13</f>
        <v>98412</v>
      </c>
      <c r="D2042" s="2" t="str">
        <f t="shared" si="30"/>
        <v>Error?</v>
      </c>
    </row>
    <row r="2043" spans="1:4" x14ac:dyDescent="0.2">
      <c r="A2043" s="5">
        <v>1982</v>
      </c>
      <c r="B2043" s="1832">
        <f>'Cap Outlay Deprec 26'!I16</f>
        <v>686451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8924363</v>
      </c>
      <c r="C2051" s="2" t="s">
        <v>569</v>
      </c>
      <c r="D2051" s="2" t="str">
        <f t="shared" si="31"/>
        <v>Error?</v>
      </c>
    </row>
    <row r="2052" spans="1:4" x14ac:dyDescent="0.2">
      <c r="A2052" s="5">
        <v>1991</v>
      </c>
      <c r="B2052" s="1832">
        <f>'Cap Outlay Deprec 26'!K10</f>
        <v>473431</v>
      </c>
      <c r="C2052" s="2" t="s">
        <v>569</v>
      </c>
      <c r="D2052" s="2" t="str">
        <f t="shared" si="31"/>
        <v>Error?</v>
      </c>
    </row>
    <row r="2053" spans="1:4" x14ac:dyDescent="0.2">
      <c r="A2053" s="5">
        <v>1992</v>
      </c>
      <c r="B2053" s="1832">
        <f>'Cap Outlay Deprec 26'!K12</f>
        <v>4890283</v>
      </c>
      <c r="C2053" s="2" t="s">
        <v>569</v>
      </c>
      <c r="D2053" s="2" t="str">
        <f t="shared" si="31"/>
        <v>Error?</v>
      </c>
    </row>
    <row r="2054" spans="1:4" x14ac:dyDescent="0.2">
      <c r="A2054" s="5">
        <v>1993</v>
      </c>
      <c r="B2054" s="1832">
        <f>'Cap Outlay Deprec 26'!K13</f>
        <v>692341</v>
      </c>
      <c r="C2054" s="2" t="s">
        <v>569</v>
      </c>
      <c r="D2054" s="2" t="str">
        <f t="shared" si="31"/>
        <v>Error?</v>
      </c>
    </row>
    <row r="2055" spans="1:4" x14ac:dyDescent="0.2">
      <c r="A2055" s="5">
        <v>1994</v>
      </c>
      <c r="B2055" s="1832">
        <f>'Cap Outlay Deprec 26'!K16</f>
        <v>14980418</v>
      </c>
      <c r="C2055" s="2" t="s">
        <v>569</v>
      </c>
      <c r="D2055" s="2" t="str">
        <f t="shared" si="31"/>
        <v>Error?</v>
      </c>
    </row>
    <row r="2056" spans="1:4" x14ac:dyDescent="0.2">
      <c r="A2056" s="5">
        <v>1995</v>
      </c>
      <c r="B2056" s="1832">
        <f>'Cap Outlay Deprec 26'!L5</f>
        <v>49573</v>
      </c>
      <c r="C2056" s="2" t="s">
        <v>569</v>
      </c>
      <c r="D2056" s="2" t="str">
        <f t="shared" si="31"/>
        <v>Error?</v>
      </c>
    </row>
    <row r="2057" spans="1:4" x14ac:dyDescent="0.2">
      <c r="A2057" s="5">
        <v>1996</v>
      </c>
      <c r="B2057" s="1832">
        <f>'Cap Outlay Deprec 26'!L8</f>
        <v>7028020</v>
      </c>
      <c r="C2057" s="2" t="s">
        <v>569</v>
      </c>
      <c r="D2057" s="2" t="str">
        <f t="shared" si="31"/>
        <v>Error?</v>
      </c>
    </row>
    <row r="2058" spans="1:4" x14ac:dyDescent="0.2">
      <c r="A2058" s="5">
        <v>1997</v>
      </c>
      <c r="B2058" s="1832">
        <f>'Cap Outlay Deprec 26'!L10</f>
        <v>179818</v>
      </c>
      <c r="C2058" s="2" t="s">
        <v>569</v>
      </c>
      <c r="D2058" s="2" t="str">
        <f t="shared" si="31"/>
        <v>Error?</v>
      </c>
    </row>
    <row r="2059" spans="1:4" x14ac:dyDescent="0.2">
      <c r="A2059" s="5">
        <v>1998</v>
      </c>
      <c r="B2059" s="1832">
        <f>'Cap Outlay Deprec 26'!L12</f>
        <v>500880</v>
      </c>
      <c r="C2059" s="2" t="s">
        <v>569</v>
      </c>
      <c r="D2059" s="2" t="str">
        <f t="shared" si="31"/>
        <v>Error?</v>
      </c>
    </row>
    <row r="2060" spans="1:4" x14ac:dyDescent="0.2">
      <c r="A2060" s="5">
        <v>1999</v>
      </c>
      <c r="B2060" s="1832">
        <f>'Cap Outlay Deprec 26'!L13</f>
        <v>213509</v>
      </c>
      <c r="C2060" s="2" t="s">
        <v>569</v>
      </c>
      <c r="D2060" s="2" t="str">
        <f t="shared" si="31"/>
        <v>Error?</v>
      </c>
    </row>
    <row r="2061" spans="1:4" x14ac:dyDescent="0.2">
      <c r="A2061" s="5">
        <v>2000</v>
      </c>
      <c r="B2061" s="1832">
        <f>'Cap Outlay Deprec 26'!L16</f>
        <v>7971800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318139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319426</v>
      </c>
      <c r="C2088" s="2" t="s">
        <v>569</v>
      </c>
      <c r="D2088" s="2" t="str">
        <f t="shared" si="31"/>
        <v>Error?</v>
      </c>
    </row>
    <row r="2089" spans="1:4" x14ac:dyDescent="0.2">
      <c r="A2089" s="5">
        <v>2028</v>
      </c>
      <c r="B2089" s="1832">
        <f>'Expenditures 15-22'!K92</f>
        <v>512678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1518799</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8415654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426638</v>
      </c>
      <c r="C2553" s="2" t="s">
        <v>569</v>
      </c>
      <c r="D2553" s="2" t="str">
        <f t="shared" si="38"/>
        <v>Error?</v>
      </c>
    </row>
    <row r="2554" spans="1:4" x14ac:dyDescent="0.2">
      <c r="A2554" s="5">
        <v>2493</v>
      </c>
      <c r="B2554" s="1832">
        <f>'Acct Summary 7-8'!C7</f>
        <v>799124</v>
      </c>
      <c r="C2554" s="2" t="s">
        <v>569</v>
      </c>
      <c r="D2554" s="2" t="str">
        <f t="shared" si="38"/>
        <v>Error?</v>
      </c>
    </row>
    <row r="2555" spans="1:4" x14ac:dyDescent="0.2">
      <c r="A2555" s="5">
        <v>2494</v>
      </c>
      <c r="B2555" s="1832">
        <f>'Acct Summary 7-8'!C8</f>
        <v>9641416</v>
      </c>
      <c r="C2555" s="2" t="s">
        <v>569</v>
      </c>
      <c r="D2555" s="2" t="str">
        <f t="shared" si="38"/>
        <v>Error?</v>
      </c>
    </row>
    <row r="2556" spans="1:4" x14ac:dyDescent="0.2">
      <c r="A2556" s="5">
        <v>2495</v>
      </c>
      <c r="B2556" s="1832">
        <f>'Acct Summary 7-8'!C12</f>
        <v>5256891</v>
      </c>
      <c r="C2556" s="2" t="s">
        <v>569</v>
      </c>
      <c r="D2556" s="2" t="str">
        <f t="shared" si="38"/>
        <v>Error?</v>
      </c>
    </row>
    <row r="2557" spans="1:4" x14ac:dyDescent="0.2">
      <c r="A2557" s="5">
        <v>2496</v>
      </c>
      <c r="B2557" s="1832">
        <f>'Acct Summary 7-8'!C13</f>
        <v>2940939</v>
      </c>
      <c r="C2557" s="2" t="s">
        <v>569</v>
      </c>
      <c r="D2557" s="2" t="str">
        <f t="shared" si="38"/>
        <v>Error?</v>
      </c>
    </row>
    <row r="2558" spans="1:4" x14ac:dyDescent="0.2">
      <c r="A2558" s="5">
        <v>2497</v>
      </c>
      <c r="B2558" s="1832">
        <f>'Acct Summary 7-8'!C14</f>
        <v>73494</v>
      </c>
      <c r="C2558" s="2" t="s">
        <v>569</v>
      </c>
      <c r="D2558" s="2" t="str">
        <f t="shared" si="38"/>
        <v>Error?</v>
      </c>
    </row>
    <row r="2559" spans="1:4" x14ac:dyDescent="0.2">
      <c r="A2559" s="5">
        <v>2498</v>
      </c>
      <c r="B2559" s="1832">
        <f>'Acct Summary 7-8'!C15</f>
        <v>832104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9103428</v>
      </c>
      <c r="C2561" s="2" t="s">
        <v>569</v>
      </c>
      <c r="D2561" s="2" t="str">
        <f t="shared" si="39"/>
        <v>Error?</v>
      </c>
    </row>
    <row r="2562" spans="1:4" x14ac:dyDescent="0.2">
      <c r="A2562" s="5">
        <v>2501</v>
      </c>
      <c r="B2562" s="1832">
        <f>'Acct Summary 7-8'!C20</f>
        <v>537988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1144344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249216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1393560</v>
      </c>
      <c r="C2568" s="2" t="s">
        <v>569</v>
      </c>
      <c r="D2568" s="2" t="str">
        <f t="shared" si="39"/>
        <v>Error?</v>
      </c>
    </row>
    <row r="2569" spans="1:4" x14ac:dyDescent="0.2">
      <c r="A2569" s="5">
        <v>2508</v>
      </c>
      <c r="B2569" s="1832">
        <f>'Acct Summary 7-8'!D13</f>
        <v>934202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105304</v>
      </c>
      <c r="C2572" s="2" t="s">
        <v>569</v>
      </c>
      <c r="D2572" s="2" t="str">
        <f t="shared" si="39"/>
        <v>Error?</v>
      </c>
    </row>
    <row r="2573" spans="1:4" x14ac:dyDescent="0.2">
      <c r="A2573" s="5">
        <v>2512</v>
      </c>
      <c r="B2573" s="1832">
        <f>'Acct Summary 7-8'!D17</f>
        <v>1039506</v>
      </c>
      <c r="C2573" s="2" t="s">
        <v>569</v>
      </c>
      <c r="D2573" s="2" t="str">
        <f t="shared" si="39"/>
        <v>Error?</v>
      </c>
    </row>
    <row r="2574" spans="1:4" x14ac:dyDescent="0.2">
      <c r="A2574" s="5">
        <v>2513</v>
      </c>
      <c r="B2574" s="1832">
        <f>'Acct Summary 7-8'!D20</f>
        <v>354054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220427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369250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589677</v>
      </c>
      <c r="C2595" s="2" t="s">
        <v>569</v>
      </c>
      <c r="D2595" s="2" t="str">
        <f t="shared" si="39"/>
        <v>Error?</v>
      </c>
    </row>
    <row r="2596" spans="1:4" x14ac:dyDescent="0.2">
      <c r="A2596" s="5">
        <v>2535</v>
      </c>
      <c r="B2596" s="1832">
        <f>'Acct Summary 7-8'!F13</f>
        <v>414605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99073</v>
      </c>
      <c r="C2599" s="2" t="s">
        <v>569</v>
      </c>
      <c r="D2599" s="2" t="str">
        <f t="shared" si="39"/>
        <v>Error?</v>
      </c>
    </row>
    <row r="2600" spans="1:4" x14ac:dyDescent="0.2">
      <c r="A2600" s="5">
        <v>2539</v>
      </c>
      <c r="B2600" s="1832">
        <f>'Acct Summary 7-8'!F17</f>
        <v>513678</v>
      </c>
      <c r="C2600" s="2" t="s">
        <v>569</v>
      </c>
      <c r="D2600" s="2" t="str">
        <f t="shared" si="39"/>
        <v>Error?</v>
      </c>
    </row>
    <row r="2601" spans="1:4" x14ac:dyDescent="0.2">
      <c r="A2601" s="5">
        <v>2540</v>
      </c>
      <c r="B2601" s="1832">
        <f>'Acct Summary 7-8'!F20</f>
        <v>75999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307373</v>
      </c>
      <c r="C2603" s="2" t="s">
        <v>569</v>
      </c>
      <c r="D2603" s="2" t="str">
        <f t="shared" si="39"/>
        <v>Error?</v>
      </c>
    </row>
    <row r="2604" spans="1:4" x14ac:dyDescent="0.2">
      <c r="A2604" s="5">
        <v>2543</v>
      </c>
      <c r="B2604" s="1832">
        <f>'Acct Summary 7-8'!G6</f>
        <v>7738</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315111</v>
      </c>
      <c r="C2606" s="2" t="s">
        <v>569</v>
      </c>
      <c r="D2606" s="2" t="str">
        <f t="shared" si="39"/>
        <v>Error?</v>
      </c>
    </row>
    <row r="2607" spans="1:4" x14ac:dyDescent="0.2">
      <c r="A2607" s="5">
        <v>2546</v>
      </c>
      <c r="B2607" s="1832">
        <f>'Acct Summary 7-8'!G12</f>
        <v>107742</v>
      </c>
      <c r="C2607" s="2" t="s">
        <v>569</v>
      </c>
      <c r="D2607" s="2" t="str">
        <f t="shared" si="39"/>
        <v>Error?</v>
      </c>
    </row>
    <row r="2608" spans="1:4" x14ac:dyDescent="0.2">
      <c r="A2608" s="5">
        <v>2547</v>
      </c>
      <c r="B2608" s="1832">
        <f>'Acct Summary 7-8'!G13</f>
        <v>195083</v>
      </c>
      <c r="C2608" s="2" t="s">
        <v>569</v>
      </c>
      <c r="D2608" s="2" t="str">
        <f t="shared" si="39"/>
        <v>Error?</v>
      </c>
    </row>
    <row r="2609" spans="1:4" x14ac:dyDescent="0.2">
      <c r="A2609" s="5">
        <v>2548</v>
      </c>
      <c r="B2609" s="1832">
        <f>'Acct Summary 7-8'!G14</f>
        <v>7214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310039</v>
      </c>
      <c r="C2612" s="2" t="s">
        <v>569</v>
      </c>
      <c r="D2612" s="2" t="str">
        <f t="shared" si="39"/>
        <v>Error?</v>
      </c>
    </row>
    <row r="2613" spans="1:4" x14ac:dyDescent="0.2">
      <c r="A2613" s="5">
        <v>2552</v>
      </c>
      <c r="B2613" s="1832">
        <f>'Acct Summary 7-8'!G20</f>
        <v>5072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333619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333619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755030</v>
      </c>
      <c r="C2634" s="2" t="s">
        <v>569</v>
      </c>
      <c r="D2634" s="2" t="str">
        <f t="shared" si="40"/>
        <v>Error?</v>
      </c>
    </row>
    <row r="2635" spans="1:4" x14ac:dyDescent="0.2">
      <c r="A2635" s="5">
        <v>2574</v>
      </c>
      <c r="B2635" s="1832">
        <f>'Acct Summary 7-8'!E17</f>
        <v>755030</v>
      </c>
      <c r="C2635" s="2" t="s">
        <v>569</v>
      </c>
      <c r="D2635" s="2" t="str">
        <f t="shared" si="40"/>
        <v>Error?</v>
      </c>
    </row>
    <row r="2636" spans="1:4" x14ac:dyDescent="0.2">
      <c r="A2636" s="5">
        <v>2575</v>
      </c>
      <c r="B2636" s="1832">
        <f>'Acct Summary 7-8'!E20</f>
        <v>-421411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1442425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1442425</v>
      </c>
      <c r="C2661" s="2" t="s">
        <v>569</v>
      </c>
      <c r="D2661" s="2" t="str">
        <f t="shared" si="40"/>
        <v>Error?</v>
      </c>
    </row>
    <row r="2662" spans="1:4" x14ac:dyDescent="0.2">
      <c r="A2662" s="5">
        <v>2601</v>
      </c>
      <c r="B2662" s="1832">
        <f>'Acct Summary 7-8'!H20</f>
        <v>-1442425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1287</v>
      </c>
      <c r="C2789" s="2" t="s">
        <v>569</v>
      </c>
      <c r="D2789" s="2" t="str">
        <f t="shared" si="42"/>
        <v>Error?</v>
      </c>
    </row>
    <row r="2790" spans="1:4" x14ac:dyDescent="0.2">
      <c r="A2790" s="5">
        <v>2729</v>
      </c>
      <c r="B2790" s="1832">
        <f>'Expenditures 15-22'!E102</f>
        <v>1287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33286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52841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33286</v>
      </c>
      <c r="D2912" s="2" t="str">
        <f t="shared" si="44"/>
        <v>Error?</v>
      </c>
    </row>
    <row r="2913" spans="1:4" x14ac:dyDescent="0.2">
      <c r="A2913" s="5">
        <v>2852</v>
      </c>
      <c r="B2913" s="1832">
        <f>'Assets-Liab 5-6'!I41</f>
        <v>33286</v>
      </c>
      <c r="C2913" s="2" t="s">
        <v>569</v>
      </c>
      <c r="D2913" s="2" t="str">
        <f t="shared" si="44"/>
        <v>Error?</v>
      </c>
    </row>
    <row r="2914" spans="1:4" x14ac:dyDescent="0.2">
      <c r="A2914" s="5">
        <v>2853</v>
      </c>
      <c r="B2914" s="1832">
        <f>'Assets-Liab 5-6'!L33</f>
        <v>52841</v>
      </c>
      <c r="D2914" s="2" t="str">
        <f t="shared" si="44"/>
        <v>Error?</v>
      </c>
    </row>
    <row r="2915" spans="1:4" x14ac:dyDescent="0.2">
      <c r="A2915" s="10">
        <v>2854</v>
      </c>
      <c r="B2915" s="1832"/>
      <c r="D2915" s="2" t="str">
        <f t="shared" si="44"/>
        <v>OK</v>
      </c>
    </row>
    <row r="2916" spans="1:4" x14ac:dyDescent="0.2">
      <c r="A2916" s="5">
        <v>2855</v>
      </c>
      <c r="B2916" s="1832">
        <f>'Assets-Liab 5-6'!L34</f>
        <v>52841</v>
      </c>
      <c r="C2916" s="2" t="s">
        <v>569</v>
      </c>
      <c r="D2916" s="2" t="str">
        <f t="shared" si="44"/>
        <v>Error?</v>
      </c>
    </row>
    <row r="2917" spans="1:4" x14ac:dyDescent="0.2">
      <c r="A2917" s="5">
        <v>2856</v>
      </c>
      <c r="B2917" s="1832">
        <f>'Assets-Liab 5-6'!L41</f>
        <v>52841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1287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318139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319426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160170</v>
      </c>
      <c r="D3055" s="2" t="str">
        <f t="shared" si="46"/>
        <v>Error?</v>
      </c>
    </row>
    <row r="3056" spans="1:4" x14ac:dyDescent="0.2">
      <c r="A3056" s="5">
        <v>2995</v>
      </c>
      <c r="B3056" s="1832">
        <f>'Expenditures 15-22'!D10</f>
        <v>21335</v>
      </c>
      <c r="D3056" s="2" t="str">
        <f t="shared" si="46"/>
        <v>Error?</v>
      </c>
    </row>
    <row r="3057" spans="1:4" x14ac:dyDescent="0.2">
      <c r="A3057" s="5">
        <v>2996</v>
      </c>
      <c r="B3057" s="1832">
        <f>'Expenditures 15-22'!E10</f>
        <v>2625</v>
      </c>
      <c r="D3057" s="2" t="str">
        <f t="shared" si="46"/>
        <v>Error?</v>
      </c>
    </row>
    <row r="3058" spans="1:4" x14ac:dyDescent="0.2">
      <c r="A3058" s="5">
        <v>2997</v>
      </c>
      <c r="B3058" s="1832">
        <f>'Expenditures 15-22'!F10</f>
        <v>6781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190911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2217</v>
      </c>
      <c r="D3064" s="2" t="str">
        <f t="shared" si="46"/>
        <v>Error?</v>
      </c>
    </row>
    <row r="3065" spans="1:4" x14ac:dyDescent="0.2">
      <c r="A3065" s="5">
        <v>3004</v>
      </c>
      <c r="B3065" s="1832">
        <f>'Expenditures 15-22'!K219</f>
        <v>2217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890000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181</v>
      </c>
      <c r="C3225" s="2" t="s">
        <v>569</v>
      </c>
      <c r="D3225" s="2" t="str">
        <f t="shared" si="49"/>
        <v>Error?</v>
      </c>
    </row>
    <row r="3226" spans="1:4" x14ac:dyDescent="0.2">
      <c r="A3226" s="5">
        <v>3165</v>
      </c>
      <c r="B3226" s="1832">
        <f>'Acct Summary 7-8'!I8</f>
        <v>181</v>
      </c>
      <c r="C3226" s="2" t="s">
        <v>569</v>
      </c>
      <c r="D3226" s="2" t="str">
        <f t="shared" si="49"/>
        <v>Error?</v>
      </c>
    </row>
    <row r="3227" spans="1:4" x14ac:dyDescent="0.2">
      <c r="A3227" s="5">
        <v>3166</v>
      </c>
      <c r="B3227" s="1832">
        <f>'Acct Summary 7-8'!I20</f>
        <v>181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94567</v>
      </c>
      <c r="C3231" s="2" t="s">
        <v>569</v>
      </c>
      <c r="D3231" s="2" t="str">
        <f t="shared" si="49"/>
        <v>Error?</v>
      </c>
    </row>
    <row r="3232" spans="1:4" x14ac:dyDescent="0.2">
      <c r="A3232" s="5">
        <v>3171</v>
      </c>
      <c r="B3232" s="1832">
        <f>'Acct Summary 7-8'!C77</f>
        <v>-94567</v>
      </c>
      <c r="C3232" s="2" t="s">
        <v>569</v>
      </c>
      <c r="D3232" s="2" t="str">
        <f t="shared" si="49"/>
        <v>Error?</v>
      </c>
    </row>
    <row r="3233" spans="1:4" x14ac:dyDescent="0.2">
      <c r="A3233" s="5">
        <v>3172</v>
      </c>
      <c r="B3233" s="1832">
        <f>'Acct Summary 7-8'!C78</f>
        <v>443421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304054</v>
      </c>
      <c r="C3237" s="2" t="s">
        <v>569</v>
      </c>
      <c r="D3237" s="2" t="str">
        <f t="shared" si="49"/>
        <v>Error?</v>
      </c>
    </row>
    <row r="3238" spans="1:4" x14ac:dyDescent="0.2">
      <c r="A3238" s="5">
        <v>3177</v>
      </c>
      <c r="B3238" s="1832">
        <f>'Acct Summary 7-8'!D77</f>
        <v>-304054</v>
      </c>
      <c r="C3238" s="2" t="s">
        <v>569</v>
      </c>
      <c r="D3238" s="2" t="str">
        <f t="shared" si="49"/>
        <v>Error?</v>
      </c>
    </row>
    <row r="3239" spans="1:4" x14ac:dyDescent="0.2">
      <c r="A3239" s="5">
        <v>3178</v>
      </c>
      <c r="B3239" s="1832">
        <f>'Acct Summary 7-8'!D78</f>
        <v>50000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75999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5072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1364995</v>
      </c>
      <c r="C3274" s="2" t="s">
        <v>569</v>
      </c>
      <c r="D3274" s="2" t="str">
        <f t="shared" si="50"/>
        <v>Error?</v>
      </c>
    </row>
    <row r="3275" spans="1:4" x14ac:dyDescent="0.2">
      <c r="A3275" s="5">
        <v>3214</v>
      </c>
      <c r="B3275" s="1832">
        <f>'Acct Summary 7-8'!E75</f>
        <v>902485</v>
      </c>
      <c r="D3275" s="2" t="str">
        <f t="shared" si="50"/>
        <v>Error?</v>
      </c>
    </row>
    <row r="3276" spans="1:4" x14ac:dyDescent="0.2">
      <c r="A3276" s="5">
        <v>3215</v>
      </c>
      <c r="B3276" s="1832">
        <f>'Acct Summary 7-8'!E76</f>
        <v>902485</v>
      </c>
      <c r="C3276" s="2" t="s">
        <v>569</v>
      </c>
      <c r="D3276" s="2" t="str">
        <f t="shared" si="50"/>
        <v>Error?</v>
      </c>
    </row>
    <row r="3277" spans="1:4" x14ac:dyDescent="0.2">
      <c r="A3277" s="5">
        <v>3216</v>
      </c>
      <c r="B3277" s="1832">
        <f>'Acct Summary 7-8'!E77</f>
        <v>462510</v>
      </c>
      <c r="C3277" s="2" t="s">
        <v>569</v>
      </c>
      <c r="D3277" s="2" t="str">
        <f t="shared" si="50"/>
        <v>Error?</v>
      </c>
    </row>
    <row r="3278" spans="1:4" x14ac:dyDescent="0.2">
      <c r="A3278" s="5">
        <v>3217</v>
      </c>
      <c r="B3278" s="1832">
        <f>'Acct Summary 7-8'!E78</f>
        <v>41099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1442425</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1442425</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1556026</v>
      </c>
      <c r="C3317" s="2" t="s">
        <v>569</v>
      </c>
      <c r="D3317" s="2" t="str">
        <f t="shared" si="50"/>
        <v>Error?</v>
      </c>
    </row>
    <row r="3318" spans="1:4" x14ac:dyDescent="0.2">
      <c r="A3318" s="5">
        <v>3257</v>
      </c>
      <c r="B3318" s="1832">
        <f>'Acct Summary 7-8'!I76</f>
        <v>1556026</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181</v>
      </c>
      <c r="C3320" s="2" t="s">
        <v>569</v>
      </c>
      <c r="D3320" s="2" t="str">
        <f t="shared" si="50"/>
        <v>Error?</v>
      </c>
    </row>
    <row r="3321" spans="1:4" x14ac:dyDescent="0.2">
      <c r="A3321" s="5">
        <v>3260</v>
      </c>
      <c r="B3321" s="1832">
        <f>'Acct Summary 7-8'!I79</f>
        <v>33105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33286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768626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121919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12676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7574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3246</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914041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53668</v>
      </c>
      <c r="D3387" s="2" t="str">
        <f t="shared" si="51"/>
        <v>Error?</v>
      </c>
    </row>
    <row r="3388" spans="1:4" x14ac:dyDescent="0.2">
      <c r="A3388" s="5">
        <v>3327</v>
      </c>
      <c r="B3388" s="1832">
        <f>'Expenditures 15-22'!D217</f>
        <v>50363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53668</v>
      </c>
      <c r="C3390" s="2" t="s">
        <v>569</v>
      </c>
      <c r="D3390" s="2" t="str">
        <f t="shared" si="51"/>
        <v>Error?</v>
      </c>
    </row>
    <row r="3391" spans="1:4" x14ac:dyDescent="0.2">
      <c r="A3391" s="5">
        <v>3330</v>
      </c>
      <c r="B3391" s="1832">
        <f>'Expenditures 15-22'!K217</f>
        <v>50363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3530923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582615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202832</v>
      </c>
      <c r="D3417" s="2" t="str">
        <f t="shared" si="52"/>
        <v>Error?</v>
      </c>
    </row>
    <row r="3418" spans="1:4" x14ac:dyDescent="0.2">
      <c r="A3418" s="10">
        <v>3357</v>
      </c>
      <c r="B3418" s="1832"/>
      <c r="D3418" s="2" t="str">
        <f t="shared" si="52"/>
        <v>OK</v>
      </c>
    </row>
    <row r="3419" spans="1:4" x14ac:dyDescent="0.2">
      <c r="A3419" s="5">
        <v>3358</v>
      </c>
      <c r="B3419" s="1832">
        <f>'Assets-Liab 5-6'!F4</f>
        <v>278893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246311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33286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52841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168024</v>
      </c>
      <c r="C3446" s="2" t="s">
        <v>569</v>
      </c>
      <c r="D3446" s="2" t="str">
        <f t="shared" si="52"/>
        <v>Error?</v>
      </c>
    </row>
    <row r="3447" spans="1:4" x14ac:dyDescent="0.2">
      <c r="A3447" s="5">
        <v>3386</v>
      </c>
      <c r="B3447" s="1832">
        <f>'Tax Sched 23'!D16</f>
        <v>80361</v>
      </c>
      <c r="C3447" s="2" t="s">
        <v>569</v>
      </c>
      <c r="D3447" s="2" t="str">
        <f t="shared" si="52"/>
        <v>Error?</v>
      </c>
    </row>
    <row r="3448" spans="1:4" x14ac:dyDescent="0.2">
      <c r="A3448" s="5">
        <v>3387</v>
      </c>
      <c r="B3448" s="1832">
        <f>'Tax Sched 23'!C16</f>
        <v>87663</v>
      </c>
      <c r="D3448" s="2" t="str">
        <f t="shared" si="52"/>
        <v>Error?</v>
      </c>
    </row>
    <row r="3449" spans="1:4" x14ac:dyDescent="0.2">
      <c r="A3449" s="5">
        <v>3388</v>
      </c>
      <c r="B3449" s="1832">
        <f>'Tax Sched 23'!F16</f>
        <v>82287</v>
      </c>
      <c r="C3449" s="2" t="s">
        <v>569</v>
      </c>
      <c r="D3449" s="2" t="str">
        <f t="shared" si="52"/>
        <v>Error?</v>
      </c>
    </row>
    <row r="3450" spans="1:4" x14ac:dyDescent="0.2">
      <c r="A3450" s="5">
        <v>3389</v>
      </c>
      <c r="B3450" s="1832">
        <f>'Tax Sched 23'!E16</f>
        <v>169950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549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549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549</v>
      </c>
      <c r="D3567" s="2" t="str">
        <f t="shared" si="54"/>
        <v>Error?</v>
      </c>
    </row>
    <row r="3568" spans="1:4" x14ac:dyDescent="0.2">
      <c r="A3568" s="5">
        <v>3507</v>
      </c>
      <c r="B3568" s="1832">
        <f>'Assets-Liab 5-6'!K41</f>
        <v>549</v>
      </c>
      <c r="C3568" s="2" t="s">
        <v>569</v>
      </c>
      <c r="D3568" s="2" t="str">
        <f t="shared" si="54"/>
        <v>Error?</v>
      </c>
    </row>
    <row r="3569" spans="1:4" x14ac:dyDescent="0.2">
      <c r="A3569" s="5">
        <v>3508</v>
      </c>
      <c r="B3569" s="1832">
        <f>'Acct Summary 7-8'!K4</f>
        <v>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v>
      </c>
      <c r="C3588" s="2" t="s">
        <v>569</v>
      </c>
      <c r="D3588" s="2" t="str">
        <f t="shared" si="55"/>
        <v>Error?</v>
      </c>
    </row>
    <row r="3589" spans="1:4" x14ac:dyDescent="0.2">
      <c r="A3589" s="5">
        <v>3528</v>
      </c>
      <c r="B3589" s="1832">
        <f>'Acct Summary 7-8'!K79</f>
        <v>541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549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56868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3764986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13406402</v>
      </c>
      <c r="C4122" s="2" t="s">
        <v>569</v>
      </c>
      <c r="D4122" s="2" t="str">
        <f t="shared" si="63"/>
        <v>Error?</v>
      </c>
    </row>
    <row r="4123" spans="1:4" x14ac:dyDescent="0.2">
      <c r="A4123" s="5">
        <v>4062</v>
      </c>
      <c r="B4123" s="1832">
        <f>'Acct Summary 7-8'!D10</f>
        <v>1393560</v>
      </c>
      <c r="C4123" s="2" t="s">
        <v>569</v>
      </c>
      <c r="D4123" s="2" t="str">
        <f t="shared" si="63"/>
        <v>Error?</v>
      </c>
    </row>
    <row r="4124" spans="1:4" x14ac:dyDescent="0.2">
      <c r="A4124" s="5">
        <v>4063</v>
      </c>
      <c r="B4124" s="1832">
        <f>'Acct Summary 7-8'!E10</f>
        <v>333619</v>
      </c>
      <c r="C4124" s="2" t="s">
        <v>569</v>
      </c>
      <c r="D4124" s="2" t="str">
        <f t="shared" si="63"/>
        <v>Error?</v>
      </c>
    </row>
    <row r="4125" spans="1:4" x14ac:dyDescent="0.2">
      <c r="A4125" s="5">
        <v>4064</v>
      </c>
      <c r="B4125" s="1832">
        <f>'Acct Summary 7-8'!F10</f>
        <v>589677</v>
      </c>
      <c r="C4125" s="2" t="s">
        <v>569</v>
      </c>
      <c r="D4125" s="2" t="str">
        <f t="shared" si="63"/>
        <v>Error?</v>
      </c>
    </row>
    <row r="4126" spans="1:4" x14ac:dyDescent="0.2">
      <c r="A4126" s="5">
        <v>4065</v>
      </c>
      <c r="B4126" s="1832">
        <f>'Acct Summary 7-8'!G10</f>
        <v>315111</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181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v>
      </c>
      <c r="C4130" s="2" t="s">
        <v>569</v>
      </c>
      <c r="D4130" s="2" t="str">
        <f t="shared" si="63"/>
        <v>Error?</v>
      </c>
    </row>
    <row r="4131" spans="1:4" x14ac:dyDescent="0.2">
      <c r="A4131" s="5">
        <v>4070</v>
      </c>
      <c r="B4131" s="1832">
        <f>'Acct Summary 7-8'!C18</f>
        <v>3764986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12868414</v>
      </c>
      <c r="C4136" s="2" t="s">
        <v>569</v>
      </c>
      <c r="D4136" s="2" t="str">
        <f t="shared" si="63"/>
        <v>Error?</v>
      </c>
    </row>
    <row r="4137" spans="1:4" x14ac:dyDescent="0.2">
      <c r="A4137" s="5">
        <v>4076</v>
      </c>
      <c r="B4137" s="1832">
        <f>'Acct Summary 7-8'!D19</f>
        <v>1039506</v>
      </c>
      <c r="C4137" s="2" t="s">
        <v>569</v>
      </c>
      <c r="D4137" s="2" t="str">
        <f t="shared" si="63"/>
        <v>Error?</v>
      </c>
    </row>
    <row r="4138" spans="1:4" x14ac:dyDescent="0.2">
      <c r="A4138" s="5">
        <v>4077</v>
      </c>
      <c r="B4138" s="1832">
        <f>'Acct Summary 7-8'!E19</f>
        <v>755030</v>
      </c>
      <c r="C4138" s="2" t="s">
        <v>569</v>
      </c>
      <c r="D4138" s="2" t="str">
        <f t="shared" si="63"/>
        <v>Error?</v>
      </c>
    </row>
    <row r="4139" spans="1:4" x14ac:dyDescent="0.2">
      <c r="A4139" s="5">
        <v>4078</v>
      </c>
      <c r="B4139" s="1832">
        <f>'Acct Summary 7-8'!F19</f>
        <v>513678</v>
      </c>
      <c r="C4139" s="2" t="s">
        <v>569</v>
      </c>
      <c r="D4139" s="2" t="str">
        <f t="shared" si="63"/>
        <v>Error?</v>
      </c>
    </row>
    <row r="4140" spans="1:4" x14ac:dyDescent="0.2">
      <c r="A4140" s="5">
        <v>4079</v>
      </c>
      <c r="B4140" s="1832">
        <f>'Acct Summary 7-8'!G19</f>
        <v>310039</v>
      </c>
      <c r="C4140" s="2" t="s">
        <v>569</v>
      </c>
      <c r="D4140" s="2" t="str">
        <f t="shared" si="63"/>
        <v>Error?</v>
      </c>
    </row>
    <row r="4141" spans="1:4" x14ac:dyDescent="0.2">
      <c r="A4141" s="5">
        <v>4080</v>
      </c>
      <c r="B4141" s="1832">
        <f>'Acct Summary 7-8'!H19</f>
        <v>1442425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7937104</v>
      </c>
      <c r="C4171" s="2" t="s">
        <v>569</v>
      </c>
      <c r="D4171" s="2" t="str">
        <f t="shared" si="64"/>
        <v>Error?</v>
      </c>
    </row>
    <row r="4172" spans="1:4" x14ac:dyDescent="0.2">
      <c r="A4172" s="5">
        <v>4111</v>
      </c>
      <c r="B4172" s="1832">
        <f>'Short-Term Long-Term Debt 24'!J49</f>
        <v>7734272</v>
      </c>
      <c r="C4172" s="2" t="s">
        <v>569</v>
      </c>
      <c r="D4172" s="2" t="str">
        <f t="shared" si="64"/>
        <v>Error?</v>
      </c>
    </row>
    <row r="4173" spans="1:4" x14ac:dyDescent="0.2">
      <c r="A4173" s="5">
        <v>4112</v>
      </c>
      <c r="B4173" s="1832">
        <f>'Short-Term Long-Term Debt 24'!H49</f>
        <v>560477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-785000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89631</v>
      </c>
      <c r="D4210" s="2" t="str">
        <f t="shared" si="64"/>
        <v>Error?</v>
      </c>
    </row>
    <row r="4211" spans="1:4" x14ac:dyDescent="0.2">
      <c r="A4211" s="5">
        <v>4150</v>
      </c>
      <c r="B4211" s="1832">
        <f>'Expenditures 15-22'!K206</f>
        <v>89631</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2230.1000000000004</v>
      </c>
      <c r="C4265" s="2" t="s">
        <v>569</v>
      </c>
      <c r="D4265" s="2" t="str">
        <f t="shared" si="65"/>
        <v>Error?</v>
      </c>
      <c r="E4265" s="125"/>
    </row>
    <row r="4266" spans="1:5" x14ac:dyDescent="0.2">
      <c r="A4266" s="12">
        <v>4205</v>
      </c>
      <c r="B4266" s="1832">
        <f>('FP Info 3'!F10)*100000</f>
        <v>270.60000000000002</v>
      </c>
      <c r="C4266" s="2" t="s">
        <v>569</v>
      </c>
      <c r="D4266" s="2" t="str">
        <f t="shared" si="65"/>
        <v>Error?</v>
      </c>
      <c r="E4266" s="125"/>
    </row>
    <row r="4267" spans="1:5" x14ac:dyDescent="0.2">
      <c r="A4267" s="12">
        <v>4206</v>
      </c>
      <c r="B4267" s="1832">
        <f>('FP Info 3'!H10)*100000</f>
        <v>47.3</v>
      </c>
      <c r="C4267" s="2" t="s">
        <v>569</v>
      </c>
      <c r="D4267" s="2" t="str">
        <f t="shared" si="65"/>
        <v>Error?</v>
      </c>
      <c r="E4267" s="125"/>
    </row>
    <row r="4268" spans="1:5" x14ac:dyDescent="0.2">
      <c r="A4268" s="12">
        <v>4207</v>
      </c>
      <c r="B4268" s="1832">
        <f>('FP Info 3'!J10)*100000</f>
        <v>2548</v>
      </c>
      <c r="C4268" s="2" t="s">
        <v>569</v>
      </c>
      <c r="D4268" s="2" t="str">
        <f t="shared" si="65"/>
        <v>Error?</v>
      </c>
    </row>
    <row r="4269" spans="1:5" x14ac:dyDescent="0.2">
      <c r="A4269" s="12">
        <v>4208</v>
      </c>
      <c r="B4269" s="1832">
        <f>'FP Info 3'!J16</f>
        <v>4425717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33063</v>
      </c>
      <c r="D4300" s="2" t="str">
        <f t="shared" si="66"/>
        <v>Error?</v>
      </c>
    </row>
    <row r="4301" spans="1:4" x14ac:dyDescent="0.2">
      <c r="A4301" s="5">
        <v>4240</v>
      </c>
      <c r="B4301" s="1832">
        <f>'Rest Tax Levies-Tort Im 25'!G37</f>
        <v>8462</v>
      </c>
      <c r="D4301" s="2" t="str">
        <f t="shared" si="66"/>
        <v>Error?</v>
      </c>
    </row>
    <row r="4302" spans="1:4" x14ac:dyDescent="0.2">
      <c r="A4302" s="5">
        <v>4241</v>
      </c>
      <c r="B4302" s="1832">
        <f>'Rest Tax Levies-Tort Im 25'!G38</f>
        <v>72202</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5757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3095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9174</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14887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52225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353326094</v>
      </c>
      <c r="D4995" s="2" t="str">
        <f t="shared" si="77"/>
        <v>Error?</v>
      </c>
    </row>
    <row r="4996" spans="1:4" x14ac:dyDescent="0.2">
      <c r="A4996" s="12">
        <v>4935</v>
      </c>
      <c r="B4996" s="1832">
        <f>'FP Info 3'!H31</f>
        <v>24379500.486000001</v>
      </c>
      <c r="D4996" s="2" t="str">
        <f t="shared" si="77"/>
        <v>Error?</v>
      </c>
    </row>
    <row r="4997" spans="1:4" x14ac:dyDescent="0.2">
      <c r="A4997" s="12">
        <v>4936</v>
      </c>
      <c r="B4997" s="1832">
        <f>'FP Info 3'!H37</f>
        <v>7937104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7792989</v>
      </c>
      <c r="D5061" s="2" t="str">
        <f t="shared" si="78"/>
        <v>Error?</v>
      </c>
    </row>
    <row r="5062" spans="1:4" x14ac:dyDescent="0.2">
      <c r="A5062" s="10">
        <v>5001</v>
      </c>
      <c r="B5062" s="1832"/>
      <c r="D5062" s="2" t="str">
        <f t="shared" si="78"/>
        <v>OK</v>
      </c>
    </row>
    <row r="5063" spans="1:4" x14ac:dyDescent="0.2">
      <c r="A5063" s="5">
        <v>5002</v>
      </c>
      <c r="B5063" s="1832">
        <f>'Revenues 9-14'!C7</f>
        <v>76928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7869917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26551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26551</v>
      </c>
      <c r="C5071" s="2" t="s">
        <v>569</v>
      </c>
      <c r="D5071" s="2" t="str">
        <f t="shared" si="78"/>
        <v>Error?</v>
      </c>
    </row>
    <row r="5072" spans="1:4" x14ac:dyDescent="0.2">
      <c r="A5072" s="5">
        <v>5011</v>
      </c>
      <c r="B5072" s="1832">
        <f>'Revenues 9-14'!C20</f>
        <v>15766</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15766</v>
      </c>
      <c r="C5087" s="2" t="s">
        <v>569</v>
      </c>
      <c r="D5087" s="2" t="str">
        <f t="shared" si="78"/>
        <v>Error?</v>
      </c>
    </row>
    <row r="5088" spans="1:4" x14ac:dyDescent="0.2">
      <c r="A5088" s="5">
        <v>5027</v>
      </c>
      <c r="B5088" s="1832">
        <f>'Revenues 9-14'!C65</f>
        <v>55806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55806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99250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147271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147271</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11670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54739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129046</v>
      </c>
      <c r="D5118" s="2" t="str">
        <f t="shared" si="78"/>
        <v>Error?</v>
      </c>
    </row>
    <row r="5119" spans="1:4" x14ac:dyDescent="0.2">
      <c r="A5119" s="5">
        <v>5058</v>
      </c>
      <c r="B5119" s="1832">
        <f>'Revenues 9-14'!C107</f>
        <v>304</v>
      </c>
      <c r="D5119" s="2" t="str">
        <f t="shared" ref="D5119:D5182" si="79">IF(ISBLANK(B5119),"OK",IF(A5119-B5119=0,"OK","Error?"))</f>
        <v>Error?</v>
      </c>
    </row>
    <row r="5120" spans="1:4" x14ac:dyDescent="0.2">
      <c r="A5120" s="5">
        <v>5059</v>
      </c>
      <c r="B5120" s="1832">
        <f>'Revenues 9-14'!C108</f>
        <v>201093</v>
      </c>
      <c r="C5120" s="2" t="s">
        <v>569</v>
      </c>
      <c r="D5120" s="2" t="str">
        <f t="shared" si="79"/>
        <v>Error?</v>
      </c>
    </row>
    <row r="5121" spans="1:4" x14ac:dyDescent="0.2">
      <c r="A5121" s="5">
        <v>5060</v>
      </c>
      <c r="B5121" s="1832">
        <f>'Revenues 9-14'!C109</f>
        <v>8415654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190688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190688</v>
      </c>
      <c r="C5132" s="2" t="s">
        <v>569</v>
      </c>
      <c r="D5132" s="2" t="str">
        <f t="shared" si="79"/>
        <v>Error?</v>
      </c>
    </row>
    <row r="5133" spans="1:4" x14ac:dyDescent="0.2">
      <c r="A5133" s="5">
        <v>5072</v>
      </c>
      <c r="B5133" s="1832">
        <f>'Revenues 9-14'!C125</f>
        <v>22013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22013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420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161292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235950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426638</v>
      </c>
      <c r="C5223" s="2" t="s">
        <v>569</v>
      </c>
      <c r="D5223" s="2" t="str">
        <f t="shared" si="80"/>
        <v>Error?</v>
      </c>
    </row>
    <row r="5224" spans="1:4" x14ac:dyDescent="0.2">
      <c r="A5224" s="5">
        <v>5163</v>
      </c>
      <c r="B5224" s="1832">
        <f>'Revenues 9-14'!C173</f>
        <v>482176</v>
      </c>
      <c r="D5224" s="2" t="str">
        <f t="shared" si="80"/>
        <v>Error?</v>
      </c>
    </row>
    <row r="5225" spans="1:4" x14ac:dyDescent="0.2">
      <c r="A5225" s="5">
        <v>5164</v>
      </c>
      <c r="B5225" s="1832">
        <f>'Revenues 9-14'!C175</f>
        <v>482176</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56868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56868</v>
      </c>
      <c r="C5246" s="2" t="s">
        <v>569</v>
      </c>
      <c r="D5246" s="2" t="str">
        <f t="shared" si="80"/>
        <v>Error?</v>
      </c>
    </row>
    <row r="5247" spans="1:4" x14ac:dyDescent="0.2">
      <c r="A5247" s="5">
        <v>5186</v>
      </c>
      <c r="B5247" s="1832">
        <f>'Revenues 9-14'!C200</f>
        <v>60251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60251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4864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152052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156916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316948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799124</v>
      </c>
      <c r="C5326" s="2" t="s">
        <v>569</v>
      </c>
      <c r="D5326" s="2" t="str">
        <f t="shared" si="82"/>
        <v>Error?</v>
      </c>
    </row>
    <row r="5327" spans="1:5" x14ac:dyDescent="0.2">
      <c r="A5327" s="5">
        <v>5266</v>
      </c>
      <c r="B5327" s="1832">
        <f>'Revenues 9-14'!C268</f>
        <v>9641416</v>
      </c>
      <c r="C5327" s="2" t="s">
        <v>569</v>
      </c>
      <c r="D5327" s="2" t="str">
        <f t="shared" si="82"/>
        <v>Error?</v>
      </c>
    </row>
    <row r="5328" spans="1:5" x14ac:dyDescent="0.2">
      <c r="A5328" s="5">
        <v>5267</v>
      </c>
      <c r="B5328" s="1832">
        <f>'Revenues 9-14'!D5</f>
        <v>945540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945540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383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383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198421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198421</v>
      </c>
      <c r="C5355" s="2" t="s">
        <v>569</v>
      </c>
      <c r="D5355" s="2" t="str">
        <f t="shared" si="82"/>
        <v>Error?</v>
      </c>
    </row>
    <row r="5356" spans="1:4" x14ac:dyDescent="0.2">
      <c r="A5356" s="5">
        <v>5295</v>
      </c>
      <c r="B5356" s="1832">
        <f>'Revenues 9-14'!D109</f>
        <v>1144344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199216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199216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249216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1393560</v>
      </c>
      <c r="C5508" s="2" t="s">
        <v>569</v>
      </c>
      <c r="D5508" s="2" t="str">
        <f t="shared" si="85"/>
        <v>Error?</v>
      </c>
    </row>
    <row r="5509" spans="1:4" x14ac:dyDescent="0.2">
      <c r="A5509" s="5">
        <v>5448</v>
      </c>
      <c r="B5509" s="1832">
        <f>'Revenues 9-14'!E5</f>
        <v>333419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333419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200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200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333619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333619</v>
      </c>
      <c r="C5552" s="2" t="s">
        <v>569</v>
      </c>
      <c r="D5552" s="2" t="str">
        <f t="shared" si="85"/>
        <v>Error?</v>
      </c>
    </row>
    <row r="5553" spans="1:4" x14ac:dyDescent="0.2">
      <c r="A5553" s="5">
        <v>5492</v>
      </c>
      <c r="B5553" s="1832">
        <f>'Revenues 9-14'!F5</f>
        <v>165227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165227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46393</v>
      </c>
      <c r="D5563" s="2" t="str">
        <f t="shared" si="85"/>
        <v>Error?</v>
      </c>
    </row>
    <row r="5564" spans="1:4" x14ac:dyDescent="0.2">
      <c r="A5564" s="5">
        <v>5503</v>
      </c>
      <c r="B5564" s="1832">
        <f>'Revenues 9-14'!F43</f>
        <v>6844</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1898</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55135</v>
      </c>
      <c r="C5579" s="2" t="s">
        <v>569</v>
      </c>
      <c r="D5579" s="2" t="str">
        <f t="shared" si="86"/>
        <v>Error?</v>
      </c>
    </row>
    <row r="5580" spans="1:4" x14ac:dyDescent="0.2">
      <c r="A5580" s="5">
        <v>5519</v>
      </c>
      <c r="B5580" s="1832">
        <f>'Revenues 9-14'!F65</f>
        <v>65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220427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163076</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163076</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80320</v>
      </c>
      <c r="D5615" s="2" t="str">
        <f t="shared" si="86"/>
        <v>Error?</v>
      </c>
    </row>
    <row r="5616" spans="1:4" x14ac:dyDescent="0.2">
      <c r="A5616" s="10">
        <v>5555</v>
      </c>
      <c r="B5616" s="1832"/>
      <c r="D5616" s="2" t="str">
        <f t="shared" si="86"/>
        <v>OK</v>
      </c>
    </row>
    <row r="5617" spans="1:5" x14ac:dyDescent="0.2">
      <c r="A5617" s="5">
        <v>5556</v>
      </c>
      <c r="B5617" s="1832">
        <f>'Revenues 9-14'!F153</f>
        <v>125854</v>
      </c>
      <c r="D5617" s="2" t="str">
        <f t="shared" si="86"/>
        <v>Error?</v>
      </c>
    </row>
    <row r="5618" spans="1:5" x14ac:dyDescent="0.2">
      <c r="A5618" s="5">
        <v>5557</v>
      </c>
      <c r="B5618" s="1832">
        <f>'Revenues 9-14'!F155</f>
        <v>206174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206174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369250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589677</v>
      </c>
      <c r="C5720" s="2" t="s">
        <v>569</v>
      </c>
      <c r="D5720" s="2" t="str">
        <f t="shared" si="88"/>
        <v>Error?</v>
      </c>
    </row>
    <row r="5721" spans="1:4" x14ac:dyDescent="0.2">
      <c r="A5721" s="5">
        <v>5660</v>
      </c>
      <c r="B5721" s="1832">
        <f>'Revenues 9-14'!G5</f>
        <v>136904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168024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304928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2325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2325</v>
      </c>
      <c r="C5730" s="2" t="s">
        <v>569</v>
      </c>
      <c r="D5730" s="2" t="str">
        <f t="shared" si="88"/>
        <v>Error?</v>
      </c>
    </row>
    <row r="5731" spans="1:4" x14ac:dyDescent="0.2">
      <c r="A5731" s="5">
        <v>5670</v>
      </c>
      <c r="B5731" s="1832">
        <f>'Revenues 9-14'!G65</f>
        <v>120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7738</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7738</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7738</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315111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181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181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v>
      </c>
      <c r="C6023" s="2" t="s">
        <v>569</v>
      </c>
      <c r="D6023" s="2" t="str">
        <f t="shared" si="93"/>
        <v>Error?</v>
      </c>
    </row>
    <row r="6024" spans="1:5" x14ac:dyDescent="0.2">
      <c r="A6024" s="5">
        <v>5963</v>
      </c>
      <c r="B6024" s="1832">
        <f>'Revenues 9-14'!G109</f>
        <v>307373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181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99250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7699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728.2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87648</v>
      </c>
      <c r="D6240" s="2" t="str">
        <f t="shared" si="96"/>
        <v>Error?</v>
      </c>
      <c r="E6240" s="2" t="s">
        <v>189</v>
      </c>
    </row>
    <row r="6241" spans="1:5" x14ac:dyDescent="0.2">
      <c r="A6241">
        <v>6180</v>
      </c>
      <c r="B6241" s="1832">
        <f>'Acct Summary 7-8'!D54</f>
        <v>13160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6919</v>
      </c>
      <c r="D6243" s="2" t="str">
        <f t="shared" si="96"/>
        <v>Error?</v>
      </c>
      <c r="E6243" s="2" t="s">
        <v>189</v>
      </c>
    </row>
    <row r="6244" spans="1:5" x14ac:dyDescent="0.2">
      <c r="A6244">
        <v>6183</v>
      </c>
      <c r="B6244" s="1832">
        <f>'Acct Summary 7-8'!D58</f>
        <v>894</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290000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37227</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443421</v>
      </c>
      <c r="D6267" s="2" t="str">
        <f t="shared" si="96"/>
        <v>Error?</v>
      </c>
      <c r="E6267" s="2" t="s">
        <v>189</v>
      </c>
    </row>
    <row r="6268" spans="1:5" x14ac:dyDescent="0.2">
      <c r="A6268">
        <v>6207</v>
      </c>
      <c r="B6268" s="1832">
        <f>'Acct Summary 7-8'!D82</f>
        <v>50000</v>
      </c>
      <c r="D6268" s="2" t="str">
        <f t="shared" si="96"/>
        <v>Error?</v>
      </c>
      <c r="E6268" s="2" t="s">
        <v>189</v>
      </c>
    </row>
    <row r="6269" spans="1:5" x14ac:dyDescent="0.2">
      <c r="A6269">
        <v>6208</v>
      </c>
      <c r="B6269" s="1832">
        <f>'Acct Summary 7-8'!E82</f>
        <v>41099</v>
      </c>
      <c r="D6269" s="2" t="str">
        <f t="shared" si="96"/>
        <v>Error?</v>
      </c>
      <c r="E6269" s="2" t="s">
        <v>189</v>
      </c>
    </row>
    <row r="6270" spans="1:5" x14ac:dyDescent="0.2">
      <c r="A6270">
        <v>6209</v>
      </c>
      <c r="B6270" s="1832">
        <f>'Acct Summary 7-8'!F82</f>
        <v>75999</v>
      </c>
      <c r="D6270" s="2" t="str">
        <f t="shared" si="96"/>
        <v>Error?</v>
      </c>
      <c r="E6270" s="2" t="s">
        <v>189</v>
      </c>
    </row>
    <row r="6271" spans="1:5" x14ac:dyDescent="0.2">
      <c r="A6271">
        <v>6210</v>
      </c>
      <c r="B6271" s="1832">
        <f>'Acct Summary 7-8'!G82</f>
        <v>5072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181</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8</v>
      </c>
      <c r="D6275" s="2" t="str">
        <f t="shared" si="97"/>
        <v>Error?</v>
      </c>
      <c r="E6275" s="2" t="s">
        <v>189</v>
      </c>
    </row>
    <row r="6276" spans="1:5" x14ac:dyDescent="0.2">
      <c r="A6276">
        <v>6215</v>
      </c>
      <c r="B6276" s="1832">
        <f>'Acct Summary 7-8'!C83</f>
        <v>0.1255821778045004</v>
      </c>
      <c r="D6276" s="2" t="str">
        <f t="shared" si="97"/>
        <v>Error?</v>
      </c>
      <c r="E6276" s="2" t="s">
        <v>189</v>
      </c>
    </row>
    <row r="6277" spans="1:5" x14ac:dyDescent="0.2">
      <c r="A6277">
        <v>6216</v>
      </c>
      <c r="B6277" s="1832">
        <f>'Acct Summary 7-8'!D83</f>
        <v>8.581996687349279E-2</v>
      </c>
      <c r="D6277" s="2" t="str">
        <f t="shared" si="97"/>
        <v>Error?</v>
      </c>
      <c r="E6277" s="2" t="s">
        <v>189</v>
      </c>
    </row>
    <row r="6278" spans="1:5" x14ac:dyDescent="0.2">
      <c r="A6278">
        <v>6217</v>
      </c>
      <c r="B6278" s="1832">
        <f>'Acct Summary 7-8'!E83</f>
        <v>0.20262581841129604</v>
      </c>
      <c r="D6278" s="2" t="str">
        <f t="shared" si="97"/>
        <v>Error?</v>
      </c>
      <c r="E6278" s="2" t="s">
        <v>189</v>
      </c>
    </row>
    <row r="6279" spans="1:5" x14ac:dyDescent="0.2">
      <c r="A6279">
        <v>6218</v>
      </c>
      <c r="B6279" s="1832">
        <f>'Acct Summary 7-8'!F83</f>
        <v>0.2725023575349686</v>
      </c>
      <c r="D6279" s="2" t="str">
        <f t="shared" si="97"/>
        <v>Error?</v>
      </c>
      <c r="E6279" s="2" t="s">
        <v>189</v>
      </c>
    </row>
    <row r="6280" spans="1:5" x14ac:dyDescent="0.2">
      <c r="A6280">
        <v>6219</v>
      </c>
      <c r="B6280" s="1832">
        <f>'Acct Summary 7-8'!G83</f>
        <v>2.0591853388602213E-2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5.4377215646217629E-3</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1.4571948998178506E-2</v>
      </c>
      <c r="D6284" s="2" t="str">
        <f t="shared" si="97"/>
        <v>Error?</v>
      </c>
      <c r="E6284" s="2" t="s">
        <v>189</v>
      </c>
    </row>
    <row r="6285" spans="1:5" x14ac:dyDescent="0.2">
      <c r="A6285">
        <v>6224</v>
      </c>
      <c r="B6285" s="1832">
        <f>'Acct Summary 7-8'!E37</f>
        <v>100808</v>
      </c>
      <c r="D6285" s="2" t="str">
        <f t="shared" si="97"/>
        <v>Error?</v>
      </c>
      <c r="E6285" s="2" t="s">
        <v>189</v>
      </c>
    </row>
    <row r="6286" spans="1:5" x14ac:dyDescent="0.2">
      <c r="A6286">
        <v>6225</v>
      </c>
      <c r="B6286" s="1832">
        <f>'Acct Summary 7-8'!E38</f>
        <v>7813</v>
      </c>
      <c r="D6286" s="2" t="str">
        <f t="shared" si="97"/>
        <v>Error?</v>
      </c>
      <c r="E6286" s="2" t="s">
        <v>189</v>
      </c>
    </row>
    <row r="6287" spans="1:5" x14ac:dyDescent="0.2">
      <c r="A6287">
        <v>6226</v>
      </c>
      <c r="B6287" s="1832">
        <f>'Acct Summary 7-8'!E39</f>
        <v>290000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5334</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127356</v>
      </c>
      <c r="D6880" s="2" t="str">
        <f t="shared" si="106"/>
        <v>Error?</v>
      </c>
    </row>
    <row r="6881" spans="1:4" x14ac:dyDescent="0.2">
      <c r="A6881">
        <v>6820</v>
      </c>
      <c r="B6881" s="1832">
        <f>'Expenditures 15-22'!K22</f>
        <v>127356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512678</v>
      </c>
      <c r="D6983" s="2" t="str">
        <f t="shared" si="108"/>
        <v>Error?</v>
      </c>
    </row>
    <row r="6984" spans="1:4" x14ac:dyDescent="0.2">
      <c r="A6984">
        <v>6923</v>
      </c>
      <c r="B6984" s="1832">
        <f>'Expenditures 15-22'!K86</f>
        <v>512678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512678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105304</v>
      </c>
      <c r="D7049" s="2" t="str">
        <f t="shared" si="109"/>
        <v>Error?</v>
      </c>
    </row>
    <row r="7050" spans="1:5" x14ac:dyDescent="0.2">
      <c r="A7050">
        <v>6989</v>
      </c>
      <c r="B7050" s="1832">
        <f>'Expenditures 15-22'!K148</f>
        <v>105304</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9442</v>
      </c>
      <c r="D7067" s="2" t="str">
        <f t="shared" si="109"/>
        <v>Error?</v>
      </c>
    </row>
    <row r="7068" spans="1:4" x14ac:dyDescent="0.2">
      <c r="A7068">
        <v>7007</v>
      </c>
      <c r="B7068" s="1832">
        <f>'Expenditures 15-22'!K205</f>
        <v>9442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686451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76928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76374</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1442425</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16199220</v>
      </c>
      <c r="D7817" s="2" t="str">
        <f t="shared" si="128"/>
        <v>Error?</v>
      </c>
      <c r="E7817" s="4" t="s">
        <v>1966</v>
      </c>
    </row>
    <row r="7818" spans="1:5" x14ac:dyDescent="0.2">
      <c r="A7818">
        <v>7757</v>
      </c>
      <c r="B7818" s="1832">
        <f>'PCTC-OEPP 27-28'!F172</f>
        <v>219232</v>
      </c>
      <c r="D7818" s="2" t="str">
        <f t="shared" si="128"/>
        <v>Error?</v>
      </c>
      <c r="E7818" s="4" t="s">
        <v>1980</v>
      </c>
    </row>
    <row r="7819" spans="1:5" x14ac:dyDescent="0.2">
      <c r="A7819">
        <v>7758</v>
      </c>
      <c r="B7819" s="1832">
        <f>'PCTC-OEPP 27-28'!F173</f>
        <v>1498</v>
      </c>
      <c r="D7819" s="2" t="str">
        <f t="shared" si="128"/>
        <v>Error?</v>
      </c>
      <c r="E7819" s="4" t="s">
        <v>1980</v>
      </c>
    </row>
    <row r="7820" spans="1:5" x14ac:dyDescent="0.2">
      <c r="A7820">
        <v>7759</v>
      </c>
      <c r="B7820" s="1832">
        <f>'ICR Computation 30'!E40</f>
        <v>-316844</v>
      </c>
      <c r="D7820" s="2" t="str">
        <f t="shared" si="128"/>
        <v>Error?</v>
      </c>
    </row>
    <row r="7821" spans="1:5" x14ac:dyDescent="0.2">
      <c r="A7821">
        <v>7760</v>
      </c>
      <c r="B7821" s="1832">
        <f>'ICR Computation 30'!G40</f>
        <v>-316844</v>
      </c>
      <c r="D7821" s="2" t="str">
        <f t="shared" si="128"/>
        <v>Error?</v>
      </c>
    </row>
    <row r="7822" spans="1:5" x14ac:dyDescent="0.2">
      <c r="A7822" s="1">
        <v>7761</v>
      </c>
      <c r="B7822" s="1832">
        <f>'PCTC-OEPP 27-28'!F14</f>
        <v>11721681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73494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1810967</v>
      </c>
      <c r="D7834" s="2" t="str">
        <f t="shared" si="129"/>
        <v>Error?</v>
      </c>
      <c r="E7834" s="4" t="s">
        <v>1998</v>
      </c>
    </row>
    <row r="7835" spans="1:5" x14ac:dyDescent="0.2">
      <c r="A7835">
        <v>7774</v>
      </c>
      <c r="B7835" s="1832">
        <f>'PCTC-OEPP 27-28'!F78</f>
        <v>9910714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13609.87915407855</v>
      </c>
      <c r="D7837" s="2" t="str">
        <f t="shared" si="129"/>
        <v>Error?</v>
      </c>
      <c r="E7837" s="4" t="s">
        <v>1998</v>
      </c>
    </row>
    <row r="7838" spans="1:5" x14ac:dyDescent="0.2">
      <c r="A7838">
        <v>7777</v>
      </c>
      <c r="B7838" s="1832">
        <f>'PCTC-OEPP 27-28'!F96</f>
        <v>147271</v>
      </c>
      <c r="D7838" s="2" t="str">
        <f t="shared" si="129"/>
        <v>Error?</v>
      </c>
      <c r="E7838" s="4" t="s">
        <v>1998</v>
      </c>
    </row>
    <row r="7839" spans="1:5" x14ac:dyDescent="0.2">
      <c r="A7839">
        <v>7778</v>
      </c>
      <c r="B7839" s="1832">
        <f>'PCTC-OEPP 27-28'!F102</f>
        <v>198421</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22013</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206174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52225</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56868</v>
      </c>
      <c r="D7858" s="2" t="str">
        <f t="shared" si="129"/>
        <v>Error?</v>
      </c>
      <c r="E7858" s="4" t="s">
        <v>1998</v>
      </c>
    </row>
    <row r="7859" spans="1:5" x14ac:dyDescent="0.2">
      <c r="A7859">
        <v>7798</v>
      </c>
      <c r="B7859" s="1832">
        <f>'PCTC-OEPP 27-28'!F127</f>
        <v>60251</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152052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9174</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14887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5757</v>
      </c>
      <c r="D7874" s="2" t="str">
        <f t="shared" si="129"/>
        <v>Error?</v>
      </c>
      <c r="E7874" s="4" t="s">
        <v>1998</v>
      </c>
    </row>
    <row r="7875" spans="1:5" x14ac:dyDescent="0.2">
      <c r="A7875">
        <v>7814</v>
      </c>
      <c r="B7875" s="1832">
        <f>'PCTC-OEPP 27-28'!F170</f>
        <v>3095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1485925</v>
      </c>
      <c r="D7877" s="2" t="str">
        <f t="shared" si="129"/>
        <v>Error?</v>
      </c>
      <c r="E7877" s="4" t="s">
        <v>1998</v>
      </c>
    </row>
    <row r="7878" spans="1:5" x14ac:dyDescent="0.2">
      <c r="A7878">
        <v>7817</v>
      </c>
      <c r="B7878" s="1832">
        <f>'PCTC-OEPP 27-28'!F176</f>
        <v>8424789</v>
      </c>
      <c r="D7878" s="2" t="str">
        <f t="shared" si="129"/>
        <v>Error?</v>
      </c>
      <c r="E7878" s="4" t="s">
        <v>1998</v>
      </c>
    </row>
    <row r="7879" spans="1:5" x14ac:dyDescent="0.2">
      <c r="A7879">
        <v>7818</v>
      </c>
      <c r="B7879" s="1832">
        <f>'PCTC-OEPP 27-28'!F178</f>
        <v>9111240</v>
      </c>
      <c r="D7879" s="2" t="str">
        <f t="shared" si="129"/>
        <v>Error?</v>
      </c>
      <c r="E7879" s="4" t="s">
        <v>1998</v>
      </c>
    </row>
    <row r="7880" spans="1:5" x14ac:dyDescent="0.2">
      <c r="A7880">
        <v>7819</v>
      </c>
      <c r="B7880" s="1832">
        <f>'PCTC-OEPP 27-28'!F180</f>
        <v>12512.002197198572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Cass SD 63</v>
      </c>
      <c r="B7" s="2536"/>
      <c r="C7" s="2536"/>
      <c r="D7" s="2537"/>
      <c r="E7" s="2538">
        <f>COVER!A13</f>
        <v>19022063002</v>
      </c>
      <c r="F7" s="2539"/>
      <c r="G7" s="2545" t="str">
        <f>COVER!T23</f>
        <v>066-003289</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EVOY, KAMSCHULTE, JACOBS &amp; CO. LLP</v>
      </c>
      <c r="H9" s="2551"/>
      <c r="I9" s="2551"/>
      <c r="J9" s="2551"/>
      <c r="K9" s="2551"/>
      <c r="L9" s="2552"/>
    </row>
    <row r="10" spans="1:29" ht="13.5" customHeight="1" x14ac:dyDescent="0.2">
      <c r="A10" s="2524" t="str">
        <f>COVER!A38</f>
        <v>MR. MARK CROSS</v>
      </c>
      <c r="B10" s="2525"/>
      <c r="C10" s="2525"/>
      <c r="D10" s="2525"/>
      <c r="E10" s="2525"/>
      <c r="F10" s="2526"/>
      <c r="G10" s="2518" t="str">
        <f>COVER!T17</f>
        <v>2122 YEOMAN STREET</v>
      </c>
      <c r="H10" s="2519"/>
      <c r="I10" s="2519"/>
      <c r="J10" s="2519"/>
      <c r="K10" s="2519"/>
      <c r="L10" s="2520"/>
    </row>
    <row r="11" spans="1:29" ht="13.5" customHeight="1" x14ac:dyDescent="0.2">
      <c r="A11" s="963" t="s">
        <v>1502</v>
      </c>
      <c r="B11" s="964"/>
      <c r="C11" s="965"/>
      <c r="D11" s="970"/>
      <c r="E11" s="965"/>
      <c r="F11" s="969"/>
      <c r="G11" s="2518" t="str">
        <f>COVER!T19</f>
        <v>WAUKEGAN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JHENRY@EKJLLP.COM</v>
      </c>
      <c r="J13" s="2531"/>
      <c r="K13" s="2531"/>
      <c r="L13" s="2532"/>
    </row>
    <row r="14" spans="1:29" ht="13.5" customHeight="1" x14ac:dyDescent="0.2">
      <c r="A14" s="2518" t="str">
        <f>COVER!A19</f>
        <v>8502 BAILEY ROAD</v>
      </c>
      <c r="B14" s="2519"/>
      <c r="C14" s="2519"/>
      <c r="D14" s="2519"/>
      <c r="E14" s="2519"/>
      <c r="F14" s="2520"/>
      <c r="G14" s="974" t="s">
        <v>1175</v>
      </c>
      <c r="H14" s="972"/>
      <c r="I14" s="972"/>
      <c r="J14" s="972"/>
      <c r="K14" s="972"/>
      <c r="L14" s="973"/>
    </row>
    <row r="15" spans="1:29" ht="13.5" customHeight="1" x14ac:dyDescent="0.2">
      <c r="A15" s="2518" t="str">
        <f>COVER!A21</f>
        <v>DARIEN</v>
      </c>
      <c r="B15" s="2519"/>
      <c r="C15" s="2519"/>
      <c r="D15" s="2519"/>
      <c r="E15" s="2519"/>
      <c r="F15" s="2520"/>
      <c r="G15" s="2515" t="str">
        <f>COVER!T15</f>
        <v>JAMES HENRY, CPA</v>
      </c>
      <c r="H15" s="2516"/>
      <c r="I15" s="2516"/>
      <c r="J15" s="2516"/>
      <c r="K15" s="2516"/>
      <c r="L15" s="2517"/>
    </row>
    <row r="16" spans="1:29" ht="12.2" customHeight="1" x14ac:dyDescent="0.2">
      <c r="A16" s="2541">
        <f>COVER!A25</f>
        <v>60561</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847-662-8300</v>
      </c>
      <c r="H18" s="2536"/>
      <c r="I18" s="2536"/>
      <c r="J18" s="2536"/>
      <c r="K18" s="2535" t="str">
        <f>COVER!X21</f>
        <v>847-662-8305</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Cass SD 63</v>
      </c>
      <c r="B1" s="2558"/>
      <c r="C1" s="2558"/>
      <c r="D1" s="2558"/>
    </row>
    <row r="2" spans="1:11" s="991" customFormat="1" ht="12.75" x14ac:dyDescent="0.2">
      <c r="A2" s="2559">
        <f>'Single Audit Cover'!E7</f>
        <v>19022063002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4" sqref="D4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Cass SD 63</v>
      </c>
      <c r="B1" s="2562"/>
      <c r="C1" s="2562"/>
      <c r="D1" s="2562"/>
      <c r="E1" s="2562"/>
    </row>
    <row r="2" spans="1:5" x14ac:dyDescent="0.2">
      <c r="A2" s="2563">
        <f>'Single Audit Cover'!E7</f>
        <v>19022063002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799124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7699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-3095</v>
      </c>
    </row>
    <row r="19" spans="1:4" ht="13.5" thickBot="1" x14ac:dyDescent="0.25">
      <c r="A19" s="1041" t="s">
        <v>1224</v>
      </c>
      <c r="D19" s="1042">
        <f>SUM(D10:D17)</f>
        <v>803728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803728</v>
      </c>
    </row>
    <row r="33" spans="1:4" x14ac:dyDescent="0.2">
      <c r="D33" s="1045"/>
    </row>
    <row r="34" spans="1:4" x14ac:dyDescent="0.2">
      <c r="A34" s="295" t="s">
        <v>1221</v>
      </c>
    </row>
    <row r="35" spans="1:4" x14ac:dyDescent="0.2">
      <c r="A35" s="295" t="s">
        <v>1220</v>
      </c>
      <c r="B35" s="1034" t="s">
        <v>1219</v>
      </c>
      <c r="D35" s="1046">
        <v>803728</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803728</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Cass SD 63</v>
      </c>
      <c r="C1" s="2566"/>
      <c r="D1" s="2566"/>
      <c r="E1" s="2566"/>
      <c r="F1" s="2566"/>
      <c r="G1" s="2566"/>
      <c r="H1" s="2566"/>
      <c r="I1" s="2566"/>
      <c r="J1" s="2566"/>
      <c r="K1" s="2566"/>
      <c r="L1" s="2566"/>
      <c r="M1" s="2566"/>
    </row>
    <row r="2" spans="2:14" ht="15" x14ac:dyDescent="0.2">
      <c r="B2" s="2567">
        <f>'Single Audit Cover'!E7</f>
        <v>19022063002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2099</v>
      </c>
      <c r="C11" s="1821"/>
      <c r="D11" s="1822"/>
      <c r="E11" s="1823"/>
      <c r="F11" s="1823"/>
      <c r="G11" s="1823"/>
      <c r="H11" s="1823"/>
      <c r="I11" s="1823"/>
      <c r="J11" s="1823"/>
      <c r="K11" s="1823"/>
      <c r="L11" s="1823">
        <f>+G11+I11+K11</f>
        <v>0</v>
      </c>
      <c r="M11" s="1823"/>
    </row>
    <row r="12" spans="2:14" ht="20.100000000000001" customHeight="1" x14ac:dyDescent="0.2">
      <c r="B12" s="1113" t="s">
        <v>2118</v>
      </c>
      <c r="C12" s="1824"/>
      <c r="D12" s="1825"/>
      <c r="E12" s="1826"/>
      <c r="F12" s="1826"/>
      <c r="G12" s="1826"/>
      <c r="H12" s="1826"/>
      <c r="I12" s="1826"/>
      <c r="J12" s="1826"/>
      <c r="K12" s="1826"/>
      <c r="L12" s="1823">
        <f t="shared" ref="L12:L27" si="0">+G12+I12+K12</f>
        <v>0</v>
      </c>
      <c r="M12" s="1826"/>
    </row>
    <row r="13" spans="2:14" ht="20.100000000000001" customHeight="1" x14ac:dyDescent="0.2">
      <c r="B13" s="1113" t="s">
        <v>2100</v>
      </c>
      <c r="C13" s="1824"/>
      <c r="D13" s="1825"/>
      <c r="E13" s="1826"/>
      <c r="F13" s="1826"/>
      <c r="G13" s="1826"/>
      <c r="H13" s="1826"/>
      <c r="I13" s="1826"/>
      <c r="J13" s="1826"/>
      <c r="K13" s="1826"/>
      <c r="L13" s="1823">
        <f t="shared" si="0"/>
        <v>0</v>
      </c>
      <c r="M13" s="1826"/>
    </row>
    <row r="14" spans="2:14" ht="20.100000000000001" customHeight="1" x14ac:dyDescent="0.2">
      <c r="B14" s="1113" t="s">
        <v>2101</v>
      </c>
      <c r="C14" s="1824">
        <v>10.555</v>
      </c>
      <c r="D14" s="1825" t="s">
        <v>2102</v>
      </c>
      <c r="E14" s="1826"/>
      <c r="F14" s="1826">
        <v>37725</v>
      </c>
      <c r="G14" s="1826"/>
      <c r="H14" s="1826"/>
      <c r="I14" s="1826">
        <v>37725</v>
      </c>
      <c r="J14" s="1826"/>
      <c r="K14" s="1826"/>
      <c r="L14" s="1823">
        <f t="shared" si="0"/>
        <v>37725</v>
      </c>
      <c r="M14" s="1826"/>
    </row>
    <row r="15" spans="2:14" ht="20.100000000000001" customHeight="1" x14ac:dyDescent="0.2">
      <c r="B15" s="1113" t="s">
        <v>2101</v>
      </c>
      <c r="C15" s="1824">
        <v>10.555</v>
      </c>
      <c r="D15" s="1825" t="s">
        <v>2103</v>
      </c>
      <c r="E15" s="1826">
        <v>45635</v>
      </c>
      <c r="F15" s="1826">
        <v>19143</v>
      </c>
      <c r="G15" s="1826">
        <v>45635</v>
      </c>
      <c r="H15" s="1826"/>
      <c r="I15" s="1826">
        <v>19143</v>
      </c>
      <c r="J15" s="1826"/>
      <c r="K15" s="1826"/>
      <c r="L15" s="1823">
        <f t="shared" si="0"/>
        <v>64778</v>
      </c>
      <c r="M15" s="1826"/>
    </row>
    <row r="16" spans="2:14" ht="20.100000000000001" customHeight="1" x14ac:dyDescent="0.2">
      <c r="B16" s="1113" t="s">
        <v>2104</v>
      </c>
      <c r="C16" s="1824">
        <v>10.558999999999999</v>
      </c>
      <c r="D16" s="1825" t="s">
        <v>2105</v>
      </c>
      <c r="E16" s="1826"/>
      <c r="F16" s="1826">
        <v>0</v>
      </c>
      <c r="G16" s="1826"/>
      <c r="H16" s="1826"/>
      <c r="I16" s="1826">
        <v>16840</v>
      </c>
      <c r="J16" s="1826"/>
      <c r="K16" s="1826"/>
      <c r="L16" s="1823">
        <f t="shared" si="0"/>
        <v>16840</v>
      </c>
      <c r="M16" s="1826"/>
    </row>
    <row r="17" spans="2:14" ht="20.100000000000001" customHeight="1" x14ac:dyDescent="0.2">
      <c r="B17" s="1113" t="s">
        <v>2106</v>
      </c>
      <c r="C17" s="1824">
        <v>10.555</v>
      </c>
      <c r="D17" s="1825" t="s">
        <v>2102</v>
      </c>
      <c r="E17" s="1826"/>
      <c r="F17" s="1826">
        <v>5710</v>
      </c>
      <c r="G17" s="1826"/>
      <c r="H17" s="1826"/>
      <c r="I17" s="1826">
        <v>5710</v>
      </c>
      <c r="J17" s="1826"/>
      <c r="K17" s="1826"/>
      <c r="L17" s="1823">
        <f t="shared" si="0"/>
        <v>5710</v>
      </c>
      <c r="M17" s="1826"/>
    </row>
    <row r="18" spans="2:14" ht="20.100000000000001" customHeight="1" x14ac:dyDescent="0.2">
      <c r="B18" s="1113" t="s">
        <v>2107</v>
      </c>
      <c r="C18" s="1824">
        <v>10.555</v>
      </c>
      <c r="D18" s="1825" t="s">
        <v>2102</v>
      </c>
      <c r="E18" s="1826"/>
      <c r="F18" s="1826">
        <v>1989</v>
      </c>
      <c r="G18" s="1826"/>
      <c r="H18" s="1826"/>
      <c r="I18" s="1826">
        <v>1989</v>
      </c>
      <c r="J18" s="1826"/>
      <c r="K18" s="1826"/>
      <c r="L18" s="1823">
        <f t="shared" si="0"/>
        <v>1989</v>
      </c>
      <c r="M18" s="1826"/>
    </row>
    <row r="19" spans="2:14" ht="20.100000000000001" customHeight="1" x14ac:dyDescent="0.2">
      <c r="B19" s="1113" t="s">
        <v>2109</v>
      </c>
      <c r="C19" s="1824"/>
      <c r="D19" s="1825"/>
      <c r="E19" s="1826">
        <v>45635</v>
      </c>
      <c r="F19" s="1826">
        <v>64567</v>
      </c>
      <c r="G19" s="1826">
        <v>45635</v>
      </c>
      <c r="H19" s="1826"/>
      <c r="I19" s="1826">
        <v>81407</v>
      </c>
      <c r="J19" s="1826"/>
      <c r="K19" s="1826"/>
      <c r="L19" s="1823">
        <f t="shared" si="0"/>
        <v>127042</v>
      </c>
      <c r="M19" s="1826"/>
    </row>
    <row r="20" spans="2:14" ht="20.100000000000001" customHeight="1" x14ac:dyDescent="0.2">
      <c r="B20" s="1113" t="s">
        <v>2108</v>
      </c>
      <c r="C20" s="1824"/>
      <c r="D20" s="1825"/>
      <c r="E20" s="1826">
        <v>45635</v>
      </c>
      <c r="F20" s="1826">
        <v>64567</v>
      </c>
      <c r="G20" s="1826">
        <v>45635</v>
      </c>
      <c r="H20" s="1826"/>
      <c r="I20" s="1826">
        <v>81407</v>
      </c>
      <c r="J20" s="1826"/>
      <c r="K20" s="1826"/>
      <c r="L20" s="1823">
        <f t="shared" si="0"/>
        <v>127042</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2110</v>
      </c>
      <c r="C22" s="1824"/>
      <c r="D22" s="1825"/>
      <c r="E22" s="1826"/>
      <c r="F22" s="1826"/>
      <c r="G22" s="1826"/>
      <c r="H22" s="1826"/>
      <c r="I22" s="1826"/>
      <c r="J22" s="1826"/>
      <c r="K22" s="1826"/>
      <c r="L22" s="1823">
        <f t="shared" si="0"/>
        <v>0</v>
      </c>
      <c r="M22" s="1826"/>
    </row>
    <row r="23" spans="2:14" ht="20.100000000000001" customHeight="1" x14ac:dyDescent="0.2">
      <c r="B23" s="1113" t="s">
        <v>2111</v>
      </c>
      <c r="C23" s="1824"/>
      <c r="D23" s="1825"/>
      <c r="E23" s="1826"/>
      <c r="F23" s="1826"/>
      <c r="G23" s="1826"/>
      <c r="H23" s="1826"/>
      <c r="I23" s="1826"/>
      <c r="J23" s="1826"/>
      <c r="K23" s="1826"/>
      <c r="L23" s="1823">
        <f t="shared" si="0"/>
        <v>0</v>
      </c>
      <c r="M23" s="1826"/>
    </row>
    <row r="24" spans="2:14" ht="20.100000000000001" customHeight="1" x14ac:dyDescent="0.2">
      <c r="B24" s="1113" t="s">
        <v>2112</v>
      </c>
      <c r="C24" s="1824">
        <v>84.040999999999997</v>
      </c>
      <c r="D24" s="1825" t="s">
        <v>2113</v>
      </c>
      <c r="E24" s="1826"/>
      <c r="F24" s="1826">
        <v>368499</v>
      </c>
      <c r="G24" s="1826"/>
      <c r="H24" s="1826"/>
      <c r="I24" s="1826">
        <v>368499</v>
      </c>
      <c r="J24" s="1826"/>
      <c r="K24" s="1826"/>
      <c r="L24" s="1823">
        <f t="shared" si="0"/>
        <v>368499</v>
      </c>
      <c r="M24" s="1826"/>
    </row>
    <row r="25" spans="2:14" ht="20.100000000000001" customHeight="1" x14ac:dyDescent="0.2">
      <c r="B25" s="1113" t="s">
        <v>2112</v>
      </c>
      <c r="C25" s="1824">
        <v>84.040999999999997</v>
      </c>
      <c r="D25" s="1825" t="s">
        <v>2114</v>
      </c>
      <c r="E25" s="1826"/>
      <c r="F25" s="1826">
        <v>58979</v>
      </c>
      <c r="G25" s="1826">
        <v>427478</v>
      </c>
      <c r="H25" s="1826"/>
      <c r="I25" s="1826">
        <v>0</v>
      </c>
      <c r="J25" s="1826"/>
      <c r="K25" s="1826"/>
      <c r="L25" s="1823">
        <f t="shared" si="0"/>
        <v>427478</v>
      </c>
      <c r="M25" s="1826"/>
    </row>
    <row r="26" spans="2:14" ht="20.100000000000001" customHeight="1" x14ac:dyDescent="0.2">
      <c r="B26" s="1113" t="s">
        <v>2112</v>
      </c>
      <c r="C26" s="1824">
        <v>84.040999999999997</v>
      </c>
      <c r="D26" s="1825" t="s">
        <v>2115</v>
      </c>
      <c r="E26" s="1826"/>
      <c r="F26" s="1826">
        <v>54698</v>
      </c>
      <c r="G26" s="1826"/>
      <c r="H26" s="1826"/>
      <c r="I26" s="1826">
        <v>0</v>
      </c>
      <c r="J26" s="1826"/>
      <c r="K26" s="1826"/>
      <c r="L26" s="1823">
        <f t="shared" si="0"/>
        <v>0</v>
      </c>
      <c r="M26" s="1826"/>
    </row>
    <row r="27" spans="2:14" ht="20.100000000000001" customHeight="1" x14ac:dyDescent="0.2">
      <c r="B27" s="1113" t="s">
        <v>2116</v>
      </c>
      <c r="C27" s="1824"/>
      <c r="D27" s="1825"/>
      <c r="E27" s="1826"/>
      <c r="F27" s="1826">
        <v>482176</v>
      </c>
      <c r="G27" s="1826">
        <v>427478</v>
      </c>
      <c r="H27" s="1826"/>
      <c r="I27" s="1826">
        <v>368499</v>
      </c>
      <c r="J27" s="1826"/>
      <c r="K27" s="1826"/>
      <c r="L27" s="1823">
        <f t="shared" si="0"/>
        <v>795977</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6" sqref="I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Cass SD 63</v>
      </c>
      <c r="C1" s="2566"/>
      <c r="D1" s="2566"/>
      <c r="E1" s="2566"/>
      <c r="F1" s="2566"/>
      <c r="G1" s="2566"/>
      <c r="H1" s="2566"/>
      <c r="I1" s="2566"/>
      <c r="J1" s="2566"/>
      <c r="K1" s="2566"/>
      <c r="L1" s="2566"/>
      <c r="M1" s="2566"/>
    </row>
    <row r="2" spans="2:14" ht="15" x14ac:dyDescent="0.2">
      <c r="B2" s="2567">
        <f>'Single Audit Cover'!E7</f>
        <v>19022063002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2117</v>
      </c>
      <c r="C11" s="1821"/>
      <c r="D11" s="1822"/>
      <c r="E11" s="1823"/>
      <c r="F11" s="1823"/>
      <c r="G11" s="1823"/>
      <c r="H11" s="1823"/>
      <c r="I11" s="1823"/>
      <c r="J11" s="1823"/>
      <c r="K11" s="1823"/>
      <c r="L11" s="1823">
        <f>+G11+I11+K11</f>
        <v>0</v>
      </c>
      <c r="M11" s="1823"/>
    </row>
    <row r="12" spans="2:14" ht="20.100000000000001" customHeight="1" x14ac:dyDescent="0.2">
      <c r="B12" s="1113" t="s">
        <v>2118</v>
      </c>
      <c r="C12" s="1824"/>
      <c r="D12" s="1825"/>
      <c r="E12" s="1826"/>
      <c r="F12" s="1826"/>
      <c r="G12" s="1826"/>
      <c r="H12" s="1826"/>
      <c r="I12" s="1826"/>
      <c r="J12" s="1826"/>
      <c r="K12" s="1826"/>
      <c r="L12" s="1823">
        <f t="shared" ref="L12:L27" si="0">+G12+I12+K12</f>
        <v>0</v>
      </c>
      <c r="M12" s="1826"/>
    </row>
    <row r="13" spans="2:14" ht="20.100000000000001" customHeight="1" x14ac:dyDescent="0.2">
      <c r="B13" s="1113" t="s">
        <v>2119</v>
      </c>
      <c r="C13" s="1824">
        <v>84.01</v>
      </c>
      <c r="D13" s="1825" t="s">
        <v>2120</v>
      </c>
      <c r="E13" s="1826"/>
      <c r="F13" s="1826">
        <v>54421</v>
      </c>
      <c r="G13" s="1826"/>
      <c r="H13" s="1826"/>
      <c r="I13" s="1826">
        <v>71856</v>
      </c>
      <c r="J13" s="1826"/>
      <c r="K13" s="1826"/>
      <c r="L13" s="1823">
        <f t="shared" si="0"/>
        <v>71856</v>
      </c>
      <c r="M13" s="1826"/>
    </row>
    <row r="14" spans="2:14" ht="20.100000000000001" customHeight="1" x14ac:dyDescent="0.2">
      <c r="B14" s="1113" t="s">
        <v>2119</v>
      </c>
      <c r="C14" s="1824">
        <v>84.01</v>
      </c>
      <c r="D14" s="1825" t="s">
        <v>2121</v>
      </c>
      <c r="E14" s="1826">
        <v>55200</v>
      </c>
      <c r="F14" s="1826">
        <v>5830</v>
      </c>
      <c r="G14" s="1826">
        <v>61030</v>
      </c>
      <c r="H14" s="1826"/>
      <c r="I14" s="1826">
        <v>0</v>
      </c>
      <c r="J14" s="1826"/>
      <c r="K14" s="1826"/>
      <c r="L14" s="1823">
        <f t="shared" si="0"/>
        <v>61030</v>
      </c>
      <c r="M14" s="1826"/>
    </row>
    <row r="15" spans="2:14" ht="20.100000000000001" customHeight="1" x14ac:dyDescent="0.2">
      <c r="B15" s="1113" t="s">
        <v>2122</v>
      </c>
      <c r="C15" s="1824">
        <v>84.424000000000007</v>
      </c>
      <c r="D15" s="1825" t="s">
        <v>2123</v>
      </c>
      <c r="E15" s="1826"/>
      <c r="F15" s="1826">
        <v>10000</v>
      </c>
      <c r="G15" s="1826"/>
      <c r="H15" s="1826"/>
      <c r="I15" s="1826">
        <v>10000</v>
      </c>
      <c r="J15" s="1826"/>
      <c r="K15" s="1826"/>
      <c r="L15" s="1823">
        <f t="shared" si="0"/>
        <v>10000</v>
      </c>
      <c r="M15" s="1826"/>
    </row>
    <row r="16" spans="2:14" ht="20.100000000000001" customHeight="1" x14ac:dyDescent="0.2">
      <c r="B16" s="1113" t="s">
        <v>2125</v>
      </c>
      <c r="C16" s="1824">
        <v>84.364999999999995</v>
      </c>
      <c r="D16" s="1825" t="s">
        <v>2127</v>
      </c>
      <c r="E16" s="1826"/>
      <c r="F16" s="1826">
        <v>9174</v>
      </c>
      <c r="G16" s="1826"/>
      <c r="H16" s="1826"/>
      <c r="I16" s="1826">
        <v>9174</v>
      </c>
      <c r="J16" s="1826"/>
      <c r="K16" s="1826"/>
      <c r="L16" s="1823">
        <f t="shared" si="0"/>
        <v>9174</v>
      </c>
      <c r="M16" s="1826"/>
    </row>
    <row r="17" spans="2:14" ht="20.100000000000001" customHeight="1" x14ac:dyDescent="0.2">
      <c r="B17" s="1113" t="s">
        <v>2126</v>
      </c>
      <c r="C17" s="1824">
        <v>84.367000000000004</v>
      </c>
      <c r="D17" s="1825" t="s">
        <v>2124</v>
      </c>
      <c r="E17" s="1826"/>
      <c r="F17" s="1826">
        <v>14887</v>
      </c>
      <c r="G17" s="1826"/>
      <c r="H17" s="1826"/>
      <c r="I17" s="1826">
        <v>16346</v>
      </c>
      <c r="J17" s="1826"/>
      <c r="K17" s="1826"/>
      <c r="L17" s="1823">
        <f t="shared" si="0"/>
        <v>16346</v>
      </c>
      <c r="M17" s="1826"/>
    </row>
    <row r="18" spans="2:14" ht="20.100000000000001" customHeight="1" x14ac:dyDescent="0.2">
      <c r="B18" s="1113" t="s">
        <v>2126</v>
      </c>
      <c r="C18" s="1824">
        <v>84.367000000000004</v>
      </c>
      <c r="D18" s="1825" t="s">
        <v>2128</v>
      </c>
      <c r="E18" s="1826">
        <v>14388</v>
      </c>
      <c r="F18" s="1826"/>
      <c r="G18" s="1826">
        <v>14388</v>
      </c>
      <c r="H18" s="1826"/>
      <c r="I18" s="1826">
        <v>0</v>
      </c>
      <c r="J18" s="1826"/>
      <c r="K18" s="1826"/>
      <c r="L18" s="1823">
        <f t="shared" si="0"/>
        <v>14388</v>
      </c>
      <c r="M18" s="1826"/>
    </row>
    <row r="19" spans="2:14" ht="20.100000000000001" customHeight="1" x14ac:dyDescent="0.2">
      <c r="B19" s="1113" t="s">
        <v>2135</v>
      </c>
      <c r="C19" s="1824"/>
      <c r="D19" s="1825"/>
      <c r="E19" s="1826"/>
      <c r="F19" s="1826"/>
      <c r="G19" s="1826"/>
      <c r="H19" s="1826"/>
      <c r="I19" s="1826"/>
      <c r="J19" s="1826"/>
      <c r="K19" s="1826"/>
      <c r="L19" s="1823">
        <f t="shared" si="0"/>
        <v>0</v>
      </c>
      <c r="M19" s="1826"/>
    </row>
    <row r="20" spans="2:14" ht="20.100000000000001" customHeight="1" x14ac:dyDescent="0.2">
      <c r="B20" s="1113" t="s">
        <v>2129</v>
      </c>
      <c r="C20" s="1824">
        <v>84.173000000000002</v>
      </c>
      <c r="D20" s="1825" t="s">
        <v>2130</v>
      </c>
      <c r="E20" s="1826"/>
      <c r="F20" s="1826">
        <v>4864</v>
      </c>
      <c r="G20" s="1826"/>
      <c r="H20" s="1826"/>
      <c r="I20" s="1826">
        <v>6290</v>
      </c>
      <c r="J20" s="1826"/>
      <c r="K20" s="1826"/>
      <c r="L20" s="1823">
        <f t="shared" si="0"/>
        <v>6290</v>
      </c>
      <c r="M20" s="1826"/>
    </row>
    <row r="21" spans="2:14" ht="20.100000000000001" customHeight="1" x14ac:dyDescent="0.2">
      <c r="B21" s="1113" t="s">
        <v>2129</v>
      </c>
      <c r="C21" s="1824">
        <v>84.173000000000002</v>
      </c>
      <c r="D21" s="1825" t="s">
        <v>2131</v>
      </c>
      <c r="E21" s="1826">
        <v>4289</v>
      </c>
      <c r="F21" s="1826"/>
      <c r="G21" s="1826">
        <v>4289</v>
      </c>
      <c r="H21" s="1826"/>
      <c r="I21" s="1826">
        <v>0</v>
      </c>
      <c r="J21" s="1826"/>
      <c r="K21" s="1826"/>
      <c r="L21" s="1823">
        <f t="shared" si="0"/>
        <v>4289</v>
      </c>
      <c r="M21" s="1826"/>
    </row>
    <row r="22" spans="2:14" ht="20.100000000000001" customHeight="1" x14ac:dyDescent="0.2">
      <c r="B22" s="1113" t="s">
        <v>2132</v>
      </c>
      <c r="C22" s="1824">
        <v>84.027000000000001</v>
      </c>
      <c r="D22" s="1825" t="s">
        <v>2133</v>
      </c>
      <c r="E22" s="1826"/>
      <c r="F22" s="1826">
        <v>150562</v>
      </c>
      <c r="G22" s="1826"/>
      <c r="H22" s="1826"/>
      <c r="I22" s="1826">
        <v>163680</v>
      </c>
      <c r="J22" s="1826"/>
      <c r="K22" s="1826"/>
      <c r="L22" s="1823">
        <f t="shared" si="0"/>
        <v>163680</v>
      </c>
      <c r="M22" s="1826"/>
    </row>
    <row r="23" spans="2:14" ht="20.100000000000001" customHeight="1" x14ac:dyDescent="0.2">
      <c r="B23" s="1113" t="s">
        <v>2132</v>
      </c>
      <c r="C23" s="1824">
        <v>84.027000000000001</v>
      </c>
      <c r="D23" s="1825" t="s">
        <v>2134</v>
      </c>
      <c r="E23" s="1826">
        <v>142186</v>
      </c>
      <c r="F23" s="1826">
        <v>1490</v>
      </c>
      <c r="G23" s="1826">
        <v>143676</v>
      </c>
      <c r="H23" s="1826"/>
      <c r="I23" s="1826">
        <v>0</v>
      </c>
      <c r="J23" s="1826"/>
      <c r="K23" s="1826"/>
      <c r="L23" s="1823">
        <f t="shared" si="0"/>
        <v>143676</v>
      </c>
      <c r="M23" s="1826"/>
    </row>
    <row r="24" spans="2:14" ht="20.100000000000001" customHeight="1" x14ac:dyDescent="0.2">
      <c r="B24" s="1113" t="s">
        <v>2136</v>
      </c>
      <c r="C24" s="1824"/>
      <c r="D24" s="1825"/>
      <c r="E24" s="1826">
        <v>146475</v>
      </c>
      <c r="F24" s="1826">
        <v>156916</v>
      </c>
      <c r="G24" s="1826">
        <v>147965</v>
      </c>
      <c r="H24" s="1826"/>
      <c r="I24" s="1826">
        <v>169970</v>
      </c>
      <c r="J24" s="1826"/>
      <c r="K24" s="1826"/>
      <c r="L24" s="1823">
        <f t="shared" si="0"/>
        <v>317935</v>
      </c>
      <c r="M24" s="1826"/>
    </row>
    <row r="25" spans="2:14" ht="20.100000000000001" customHeight="1" x14ac:dyDescent="0.2">
      <c r="B25" s="1113" t="s">
        <v>2137</v>
      </c>
      <c r="C25" s="1824"/>
      <c r="D25" s="1825"/>
      <c r="E25" s="1826">
        <v>216063</v>
      </c>
      <c r="F25" s="1826">
        <v>733404</v>
      </c>
      <c r="G25" s="1826">
        <v>650861</v>
      </c>
      <c r="H25" s="1826"/>
      <c r="I25" s="1826">
        <v>645845</v>
      </c>
      <c r="J25" s="1826"/>
      <c r="K25" s="1826"/>
      <c r="L25" s="1823">
        <f t="shared" si="0"/>
        <v>1296706</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0" sqref="I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Cass SD 63</v>
      </c>
      <c r="C1" s="2566"/>
      <c r="D1" s="2566"/>
      <c r="E1" s="2566"/>
      <c r="F1" s="2566"/>
      <c r="G1" s="2566"/>
      <c r="H1" s="2566"/>
      <c r="I1" s="2566"/>
      <c r="J1" s="2566"/>
      <c r="K1" s="2566"/>
      <c r="L1" s="2566"/>
      <c r="M1" s="2566"/>
    </row>
    <row r="2" spans="2:14" ht="15" x14ac:dyDescent="0.2">
      <c r="B2" s="2567">
        <f>'Single Audit Cover'!E7</f>
        <v>19022063002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2138</v>
      </c>
      <c r="C11" s="1821"/>
      <c r="D11" s="1822"/>
      <c r="E11" s="1823"/>
      <c r="F11" s="1823"/>
      <c r="G11" s="1823"/>
      <c r="H11" s="1823"/>
      <c r="I11" s="1823"/>
      <c r="J11" s="1823"/>
      <c r="K11" s="1823"/>
      <c r="L11" s="1823">
        <f>+G11+I11+K11</f>
        <v>0</v>
      </c>
      <c r="M11" s="1823"/>
    </row>
    <row r="12" spans="2:14" ht="20.100000000000001" customHeight="1" x14ac:dyDescent="0.2">
      <c r="B12" s="1113" t="s">
        <v>2139</v>
      </c>
      <c r="C12" s="1824"/>
      <c r="D12" s="1825"/>
      <c r="E12" s="1826"/>
      <c r="F12" s="1826"/>
      <c r="G12" s="1826"/>
      <c r="H12" s="1826"/>
      <c r="I12" s="1826"/>
      <c r="J12" s="1826"/>
      <c r="K12" s="1826"/>
      <c r="L12" s="1823">
        <f t="shared" ref="L12:L27" si="0">+G12+I12+K12</f>
        <v>0</v>
      </c>
      <c r="M12" s="1826"/>
    </row>
    <row r="13" spans="2:14" ht="20.100000000000001" customHeight="1" x14ac:dyDescent="0.2">
      <c r="B13" s="1113" t="s">
        <v>2140</v>
      </c>
      <c r="C13" s="1824">
        <v>93.778000000000006</v>
      </c>
      <c r="D13" s="1825" t="s">
        <v>2141</v>
      </c>
      <c r="E13" s="1826"/>
      <c r="F13" s="1826">
        <v>4452</v>
      </c>
      <c r="G13" s="1826"/>
      <c r="H13" s="1826"/>
      <c r="I13" s="1826">
        <v>6027</v>
      </c>
      <c r="J13" s="1826"/>
      <c r="K13" s="1826"/>
      <c r="L13" s="1823">
        <f t="shared" si="0"/>
        <v>6027</v>
      </c>
      <c r="M13" s="1826"/>
    </row>
    <row r="14" spans="2:14" ht="20.100000000000001" customHeight="1" x14ac:dyDescent="0.2">
      <c r="B14" s="1113" t="s">
        <v>2140</v>
      </c>
      <c r="C14" s="1824">
        <v>93.778000000000006</v>
      </c>
      <c r="D14" s="1825" t="s">
        <v>2142</v>
      </c>
      <c r="E14" s="1826">
        <v>6116</v>
      </c>
      <c r="F14" s="1826">
        <v>1305</v>
      </c>
      <c r="G14" s="1826">
        <v>7421</v>
      </c>
      <c r="H14" s="1826"/>
      <c r="I14" s="1826">
        <v>0</v>
      </c>
      <c r="J14" s="1826"/>
      <c r="K14" s="1826"/>
      <c r="L14" s="1823">
        <f t="shared" si="0"/>
        <v>7421</v>
      </c>
      <c r="M14" s="1826"/>
    </row>
    <row r="15" spans="2:14" ht="20.100000000000001" customHeight="1" x14ac:dyDescent="0.2">
      <c r="B15" s="1113" t="s">
        <v>2143</v>
      </c>
      <c r="C15" s="1824"/>
      <c r="D15" s="1825"/>
      <c r="E15" s="1826">
        <v>6116</v>
      </c>
      <c r="F15" s="1826">
        <v>5757</v>
      </c>
      <c r="G15" s="1826">
        <v>7421</v>
      </c>
      <c r="H15" s="1826"/>
      <c r="I15" s="1826">
        <v>6027</v>
      </c>
      <c r="J15" s="1826"/>
      <c r="K15" s="1826"/>
      <c r="L15" s="1823">
        <f t="shared" si="0"/>
        <v>13448</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2144</v>
      </c>
      <c r="C18" s="1824"/>
      <c r="D18" s="1825"/>
      <c r="E18" s="1826">
        <v>267814</v>
      </c>
      <c r="F18" s="1826">
        <v>803728</v>
      </c>
      <c r="G18" s="1826">
        <v>703917</v>
      </c>
      <c r="H18" s="1826"/>
      <c r="I18" s="1826">
        <v>733279</v>
      </c>
      <c r="J18" s="1826"/>
      <c r="K18" s="1826"/>
      <c r="L18" s="1823">
        <f t="shared" si="0"/>
        <v>1437196</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Cass SD 63</v>
      </c>
      <c r="B1" s="2579"/>
      <c r="C1" s="2579"/>
      <c r="D1" s="2579"/>
      <c r="E1" s="2579"/>
      <c r="F1" s="2579"/>
    </row>
    <row r="2" spans="1:7" ht="13.5" customHeight="1" x14ac:dyDescent="0.2">
      <c r="A2" s="2567">
        <f>'Single Audit Cover'!E7</f>
        <v>19022063002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Cass SD 63</v>
      </c>
      <c r="C1" s="2594"/>
      <c r="D1" s="2594"/>
      <c r="E1" s="2594"/>
      <c r="F1" s="2594"/>
      <c r="G1" s="2594"/>
      <c r="H1" s="2594"/>
      <c r="I1" s="2594"/>
      <c r="J1" s="1178"/>
    </row>
    <row r="2" spans="2:10" s="295" customFormat="1" ht="12.75" customHeight="1" x14ac:dyDescent="0.2">
      <c r="B2" s="2595">
        <f>'Single Audit Cover'!E7</f>
        <v>19022063002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Cass SD 63</v>
      </c>
      <c r="C1" s="2593"/>
      <c r="D1" s="2593"/>
      <c r="E1" s="2593"/>
      <c r="F1" s="2593"/>
      <c r="G1" s="2593"/>
      <c r="H1" s="2593"/>
      <c r="I1" s="2593"/>
      <c r="J1" s="2593"/>
      <c r="K1" s="2593"/>
      <c r="L1" s="1144"/>
      <c r="M1" s="1144"/>
    </row>
    <row r="2" spans="1:13" ht="12" customHeight="1" x14ac:dyDescent="0.2">
      <c r="B2" s="2595">
        <f>'Single Audit Cover'!E7</f>
        <v>19022063002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Cass SD 63</v>
      </c>
      <c r="C1" s="2616"/>
      <c r="D1" s="2616"/>
      <c r="E1" s="2616"/>
      <c r="F1" s="2616"/>
      <c r="G1" s="2616"/>
      <c r="H1" s="2616"/>
      <c r="I1" s="2616"/>
      <c r="J1" s="2616"/>
      <c r="K1" s="2616"/>
      <c r="L1" s="1221"/>
    </row>
    <row r="2" spans="1:12" ht="12.75" customHeight="1" x14ac:dyDescent="0.2">
      <c r="B2" s="2617">
        <f>'Single Audit Cover'!E7</f>
        <v>19022063002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Cass SD 63</v>
      </c>
      <c r="C1" s="2593"/>
      <c r="D1" s="2593"/>
      <c r="E1" s="1240"/>
    </row>
    <row r="2" spans="2:5" s="1058" customFormat="1" ht="12.75" customHeight="1" x14ac:dyDescent="0.2">
      <c r="B2" s="2595">
        <f>'Single Audit Cover'!E7</f>
        <v>19022063002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4"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353326094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2.2301000000000001E-2</v>
      </c>
      <c r="E10" s="333" t="s">
        <v>998</v>
      </c>
      <c r="F10" s="332">
        <v>2.7060000000000001E-3</v>
      </c>
      <c r="G10" s="333" t="s">
        <v>998</v>
      </c>
      <c r="H10" s="332">
        <v>4.73E-4</v>
      </c>
      <c r="I10" s="333" t="s">
        <v>999</v>
      </c>
      <c r="J10" s="1424">
        <f>ROUND(D10+F10+H10,5)</f>
        <v>2.5479999999999999E-2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11624834</v>
      </c>
      <c r="E16" s="1547"/>
      <c r="F16" s="1546">
        <f>SUM('Acct Summary 7-8'!C17,'Acct Summary 7-8'!D17,'Acct Summary 7-8'!F17)</f>
        <v>10656612</v>
      </c>
      <c r="G16" s="1547"/>
      <c r="H16" s="1546">
        <f>SUM(D16-F16)</f>
        <v>968222</v>
      </c>
      <c r="I16" s="1548"/>
      <c r="J16" s="1546">
        <f>SUM('Acct Summary 7-8'!C81,'Acct Summary 7-8'!D81,'Acct Summary 7-8'!F81,'Acct Summary 7-8'!I81)</f>
        <v>4425717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24379500.486000001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7937104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Cass SD 63</v>
      </c>
      <c r="E7" s="368"/>
      <c r="G7" s="247"/>
      <c r="H7" s="364"/>
      <c r="I7" s="364"/>
      <c r="J7" s="364"/>
      <c r="K7" s="364"/>
      <c r="L7" s="307"/>
      <c r="M7" s="307"/>
      <c r="N7" s="307"/>
      <c r="O7" s="307"/>
      <c r="P7" s="307"/>
    </row>
    <row r="8" spans="1:18" ht="12.75" x14ac:dyDescent="0.2">
      <c r="A8" s="307"/>
      <c r="B8" s="307"/>
      <c r="C8" s="366" t="s">
        <v>1115</v>
      </c>
      <c r="D8" s="369">
        <f>COVER!A13</f>
        <v>19022063002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4425717</v>
      </c>
      <c r="I12" s="380"/>
      <c r="J12" s="380"/>
      <c r="K12" s="1559">
        <f>TRUNC((H12/H13*100000),5)/100000</f>
        <v>0.39423062790000002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11226213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-398621</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10656612</v>
      </c>
      <c r="I17" s="380"/>
      <c r="J17" s="389"/>
      <c r="K17" s="1559">
        <f>TRUNC((H17/H18*100000),5)/100000</f>
        <v>0.94926151849999996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11226213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-398621</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4425717</v>
      </c>
      <c r="I24" s="394"/>
      <c r="J24" s="394"/>
      <c r="K24" s="1555">
        <f>TRUNC(((H24/H25*100000)/100000),2)</f>
        <v>149.5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29601.7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7652336.54385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7937104</v>
      </c>
      <c r="I32" s="392"/>
      <c r="J32" s="392"/>
      <c r="K32" s="1555">
        <f>TRUNC(100-((((H32/H33*100))*100)/100),2)</f>
        <v>67.44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24379500.486000001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5" activePane="bottomLeft" state="frozen"/>
      <selection pane="bottomLeft" activeCell="L28" sqref="L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3530923</v>
      </c>
      <c r="D4" s="1573">
        <v>582615</v>
      </c>
      <c r="E4" s="1573">
        <v>202832</v>
      </c>
      <c r="F4" s="1573">
        <v>278893</v>
      </c>
      <c r="G4" s="1573">
        <v>246311</v>
      </c>
      <c r="H4" s="1573">
        <v>0</v>
      </c>
      <c r="I4" s="1573">
        <v>33286</v>
      </c>
      <c r="J4" s="1574">
        <v>0</v>
      </c>
      <c r="K4" s="1573">
        <v>549</v>
      </c>
      <c r="L4" s="1573">
        <v>52841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3530923</v>
      </c>
      <c r="D13" s="1587">
        <f t="shared" ref="D13:L13" si="0">SUM(D4:D12)</f>
        <v>582615</v>
      </c>
      <c r="E13" s="1587">
        <f t="shared" si="0"/>
        <v>202832</v>
      </c>
      <c r="F13" s="1587">
        <f t="shared" si="0"/>
        <v>278893</v>
      </c>
      <c r="G13" s="1587">
        <f t="shared" si="0"/>
        <v>246311</v>
      </c>
      <c r="H13" s="1587">
        <f t="shared" si="0"/>
        <v>0</v>
      </c>
      <c r="I13" s="1587">
        <f t="shared" si="0"/>
        <v>33286</v>
      </c>
      <c r="J13" s="1587">
        <f t="shared" si="0"/>
        <v>0</v>
      </c>
      <c r="K13" s="1587">
        <f t="shared" si="0"/>
        <v>549</v>
      </c>
      <c r="L13" s="1587">
        <f t="shared" si="0"/>
        <v>52841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49573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7028020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179818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714389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202832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7734272</v>
      </c>
    </row>
    <row r="23" spans="1:14" ht="13.5" customHeight="1" thickBot="1" x14ac:dyDescent="0.25">
      <c r="A23" s="1426" t="s">
        <v>638</v>
      </c>
      <c r="B23" s="1429"/>
      <c r="C23" s="1575"/>
      <c r="D23" s="1575"/>
      <c r="E23" s="1575"/>
      <c r="F23" s="1575"/>
      <c r="G23" s="1575"/>
      <c r="H23" s="1575"/>
      <c r="I23" s="1575"/>
      <c r="J23" s="1575"/>
      <c r="K23" s="1575"/>
      <c r="L23" s="1575"/>
      <c r="M23" s="1594">
        <f>SUM(M15:M22)</f>
        <v>7971800</v>
      </c>
      <c r="N23" s="1594">
        <f>SUM(N21:N22)</f>
        <v>7937104</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52841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52841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7937104</v>
      </c>
    </row>
    <row r="37" spans="1:14" ht="13.5" thickBot="1" x14ac:dyDescent="0.25">
      <c r="A37" s="1426" t="s">
        <v>648</v>
      </c>
      <c r="B37" s="1429"/>
      <c r="C37" s="1582"/>
      <c r="D37" s="1582"/>
      <c r="E37" s="1582"/>
      <c r="F37" s="1582"/>
      <c r="G37" s="1582"/>
      <c r="H37" s="1582"/>
      <c r="I37" s="1582"/>
      <c r="J37" s="1582"/>
      <c r="K37" s="1582"/>
      <c r="L37" s="1585"/>
      <c r="M37" s="1575"/>
      <c r="N37" s="1594">
        <f>SUM(N36:N36)</f>
        <v>7937104</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3530923</v>
      </c>
      <c r="D39" s="1573">
        <v>582615</v>
      </c>
      <c r="E39" s="1573">
        <v>202832</v>
      </c>
      <c r="F39" s="1573">
        <v>278893</v>
      </c>
      <c r="G39" s="1573">
        <v>246311</v>
      </c>
      <c r="H39" s="1573">
        <v>0</v>
      </c>
      <c r="I39" s="1573">
        <v>33286</v>
      </c>
      <c r="J39" s="1574">
        <v>0</v>
      </c>
      <c r="K39" s="1573">
        <v>549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7971800</v>
      </c>
      <c r="N40" s="1604"/>
    </row>
    <row r="41" spans="1:14" ht="13.5" customHeight="1" thickBot="1" x14ac:dyDescent="0.25">
      <c r="A41" s="1426" t="s">
        <v>650</v>
      </c>
      <c r="B41" s="1405"/>
      <c r="C41" s="1594">
        <f>(SUM(C34,C37,C38,C39))</f>
        <v>3530923</v>
      </c>
      <c r="D41" s="1594">
        <f t="shared" ref="D41:L41" si="2">SUM(D34,D37,D38:D39)</f>
        <v>582615</v>
      </c>
      <c r="E41" s="1594">
        <f t="shared" si="2"/>
        <v>202832</v>
      </c>
      <c r="F41" s="1594">
        <f t="shared" si="2"/>
        <v>278893</v>
      </c>
      <c r="G41" s="1594">
        <f t="shared" si="2"/>
        <v>246311</v>
      </c>
      <c r="H41" s="1594">
        <f t="shared" si="2"/>
        <v>0</v>
      </c>
      <c r="I41" s="1594">
        <f t="shared" si="2"/>
        <v>33286</v>
      </c>
      <c r="J41" s="1594">
        <f t="shared" si="2"/>
        <v>0</v>
      </c>
      <c r="K41" s="1594">
        <f t="shared" si="2"/>
        <v>549</v>
      </c>
      <c r="L41" s="1594">
        <f t="shared" si="2"/>
        <v>52841</v>
      </c>
      <c r="M41" s="1594">
        <f>SUM(M40)</f>
        <v>7971800</v>
      </c>
      <c r="N41" s="1594">
        <f>SUM(N37)</f>
        <v>7937104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8415654</v>
      </c>
      <c r="D4" s="1606">
        <f>'Revenues 9-14'!D109</f>
        <v>1144344</v>
      </c>
      <c r="E4" s="1606">
        <f>'Revenues 9-14'!E109</f>
        <v>333619</v>
      </c>
      <c r="F4" s="1606">
        <f>'Revenues 9-14'!F109</f>
        <v>220427</v>
      </c>
      <c r="G4" s="1606">
        <f>'Revenues 9-14'!G109</f>
        <v>307373</v>
      </c>
      <c r="H4" s="1606">
        <f>'Revenues 9-14'!H109</f>
        <v>0</v>
      </c>
      <c r="I4" s="1606">
        <f>'Revenues 9-14'!I109</f>
        <v>181</v>
      </c>
      <c r="J4" s="1606">
        <f>'Revenues 9-14'!J109</f>
        <v>0</v>
      </c>
      <c r="K4" s="1606">
        <f>'Revenues 9-14'!K109</f>
        <v>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426638</v>
      </c>
      <c r="D6" s="1607">
        <f>'Revenues 9-14'!D170</f>
        <v>249216</v>
      </c>
      <c r="E6" s="1607">
        <f>'Revenues 9-14'!E170</f>
        <v>0</v>
      </c>
      <c r="F6" s="1607">
        <f>'Revenues 9-14'!F170</f>
        <v>369250</v>
      </c>
      <c r="G6" s="1607">
        <f>'Revenues 9-14'!G170</f>
        <v>7738</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799124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9641416</v>
      </c>
      <c r="D8" s="1594">
        <f t="shared" ref="D8:K8" si="0">SUM(D4:D7)</f>
        <v>1393560</v>
      </c>
      <c r="E8" s="1594">
        <f t="shared" si="0"/>
        <v>333619</v>
      </c>
      <c r="F8" s="1594">
        <f t="shared" si="0"/>
        <v>589677</v>
      </c>
      <c r="G8" s="1594">
        <f t="shared" si="0"/>
        <v>315111</v>
      </c>
      <c r="H8" s="1594">
        <f t="shared" si="0"/>
        <v>0</v>
      </c>
      <c r="I8" s="1594">
        <f t="shared" si="0"/>
        <v>181</v>
      </c>
      <c r="J8" s="1594">
        <f t="shared" si="0"/>
        <v>0</v>
      </c>
      <c r="K8" s="1594">
        <f t="shared" si="0"/>
        <v>8</v>
      </c>
      <c r="L8" s="325"/>
    </row>
    <row r="9" spans="1:13" ht="15.75" thickTop="1" x14ac:dyDescent="0.2">
      <c r="A9" s="449" t="s">
        <v>1634</v>
      </c>
      <c r="B9" s="450">
        <v>3998</v>
      </c>
      <c r="C9" s="1586">
        <v>3764986</v>
      </c>
      <c r="D9" s="1613"/>
      <c r="E9" s="1586"/>
      <c r="F9" s="1586"/>
      <c r="G9" s="1614"/>
      <c r="H9" s="1586"/>
      <c r="I9" s="1609" t="s">
        <v>1159</v>
      </c>
      <c r="J9" s="1583"/>
      <c r="K9" s="1586"/>
      <c r="L9" s="325"/>
    </row>
    <row r="10" spans="1:13" s="452" customFormat="1" ht="13.5" thickBot="1" x14ac:dyDescent="0.25">
      <c r="A10" s="1426" t="s">
        <v>1163</v>
      </c>
      <c r="B10" s="1407"/>
      <c r="C10" s="1594">
        <f>SUM(C8:C9)</f>
        <v>13406402</v>
      </c>
      <c r="D10" s="1594">
        <f t="shared" ref="D10:K10" si="1">SUM(D8:D9)</f>
        <v>1393560</v>
      </c>
      <c r="E10" s="1594">
        <f t="shared" si="1"/>
        <v>333619</v>
      </c>
      <c r="F10" s="1594">
        <f t="shared" si="1"/>
        <v>589677</v>
      </c>
      <c r="G10" s="1594">
        <f t="shared" si="1"/>
        <v>315111</v>
      </c>
      <c r="H10" s="1594">
        <f t="shared" si="1"/>
        <v>0</v>
      </c>
      <c r="I10" s="1594">
        <f t="shared" si="1"/>
        <v>181</v>
      </c>
      <c r="J10" s="1594">
        <f t="shared" si="1"/>
        <v>0</v>
      </c>
      <c r="K10" s="1594">
        <f t="shared" si="1"/>
        <v>8</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5256891</v>
      </c>
      <c r="D12" s="1616" t="s">
        <v>1159</v>
      </c>
      <c r="E12" s="1575" t="s">
        <v>1159</v>
      </c>
      <c r="F12" s="1575" t="s">
        <v>1159</v>
      </c>
      <c r="G12" s="1606">
        <f>'Expenditures 15-22'!K229</f>
        <v>107742</v>
      </c>
      <c r="H12" s="1617"/>
      <c r="I12" s="1575" t="s">
        <v>1159</v>
      </c>
      <c r="J12" s="1575" t="s">
        <v>1159</v>
      </c>
      <c r="K12" s="1617" t="s">
        <v>1159</v>
      </c>
      <c r="L12" s="325"/>
    </row>
    <row r="13" spans="1:13" ht="15.75" customHeight="1" x14ac:dyDescent="0.2">
      <c r="A13" s="1314" t="s">
        <v>454</v>
      </c>
      <c r="B13" s="1316">
        <v>2000</v>
      </c>
      <c r="C13" s="1607">
        <f>'Expenditures 15-22'!K74</f>
        <v>2940939</v>
      </c>
      <c r="D13" s="1607">
        <f>'Expenditures 15-22'!K129</f>
        <v>934202</v>
      </c>
      <c r="E13" s="1576" t="s">
        <v>1159</v>
      </c>
      <c r="F13" s="1607">
        <f>'Expenditures 15-22'!K184</f>
        <v>414605</v>
      </c>
      <c r="G13" s="1607">
        <f>'Expenditures 15-22'!K279</f>
        <v>195083</v>
      </c>
      <c r="H13" s="1607">
        <f>'Expenditures 15-22'!K303</f>
        <v>1442425</v>
      </c>
      <c r="I13" s="1575" t="s">
        <v>1159</v>
      </c>
      <c r="J13" s="1607">
        <f>'Expenditures 15-22'!K330</f>
        <v>0</v>
      </c>
      <c r="K13" s="1618">
        <f>'Expenditures 15-22'!K352</f>
        <v>0</v>
      </c>
      <c r="L13" s="325"/>
    </row>
    <row r="14" spans="1:13" ht="15.75" customHeight="1" x14ac:dyDescent="0.2">
      <c r="A14" s="1314" t="s">
        <v>446</v>
      </c>
      <c r="B14" s="1316">
        <v>3000</v>
      </c>
      <c r="C14" s="1607">
        <f>'Expenditures 15-22'!K75</f>
        <v>73494</v>
      </c>
      <c r="D14" s="1607">
        <f>'Expenditures 15-22'!K130</f>
        <v>0</v>
      </c>
      <c r="E14" s="1616" t="s">
        <v>1159</v>
      </c>
      <c r="F14" s="1607">
        <f>'Expenditures 15-22'!K185</f>
        <v>0</v>
      </c>
      <c r="G14" s="1607">
        <f>'Expenditures 15-22'!K280</f>
        <v>7214</v>
      </c>
      <c r="H14" s="1612"/>
      <c r="I14" s="1575" t="s">
        <v>1159</v>
      </c>
      <c r="J14" s="1575" t="s">
        <v>1159</v>
      </c>
      <c r="K14" s="1612" t="s">
        <v>1159</v>
      </c>
      <c r="L14" s="325"/>
    </row>
    <row r="15" spans="1:13" ht="15.75" customHeight="1" x14ac:dyDescent="0.2">
      <c r="A15" s="1314" t="s">
        <v>107</v>
      </c>
      <c r="B15" s="1316">
        <v>4000</v>
      </c>
      <c r="C15" s="1607">
        <f>'Expenditures 15-22'!K102</f>
        <v>832104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105304</v>
      </c>
      <c r="E16" s="1607">
        <f>'Expenditures 15-22'!K172</f>
        <v>755030</v>
      </c>
      <c r="F16" s="1607">
        <f>'Expenditures 15-22'!K208</f>
        <v>99073</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9103428</v>
      </c>
      <c r="D17" s="1594">
        <f t="shared" si="2"/>
        <v>1039506</v>
      </c>
      <c r="E17" s="1594">
        <f t="shared" si="2"/>
        <v>755030</v>
      </c>
      <c r="F17" s="1594">
        <f t="shared" si="2"/>
        <v>513678</v>
      </c>
      <c r="G17" s="1594">
        <f t="shared" si="2"/>
        <v>310039</v>
      </c>
      <c r="H17" s="1594">
        <f t="shared" si="2"/>
        <v>1442425</v>
      </c>
      <c r="I17" s="1575"/>
      <c r="J17" s="1594">
        <f>SUM(J12:J16)</f>
        <v>0</v>
      </c>
      <c r="K17" s="1594">
        <f>SUM(K12:K16)</f>
        <v>0</v>
      </c>
      <c r="L17" s="325"/>
    </row>
    <row r="18" spans="1:12" ht="15" customHeight="1" thickTop="1" x14ac:dyDescent="0.2">
      <c r="A18" s="1430" t="s">
        <v>1635</v>
      </c>
      <c r="B18" s="1431">
        <v>4180</v>
      </c>
      <c r="C18" s="1606">
        <f t="shared" ref="C18:H18" si="3">C9</f>
        <v>3764986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12868414</v>
      </c>
      <c r="D19" s="1594">
        <f t="shared" si="4"/>
        <v>1039506</v>
      </c>
      <c r="E19" s="1594">
        <f t="shared" si="4"/>
        <v>755030</v>
      </c>
      <c r="F19" s="1594">
        <f t="shared" si="4"/>
        <v>513678</v>
      </c>
      <c r="G19" s="1594">
        <f t="shared" si="4"/>
        <v>310039</v>
      </c>
      <c r="H19" s="1594">
        <f t="shared" si="4"/>
        <v>1442425</v>
      </c>
      <c r="I19" s="1575"/>
      <c r="J19" s="1594">
        <f>SUM(J17:J18)</f>
        <v>0</v>
      </c>
      <c r="K19" s="1594">
        <f>SUM(K17:K18)</f>
        <v>0</v>
      </c>
      <c r="L19" s="325"/>
    </row>
    <row r="20" spans="1:12" ht="16.5" thickTop="1" thickBot="1" x14ac:dyDescent="0.25">
      <c r="A20" s="2231" t="s">
        <v>1636</v>
      </c>
      <c r="B20" s="2232"/>
      <c r="C20" s="1622">
        <f>C8-C17</f>
        <v>537988</v>
      </c>
      <c r="D20" s="1622">
        <f t="shared" ref="D20:K20" si="5">D8-D17</f>
        <v>354054</v>
      </c>
      <c r="E20" s="1622">
        <f t="shared" si="5"/>
        <v>-421411</v>
      </c>
      <c r="F20" s="1622">
        <f t="shared" si="5"/>
        <v>75999</v>
      </c>
      <c r="G20" s="1622">
        <f t="shared" si="5"/>
        <v>5072</v>
      </c>
      <c r="H20" s="1622">
        <f t="shared" si="5"/>
        <v>-1442425</v>
      </c>
      <c r="I20" s="1622">
        <f t="shared" si="5"/>
        <v>181</v>
      </c>
      <c r="J20" s="1622">
        <f t="shared" si="5"/>
        <v>0</v>
      </c>
      <c r="K20" s="1622">
        <f t="shared" si="5"/>
        <v>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v>76374</v>
      </c>
      <c r="F25" s="1574"/>
      <c r="G25" s="1574"/>
      <c r="H25" s="1574">
        <v>1442425</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v>890000</v>
      </c>
      <c r="F33" s="1574"/>
      <c r="G33" s="1582"/>
      <c r="H33" s="1574"/>
      <c r="I33" s="1574">
        <v>1500000</v>
      </c>
      <c r="J33" s="1574"/>
      <c r="K33" s="1574"/>
      <c r="L33" s="453"/>
    </row>
    <row r="34" spans="1:12" s="433" customFormat="1" x14ac:dyDescent="0.2">
      <c r="A34" s="1260" t="s">
        <v>994</v>
      </c>
      <c r="B34" s="454">
        <v>7220</v>
      </c>
      <c r="C34" s="1574"/>
      <c r="D34" s="1574"/>
      <c r="E34" s="1574"/>
      <c r="F34" s="1574"/>
      <c r="G34" s="1582"/>
      <c r="H34" s="1583"/>
      <c r="I34" s="1583">
        <v>56026</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100808</v>
      </c>
      <c r="F37" s="1580"/>
      <c r="G37" s="1580"/>
      <c r="H37" s="1580"/>
      <c r="I37" s="1582"/>
      <c r="J37" s="1580"/>
      <c r="K37" s="1580"/>
      <c r="L37" s="453"/>
    </row>
    <row r="38" spans="1:12" s="433" customFormat="1" x14ac:dyDescent="0.2">
      <c r="A38" s="1260" t="s">
        <v>439</v>
      </c>
      <c r="B38" s="454">
        <v>7500</v>
      </c>
      <c r="C38" s="1582"/>
      <c r="D38" s="1582"/>
      <c r="E38" s="1607">
        <f>SUM(C58:D61,H58:H61)</f>
        <v>7813</v>
      </c>
      <c r="F38" s="1582"/>
      <c r="G38" s="1582"/>
      <c r="H38" s="1582"/>
      <c r="I38" s="1582"/>
      <c r="J38" s="1582"/>
      <c r="K38" s="1582"/>
      <c r="L38" s="453"/>
    </row>
    <row r="39" spans="1:12" s="433" customFormat="1" x14ac:dyDescent="0.2">
      <c r="A39" s="1260" t="s">
        <v>440</v>
      </c>
      <c r="B39" s="454">
        <v>7600</v>
      </c>
      <c r="C39" s="1582"/>
      <c r="D39" s="1582"/>
      <c r="E39" s="1607">
        <f>SUM(C62:D65)</f>
        <v>290000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1364995</v>
      </c>
      <c r="F44" s="1624">
        <f t="shared" si="6"/>
        <v>0</v>
      </c>
      <c r="G44" s="1624">
        <f t="shared" si="6"/>
        <v>0</v>
      </c>
      <c r="H44" s="1624">
        <f t="shared" si="6"/>
        <v>1442425</v>
      </c>
      <c r="I44" s="1624">
        <f t="shared" si="6"/>
        <v>1556026</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1518799</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87648</v>
      </c>
      <c r="D54" s="1626">
        <v>13160</v>
      </c>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v>6919</v>
      </c>
      <c r="D58" s="1627">
        <v>894</v>
      </c>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v>290000</v>
      </c>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902485</v>
      </c>
      <c r="F75" s="1628"/>
      <c r="G75" s="1628"/>
      <c r="H75" s="1628"/>
      <c r="I75" s="1626">
        <v>37227</v>
      </c>
      <c r="J75" s="1626"/>
      <c r="K75" s="1628"/>
      <c r="L75" s="453"/>
    </row>
    <row r="76" spans="1:12" s="433" customFormat="1" ht="14.25" thickTop="1" thickBot="1" x14ac:dyDescent="0.25">
      <c r="A76" s="2221" t="s">
        <v>437</v>
      </c>
      <c r="B76" s="2222"/>
      <c r="C76" s="1624">
        <f t="shared" ref="C76:K76" si="7">SUM(C47:C75)</f>
        <v>94567</v>
      </c>
      <c r="D76" s="1624">
        <f t="shared" si="7"/>
        <v>304054</v>
      </c>
      <c r="E76" s="1624">
        <f t="shared" si="7"/>
        <v>902485</v>
      </c>
      <c r="F76" s="1624">
        <f t="shared" si="7"/>
        <v>0</v>
      </c>
      <c r="G76" s="1624">
        <f t="shared" si="7"/>
        <v>0</v>
      </c>
      <c r="H76" s="1624">
        <f t="shared" si="7"/>
        <v>0</v>
      </c>
      <c r="I76" s="1624">
        <f t="shared" si="7"/>
        <v>1556026</v>
      </c>
      <c r="J76" s="1624">
        <f t="shared" si="7"/>
        <v>0</v>
      </c>
      <c r="K76" s="1624">
        <f t="shared" si="7"/>
        <v>0</v>
      </c>
      <c r="L76" s="453"/>
    </row>
    <row r="77" spans="1:12" ht="14.25" thickTop="1" thickBot="1" x14ac:dyDescent="0.25">
      <c r="A77" s="2223" t="s">
        <v>1167</v>
      </c>
      <c r="B77" s="2224"/>
      <c r="C77" s="1624">
        <f t="shared" ref="C77:K77" si="8">C44-C76</f>
        <v>-94567</v>
      </c>
      <c r="D77" s="1624">
        <f t="shared" si="8"/>
        <v>-304054</v>
      </c>
      <c r="E77" s="1624">
        <f t="shared" si="8"/>
        <v>462510</v>
      </c>
      <c r="F77" s="1624">
        <f t="shared" si="8"/>
        <v>0</v>
      </c>
      <c r="G77" s="1624">
        <f t="shared" si="8"/>
        <v>0</v>
      </c>
      <c r="H77" s="1624">
        <f t="shared" si="8"/>
        <v>1442425</v>
      </c>
      <c r="I77" s="1624">
        <f t="shared" si="8"/>
        <v>0</v>
      </c>
      <c r="J77" s="1624">
        <f t="shared" si="8"/>
        <v>0</v>
      </c>
      <c r="K77" s="1624">
        <f t="shared" si="8"/>
        <v>0</v>
      </c>
      <c r="L77" s="325"/>
    </row>
    <row r="78" spans="1:12" ht="21.75" customHeight="1" thickTop="1" thickBot="1" x14ac:dyDescent="0.25">
      <c r="A78" s="2227" t="s">
        <v>593</v>
      </c>
      <c r="B78" s="2228"/>
      <c r="C78" s="1629">
        <f t="shared" ref="C78:K78" si="9">C20+C77</f>
        <v>443421</v>
      </c>
      <c r="D78" s="1629">
        <f t="shared" si="9"/>
        <v>50000</v>
      </c>
      <c r="E78" s="1629">
        <f t="shared" si="9"/>
        <v>41099</v>
      </c>
      <c r="F78" s="1629">
        <f t="shared" si="9"/>
        <v>75999</v>
      </c>
      <c r="G78" s="1629">
        <f t="shared" si="9"/>
        <v>5072</v>
      </c>
      <c r="H78" s="1629">
        <f t="shared" si="9"/>
        <v>0</v>
      </c>
      <c r="I78" s="1629">
        <f t="shared" si="9"/>
        <v>181</v>
      </c>
      <c r="J78" s="1629">
        <f t="shared" si="9"/>
        <v>0</v>
      </c>
      <c r="K78" s="1629">
        <f t="shared" si="9"/>
        <v>8</v>
      </c>
      <c r="L78" s="457"/>
    </row>
    <row r="79" spans="1:12" ht="13.5" thickTop="1" x14ac:dyDescent="0.2">
      <c r="A79" s="1844" t="str">
        <f>"Fund Balances - July 1, "&amp;'AFR20'!E2-1</f>
        <v>Fund Balances - July 1, 2019</v>
      </c>
      <c r="B79" s="458"/>
      <c r="C79" s="1583">
        <v>3087502</v>
      </c>
      <c r="D79" s="1630">
        <v>532615</v>
      </c>
      <c r="E79" s="1630">
        <v>161733</v>
      </c>
      <c r="F79" s="1630">
        <v>202894</v>
      </c>
      <c r="G79" s="1630">
        <v>241239</v>
      </c>
      <c r="H79" s="1630">
        <v>0</v>
      </c>
      <c r="I79" s="1630">
        <v>33105</v>
      </c>
      <c r="J79" s="1630">
        <v>0</v>
      </c>
      <c r="K79" s="1630">
        <v>541</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3530923</v>
      </c>
      <c r="D81" s="1594">
        <f>SUM(D78:D80)</f>
        <v>582615</v>
      </c>
      <c r="E81" s="1594">
        <f t="shared" ref="E81:K81" si="10">SUM(E78:E80)</f>
        <v>202832</v>
      </c>
      <c r="F81" s="1594">
        <f t="shared" si="10"/>
        <v>278893</v>
      </c>
      <c r="G81" s="1594">
        <f t="shared" si="10"/>
        <v>246311</v>
      </c>
      <c r="H81" s="1594">
        <f t="shared" si="10"/>
        <v>0</v>
      </c>
      <c r="I81" s="1594">
        <f t="shared" si="10"/>
        <v>33286</v>
      </c>
      <c r="J81" s="1594">
        <f t="shared" si="10"/>
        <v>0</v>
      </c>
      <c r="K81" s="1594">
        <f t="shared" si="10"/>
        <v>549</v>
      </c>
      <c r="L81" s="325"/>
    </row>
    <row r="82" spans="1:12" ht="0.75" customHeight="1" thickTop="1" thickBot="1" x14ac:dyDescent="0.25">
      <c r="A82" s="459" t="s">
        <v>340</v>
      </c>
      <c r="B82" s="460"/>
      <c r="C82" s="461">
        <f>(C81-C79)</f>
        <v>443421</v>
      </c>
      <c r="D82" s="461">
        <f t="shared" ref="D82:K82" si="11">(D81-D79)</f>
        <v>50000</v>
      </c>
      <c r="E82" s="461">
        <f t="shared" si="11"/>
        <v>41099</v>
      </c>
      <c r="F82" s="461">
        <f t="shared" si="11"/>
        <v>75999</v>
      </c>
      <c r="G82" s="461">
        <f t="shared" si="11"/>
        <v>5072</v>
      </c>
      <c r="H82" s="461">
        <f t="shared" si="11"/>
        <v>0</v>
      </c>
      <c r="I82" s="461">
        <f t="shared" si="11"/>
        <v>181</v>
      </c>
      <c r="J82" s="461">
        <f t="shared" si="11"/>
        <v>0</v>
      </c>
      <c r="K82" s="461">
        <f t="shared" si="11"/>
        <v>8</v>
      </c>
    </row>
    <row r="83" spans="1:12" ht="14.25" hidden="1" thickTop="1" thickBot="1" x14ac:dyDescent="0.25">
      <c r="A83" s="462" t="s">
        <v>341</v>
      </c>
      <c r="B83" s="428"/>
      <c r="C83" s="463">
        <f>C82/C81</f>
        <v>0.1255821778045004</v>
      </c>
      <c r="D83" s="463">
        <f t="shared" ref="D83:K83" si="12">D82/D81</f>
        <v>8.581996687349279E-2</v>
      </c>
      <c r="E83" s="463">
        <f t="shared" si="12"/>
        <v>0.20262581841129604</v>
      </c>
      <c r="F83" s="463">
        <f t="shared" si="12"/>
        <v>0.2725023575349686</v>
      </c>
      <c r="G83" s="463">
        <f t="shared" si="12"/>
        <v>2.0591853388602213E-2</v>
      </c>
      <c r="H83" s="463" t="e">
        <f t="shared" si="12"/>
        <v>#DIV/0!</v>
      </c>
      <c r="I83" s="463">
        <f t="shared" si="12"/>
        <v>5.4377215646217629E-3</v>
      </c>
      <c r="J83" s="463" t="e">
        <f t="shared" si="12"/>
        <v>#DIV/0!</v>
      </c>
      <c r="K83" s="463">
        <f t="shared" si="12"/>
        <v>1.4571948998178506E-2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6"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7792989</v>
      </c>
      <c r="D5" s="1586">
        <v>945540</v>
      </c>
      <c r="E5" s="1573">
        <v>333419</v>
      </c>
      <c r="F5" s="1631">
        <v>165227</v>
      </c>
      <c r="G5" s="1573">
        <v>136904</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76928</v>
      </c>
      <c r="D7" s="1573"/>
      <c r="E7" s="1575"/>
      <c r="F7" s="1574"/>
      <c r="G7" s="1574"/>
      <c r="H7" s="1574"/>
      <c r="I7" s="1575"/>
      <c r="J7" s="1575"/>
      <c r="K7" s="1575"/>
    </row>
    <row r="8" spans="1:12" x14ac:dyDescent="0.2">
      <c r="A8" s="427" t="s">
        <v>410</v>
      </c>
      <c r="B8" s="429">
        <v>1150</v>
      </c>
      <c r="C8" s="1580"/>
      <c r="D8" s="1580"/>
      <c r="E8" s="1582"/>
      <c r="F8" s="1582"/>
      <c r="G8" s="1586">
        <v>168024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7869917</v>
      </c>
      <c r="D12" s="1633">
        <f t="shared" si="0"/>
        <v>945540</v>
      </c>
      <c r="E12" s="1633">
        <f t="shared" si="0"/>
        <v>333419</v>
      </c>
      <c r="F12" s="1633">
        <f t="shared" si="0"/>
        <v>165227</v>
      </c>
      <c r="G12" s="1633">
        <f t="shared" si="0"/>
        <v>304928</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26551</v>
      </c>
      <c r="D16" s="1573"/>
      <c r="E16" s="1573"/>
      <c r="F16" s="1573"/>
      <c r="G16" s="1573">
        <v>2325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26551</v>
      </c>
      <c r="D18" s="1635">
        <f t="shared" ref="D18:K18" si="1">SUM(D14:D17)</f>
        <v>0</v>
      </c>
      <c r="E18" s="1635">
        <f t="shared" si="1"/>
        <v>0</v>
      </c>
      <c r="F18" s="1635">
        <f t="shared" si="1"/>
        <v>0</v>
      </c>
      <c r="G18" s="1635">
        <f t="shared" si="1"/>
        <v>2325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15766</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15766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46393</v>
      </c>
      <c r="G42" s="1575"/>
      <c r="H42" s="1575"/>
      <c r="I42" s="1575"/>
      <c r="J42" s="1575"/>
      <c r="K42" s="1575"/>
    </row>
    <row r="43" spans="1:11" ht="12.75" customHeight="1" x14ac:dyDescent="0.2">
      <c r="A43" s="427" t="s">
        <v>832</v>
      </c>
      <c r="B43" s="429">
        <v>1412</v>
      </c>
      <c r="C43" s="1575"/>
      <c r="D43" s="1575"/>
      <c r="E43" s="1575"/>
      <c r="F43" s="1573">
        <v>6844</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1898</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55135</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55806</v>
      </c>
      <c r="D65" s="1573">
        <v>383</v>
      </c>
      <c r="E65" s="1573">
        <v>200</v>
      </c>
      <c r="F65" s="1574">
        <v>65</v>
      </c>
      <c r="G65" s="1573">
        <v>120</v>
      </c>
      <c r="H65" s="1573"/>
      <c r="I65" s="1573">
        <v>181</v>
      </c>
      <c r="J65" s="1574"/>
      <c r="K65" s="1573">
        <v>8</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55806</v>
      </c>
      <c r="D67" s="1594">
        <f t="shared" ref="D67:K67" si="2">SUM(D65:D66)</f>
        <v>383</v>
      </c>
      <c r="E67" s="1594">
        <f t="shared" si="2"/>
        <v>200</v>
      </c>
      <c r="F67" s="1594">
        <f t="shared" si="2"/>
        <v>65</v>
      </c>
      <c r="G67" s="1594">
        <f t="shared" si="2"/>
        <v>120</v>
      </c>
      <c r="H67" s="1594">
        <f t="shared" si="2"/>
        <v>0</v>
      </c>
      <c r="I67" s="1594">
        <f t="shared" si="2"/>
        <v>181</v>
      </c>
      <c r="J67" s="1594">
        <f t="shared" si="2"/>
        <v>0</v>
      </c>
      <c r="K67" s="1594">
        <f t="shared" si="2"/>
        <v>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99250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99250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147271</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147271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198421</v>
      </c>
      <c r="E95" s="1617"/>
      <c r="F95" s="1617"/>
      <c r="G95" s="1617"/>
      <c r="H95" s="1617"/>
      <c r="I95" s="1617"/>
      <c r="J95" s="1617"/>
      <c r="K95" s="1617"/>
    </row>
    <row r="96" spans="1:11" ht="12.75" customHeight="1" x14ac:dyDescent="0.2">
      <c r="A96" s="427" t="s">
        <v>388</v>
      </c>
      <c r="B96" s="429">
        <v>1920</v>
      </c>
      <c r="C96" s="1632">
        <v>11670</v>
      </c>
      <c r="D96" s="1632"/>
      <c r="E96" s="1584"/>
      <c r="F96" s="1583"/>
      <c r="G96" s="1583"/>
      <c r="H96" s="1583"/>
      <c r="I96" s="1583"/>
      <c r="J96" s="1583"/>
      <c r="K96" s="1583"/>
    </row>
    <row r="97" spans="1:12" ht="12.75" customHeight="1" x14ac:dyDescent="0.2">
      <c r="A97" s="1265" t="s">
        <v>242</v>
      </c>
      <c r="B97" s="477">
        <v>1930</v>
      </c>
      <c r="C97" s="1598">
        <v>5334</v>
      </c>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54739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129046</v>
      </c>
      <c r="D106" s="1598"/>
      <c r="E106" s="1574"/>
      <c r="F106" s="1574"/>
      <c r="G106" s="1574"/>
      <c r="H106" s="1574"/>
      <c r="I106" s="1617"/>
      <c r="J106" s="1574"/>
      <c r="K106" s="1574"/>
    </row>
    <row r="107" spans="1:12" ht="12.75" customHeight="1" x14ac:dyDescent="0.2">
      <c r="A107" s="427" t="s">
        <v>78</v>
      </c>
      <c r="B107" s="429">
        <v>1999</v>
      </c>
      <c r="C107" s="1632">
        <v>304</v>
      </c>
      <c r="D107" s="1573"/>
      <c r="E107" s="1573"/>
      <c r="F107" s="1573"/>
      <c r="G107" s="1573"/>
      <c r="H107" s="1573"/>
      <c r="I107" s="1573"/>
      <c r="J107" s="1574"/>
      <c r="K107" s="1573"/>
    </row>
    <row r="108" spans="1:12" ht="12.75" customHeight="1" thickBot="1" x14ac:dyDescent="0.25">
      <c r="A108" s="1406" t="s">
        <v>484</v>
      </c>
      <c r="B108" s="1408"/>
      <c r="C108" s="1633">
        <f>SUM(C95:C107)</f>
        <v>201093</v>
      </c>
      <c r="D108" s="1633">
        <f t="shared" ref="D108:K108" si="3">SUM(D95:D107)</f>
        <v>198421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8415654</v>
      </c>
      <c r="D109" s="1641">
        <f t="shared" si="4"/>
        <v>1144344</v>
      </c>
      <c r="E109" s="1641">
        <f t="shared" si="4"/>
        <v>333619</v>
      </c>
      <c r="F109" s="1641">
        <f t="shared" si="4"/>
        <v>220427</v>
      </c>
      <c r="G109" s="1641">
        <f t="shared" si="4"/>
        <v>307373</v>
      </c>
      <c r="H109" s="1641">
        <f t="shared" si="4"/>
        <v>0</v>
      </c>
      <c r="I109" s="1641">
        <f t="shared" si="4"/>
        <v>181</v>
      </c>
      <c r="J109" s="1641">
        <f t="shared" si="4"/>
        <v>0</v>
      </c>
      <c r="K109" s="1629">
        <f t="shared" si="4"/>
        <v>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190688</v>
      </c>
      <c r="D117" s="1586">
        <v>199216</v>
      </c>
      <c r="E117" s="1573"/>
      <c r="F117" s="1586">
        <v>163076</v>
      </c>
      <c r="G117" s="1586">
        <v>7738</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190688</v>
      </c>
      <c r="D122" s="1633">
        <f t="shared" si="5"/>
        <v>199216</v>
      </c>
      <c r="E122" s="1633">
        <f t="shared" si="5"/>
        <v>0</v>
      </c>
      <c r="F122" s="1633">
        <f t="shared" si="5"/>
        <v>163076</v>
      </c>
      <c r="G122" s="1633">
        <f t="shared" si="5"/>
        <v>7738</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22013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22013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420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80320</v>
      </c>
      <c r="G152" s="1574"/>
      <c r="H152" s="1575"/>
      <c r="I152" s="1575"/>
      <c r="J152" s="1575"/>
      <c r="K152" s="1575"/>
    </row>
    <row r="153" spans="1:11" ht="12.75" customHeight="1" x14ac:dyDescent="0.2">
      <c r="A153" s="427" t="s">
        <v>1048</v>
      </c>
      <c r="B153" s="478">
        <v>3510</v>
      </c>
      <c r="C153" s="1632"/>
      <c r="D153" s="1573"/>
      <c r="E153" s="1640"/>
      <c r="F153" s="1573">
        <v>125854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206174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161292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52225</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235950</v>
      </c>
      <c r="D169" s="1658">
        <f t="shared" si="6"/>
        <v>50000</v>
      </c>
      <c r="E169" s="1658">
        <f t="shared" si="6"/>
        <v>0</v>
      </c>
      <c r="F169" s="1658">
        <f t="shared" si="6"/>
        <v>206174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426638</v>
      </c>
      <c r="D170" s="1641">
        <f t="shared" si="7"/>
        <v>249216</v>
      </c>
      <c r="E170" s="1641">
        <f t="shared" si="7"/>
        <v>0</v>
      </c>
      <c r="F170" s="1641">
        <f t="shared" si="7"/>
        <v>369250</v>
      </c>
      <c r="G170" s="1641">
        <f t="shared" si="7"/>
        <v>7738</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482176</v>
      </c>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482176</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56868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56868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60251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60251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4864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152052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156916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9174</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14887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5757</v>
      </c>
      <c r="D263" s="1651"/>
      <c r="E263" s="1575"/>
      <c r="F263" s="1651"/>
      <c r="G263" s="1651"/>
      <c r="H263" s="1575"/>
      <c r="I263" s="1575"/>
      <c r="J263" s="1575"/>
      <c r="K263" s="1575"/>
    </row>
    <row r="264" spans="1:11" ht="12.75" customHeight="1" thickTop="1" thickBot="1" x14ac:dyDescent="0.25">
      <c r="A264" s="427" t="s">
        <v>374</v>
      </c>
      <c r="B264" s="429">
        <v>4992</v>
      </c>
      <c r="C264" s="1650">
        <v>3095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316948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799124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9641416</v>
      </c>
      <c r="D268" s="1641">
        <f t="shared" si="12"/>
        <v>1393560</v>
      </c>
      <c r="E268" s="1641">
        <f t="shared" si="12"/>
        <v>333619</v>
      </c>
      <c r="F268" s="1641">
        <f t="shared" si="12"/>
        <v>589677</v>
      </c>
      <c r="G268" s="1641">
        <f t="shared" si="12"/>
        <v>315111</v>
      </c>
      <c r="H268" s="1641">
        <f t="shared" si="12"/>
        <v>0</v>
      </c>
      <c r="I268" s="1641">
        <f t="shared" si="12"/>
        <v>181</v>
      </c>
      <c r="J268" s="1641">
        <f t="shared" si="12"/>
        <v>0</v>
      </c>
      <c r="K268" s="1629">
        <f t="shared" si="12"/>
        <v>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H27" sqref="H2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3236337</v>
      </c>
      <c r="D5" s="1573">
        <v>465713</v>
      </c>
      <c r="E5" s="1573">
        <v>13325</v>
      </c>
      <c r="F5" s="1573">
        <v>168947</v>
      </c>
      <c r="G5" s="1573">
        <v>9657</v>
      </c>
      <c r="H5" s="1573"/>
      <c r="I5" s="1574"/>
      <c r="J5" s="1574"/>
      <c r="K5" s="1672">
        <f>SUM(C5:J5)</f>
        <v>3893979</v>
      </c>
      <c r="L5" s="1573">
        <v>4077620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768626</v>
      </c>
      <c r="D8" s="1573">
        <v>121919</v>
      </c>
      <c r="E8" s="1573">
        <v>12676</v>
      </c>
      <c r="F8" s="1573">
        <v>7574</v>
      </c>
      <c r="G8" s="1573">
        <v>3246</v>
      </c>
      <c r="H8" s="1573"/>
      <c r="I8" s="1574"/>
      <c r="J8" s="1574"/>
      <c r="K8" s="1672">
        <f t="shared" si="0"/>
        <v>914041</v>
      </c>
      <c r="L8" s="1573">
        <v>1001810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160170</v>
      </c>
      <c r="D10" s="1573">
        <v>21335</v>
      </c>
      <c r="E10" s="1573">
        <v>2625</v>
      </c>
      <c r="F10" s="1573">
        <v>6781</v>
      </c>
      <c r="G10" s="1573"/>
      <c r="H10" s="1573"/>
      <c r="I10" s="1574"/>
      <c r="J10" s="1574"/>
      <c r="K10" s="1672">
        <f t="shared" si="0"/>
        <v>190911</v>
      </c>
      <c r="L10" s="1573">
        <v>201170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v>10000</v>
      </c>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v>2034</v>
      </c>
      <c r="G14" s="1573"/>
      <c r="H14" s="1573">
        <v>9088</v>
      </c>
      <c r="I14" s="1574"/>
      <c r="J14" s="1574"/>
      <c r="K14" s="1672">
        <f t="shared" si="0"/>
        <v>11122</v>
      </c>
      <c r="L14" s="1573">
        <v>13000</v>
      </c>
    </row>
    <row r="15" spans="1:14" x14ac:dyDescent="0.2">
      <c r="A15" s="1274" t="s">
        <v>958</v>
      </c>
      <c r="B15" s="503">
        <v>1600</v>
      </c>
      <c r="C15" s="1573"/>
      <c r="D15" s="1573"/>
      <c r="E15" s="1573"/>
      <c r="F15" s="1573"/>
      <c r="G15" s="1573"/>
      <c r="H15" s="1573"/>
      <c r="I15" s="1574"/>
      <c r="J15" s="1574"/>
      <c r="K15" s="1672">
        <f t="shared" si="0"/>
        <v>0</v>
      </c>
      <c r="L15" s="1573">
        <v>250</v>
      </c>
    </row>
    <row r="16" spans="1:14" x14ac:dyDescent="0.2">
      <c r="A16" s="1274" t="s">
        <v>980</v>
      </c>
      <c r="B16" s="503" t="s">
        <v>421</v>
      </c>
      <c r="C16" s="1573">
        <v>103065</v>
      </c>
      <c r="D16" s="1573">
        <v>16147</v>
      </c>
      <c r="E16" s="1573">
        <v>270</v>
      </c>
      <c r="F16" s="1573"/>
      <c r="G16" s="1573"/>
      <c r="H16" s="1573"/>
      <c r="I16" s="1574"/>
      <c r="J16" s="1574"/>
      <c r="K16" s="1672">
        <f t="shared" si="0"/>
        <v>119482</v>
      </c>
      <c r="L16" s="1573">
        <v>120205</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127356</v>
      </c>
      <c r="I22" s="1673"/>
      <c r="J22" s="1582"/>
      <c r="K22" s="1672">
        <f t="shared" si="0"/>
        <v>127356</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4268198</v>
      </c>
      <c r="D33" s="1674">
        <f t="shared" ref="D33:L33" si="1">SUM(D5:D32)</f>
        <v>625114</v>
      </c>
      <c r="E33" s="1674">
        <f t="shared" si="1"/>
        <v>28896</v>
      </c>
      <c r="F33" s="1674">
        <f t="shared" si="1"/>
        <v>185336</v>
      </c>
      <c r="G33" s="1674">
        <f t="shared" si="1"/>
        <v>12903</v>
      </c>
      <c r="H33" s="1674">
        <f t="shared" si="1"/>
        <v>136444</v>
      </c>
      <c r="I33" s="1674">
        <f t="shared" si="1"/>
        <v>0</v>
      </c>
      <c r="J33" s="1674">
        <f t="shared" si="1"/>
        <v>0</v>
      </c>
      <c r="K33" s="1674">
        <f t="shared" si="1"/>
        <v>5256891</v>
      </c>
      <c r="L33" s="1674">
        <f t="shared" si="1"/>
        <v>5424055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60051</v>
      </c>
      <c r="D36" s="1586">
        <v>9228</v>
      </c>
      <c r="E36" s="1586"/>
      <c r="F36" s="1586"/>
      <c r="G36" s="1586"/>
      <c r="H36" s="1586"/>
      <c r="I36" s="1574"/>
      <c r="J36" s="1574"/>
      <c r="K36" s="1672">
        <f t="shared" ref="K36:K41" si="2">SUM(C36:J36)</f>
        <v>69279</v>
      </c>
      <c r="L36" s="1573">
        <v>68620</v>
      </c>
    </row>
    <row r="37" spans="1:14" x14ac:dyDescent="0.2">
      <c r="A37" s="1274" t="s">
        <v>1081</v>
      </c>
      <c r="B37" s="503">
        <v>2120</v>
      </c>
      <c r="C37" s="1573">
        <v>151919</v>
      </c>
      <c r="D37" s="1573">
        <v>11414</v>
      </c>
      <c r="E37" s="1573"/>
      <c r="F37" s="1573">
        <v>146</v>
      </c>
      <c r="G37" s="1573"/>
      <c r="H37" s="1573"/>
      <c r="I37" s="1574"/>
      <c r="J37" s="1574"/>
      <c r="K37" s="1672">
        <f t="shared" si="2"/>
        <v>163479</v>
      </c>
      <c r="L37" s="1573">
        <v>162860</v>
      </c>
    </row>
    <row r="38" spans="1:14" x14ac:dyDescent="0.2">
      <c r="A38" s="1274" t="s">
        <v>196</v>
      </c>
      <c r="B38" s="503">
        <v>2130</v>
      </c>
      <c r="C38" s="1573">
        <v>53286</v>
      </c>
      <c r="D38" s="1573">
        <v>6727</v>
      </c>
      <c r="E38" s="1573">
        <v>3478</v>
      </c>
      <c r="F38" s="1573">
        <v>553</v>
      </c>
      <c r="G38" s="1573"/>
      <c r="H38" s="1573"/>
      <c r="I38" s="1574"/>
      <c r="J38" s="1574"/>
      <c r="K38" s="1672">
        <f t="shared" si="2"/>
        <v>64044</v>
      </c>
      <c r="L38" s="1573">
        <v>70930</v>
      </c>
    </row>
    <row r="39" spans="1:14" x14ac:dyDescent="0.2">
      <c r="A39" s="1274" t="s">
        <v>197</v>
      </c>
      <c r="B39" s="503">
        <v>2140</v>
      </c>
      <c r="C39" s="1573">
        <v>65336</v>
      </c>
      <c r="D39" s="1573">
        <v>7059</v>
      </c>
      <c r="E39" s="1573"/>
      <c r="F39" s="1573"/>
      <c r="G39" s="1573"/>
      <c r="H39" s="1573"/>
      <c r="I39" s="1574"/>
      <c r="J39" s="1574"/>
      <c r="K39" s="1672">
        <f t="shared" si="2"/>
        <v>72395</v>
      </c>
      <c r="L39" s="1573">
        <v>68880</v>
      </c>
    </row>
    <row r="40" spans="1:14" x14ac:dyDescent="0.2">
      <c r="A40" s="1274" t="s">
        <v>198</v>
      </c>
      <c r="B40" s="503">
        <v>2150</v>
      </c>
      <c r="C40" s="1573">
        <v>181264</v>
      </c>
      <c r="D40" s="1573">
        <v>29503</v>
      </c>
      <c r="E40" s="1573"/>
      <c r="F40" s="1573">
        <v>311</v>
      </c>
      <c r="G40" s="1573"/>
      <c r="H40" s="1573"/>
      <c r="I40" s="1574"/>
      <c r="J40" s="1574"/>
      <c r="K40" s="1672">
        <f t="shared" si="2"/>
        <v>211078</v>
      </c>
      <c r="L40" s="1573">
        <v>210275</v>
      </c>
    </row>
    <row r="41" spans="1:14" x14ac:dyDescent="0.2">
      <c r="A41" s="1274" t="s">
        <v>1650</v>
      </c>
      <c r="B41" s="503">
        <v>2190</v>
      </c>
      <c r="C41" s="1573"/>
      <c r="D41" s="1573"/>
      <c r="E41" s="1573"/>
      <c r="F41" s="1573">
        <v>1833</v>
      </c>
      <c r="G41" s="1573"/>
      <c r="H41" s="1573"/>
      <c r="I41" s="1574"/>
      <c r="J41" s="1574"/>
      <c r="K41" s="1672">
        <f t="shared" si="2"/>
        <v>1833</v>
      </c>
      <c r="L41" s="1573">
        <v>2000</v>
      </c>
    </row>
    <row r="42" spans="1:14" ht="12.75" customHeight="1" thickBot="1" x14ac:dyDescent="0.25">
      <c r="A42" s="1380" t="s">
        <v>556</v>
      </c>
      <c r="B42" s="1381" t="s">
        <v>711</v>
      </c>
      <c r="C42" s="1674">
        <f>SUM(C36:C41)</f>
        <v>511856</v>
      </c>
      <c r="D42" s="1674">
        <f t="shared" ref="D42:L42" si="3">SUM(D36:D41)</f>
        <v>63931</v>
      </c>
      <c r="E42" s="1674">
        <f t="shared" si="3"/>
        <v>3478</v>
      </c>
      <c r="F42" s="1674">
        <f t="shared" si="3"/>
        <v>2843</v>
      </c>
      <c r="G42" s="1674">
        <f t="shared" si="3"/>
        <v>0</v>
      </c>
      <c r="H42" s="1674">
        <f t="shared" si="3"/>
        <v>0</v>
      </c>
      <c r="I42" s="1674">
        <f t="shared" si="3"/>
        <v>0</v>
      </c>
      <c r="J42" s="1674">
        <f t="shared" si="3"/>
        <v>0</v>
      </c>
      <c r="K42" s="1674">
        <f t="shared" si="3"/>
        <v>582108</v>
      </c>
      <c r="L42" s="1674">
        <f t="shared" si="3"/>
        <v>583565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10532</v>
      </c>
      <c r="F44" s="1586"/>
      <c r="G44" s="1586"/>
      <c r="H44" s="1586"/>
      <c r="I44" s="1574"/>
      <c r="J44" s="1574"/>
      <c r="K44" s="1678">
        <f>SUM(C44:J44)</f>
        <v>10532</v>
      </c>
      <c r="L44" s="1586">
        <v>13400</v>
      </c>
    </row>
    <row r="45" spans="1:14" x14ac:dyDescent="0.2">
      <c r="A45" s="1274" t="s">
        <v>810</v>
      </c>
      <c r="B45" s="503">
        <v>2220</v>
      </c>
      <c r="C45" s="1573">
        <v>75148</v>
      </c>
      <c r="D45" s="1573">
        <v>25539</v>
      </c>
      <c r="E45" s="1573">
        <v>254875</v>
      </c>
      <c r="F45" s="1573">
        <v>124230</v>
      </c>
      <c r="G45" s="1573">
        <v>59481</v>
      </c>
      <c r="H45" s="1573"/>
      <c r="I45" s="1574"/>
      <c r="J45" s="1574"/>
      <c r="K45" s="1678">
        <f>SUM(C45:J45)</f>
        <v>539273</v>
      </c>
      <c r="L45" s="1573">
        <v>564210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75148</v>
      </c>
      <c r="D47" s="1674">
        <f t="shared" ref="D47:K47" si="4">SUM(D44:D46)</f>
        <v>25539</v>
      </c>
      <c r="E47" s="1674">
        <f t="shared" si="4"/>
        <v>265407</v>
      </c>
      <c r="F47" s="1674">
        <f t="shared" si="4"/>
        <v>124230</v>
      </c>
      <c r="G47" s="1674">
        <f t="shared" si="4"/>
        <v>59481</v>
      </c>
      <c r="H47" s="1674">
        <f t="shared" si="4"/>
        <v>0</v>
      </c>
      <c r="I47" s="1674">
        <f t="shared" si="4"/>
        <v>0</v>
      </c>
      <c r="J47" s="1674">
        <f t="shared" si="4"/>
        <v>0</v>
      </c>
      <c r="K47" s="1674">
        <f t="shared" si="4"/>
        <v>549805</v>
      </c>
      <c r="L47" s="1674">
        <f>SUM(L44:L46)</f>
        <v>577610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129075</v>
      </c>
      <c r="F49" s="1586">
        <v>16924</v>
      </c>
      <c r="G49" s="1586"/>
      <c r="H49" s="1586">
        <v>14663</v>
      </c>
      <c r="I49" s="1574"/>
      <c r="J49" s="1574"/>
      <c r="K49" s="1678">
        <f>SUM(C49:J49)</f>
        <v>160662</v>
      </c>
      <c r="L49" s="1586">
        <v>166000</v>
      </c>
    </row>
    <row r="50" spans="1:14" x14ac:dyDescent="0.2">
      <c r="A50" s="1274" t="s">
        <v>813</v>
      </c>
      <c r="B50" s="503">
        <v>2320</v>
      </c>
      <c r="C50" s="1573">
        <v>433829</v>
      </c>
      <c r="D50" s="1573">
        <v>204789</v>
      </c>
      <c r="E50" s="1573">
        <v>66122</v>
      </c>
      <c r="F50" s="1573">
        <v>17332</v>
      </c>
      <c r="G50" s="1573">
        <v>5457</v>
      </c>
      <c r="H50" s="1573">
        <v>626</v>
      </c>
      <c r="I50" s="1574"/>
      <c r="J50" s="1574"/>
      <c r="K50" s="1678">
        <f>SUM(C50:J50)</f>
        <v>728155</v>
      </c>
      <c r="L50" s="1573">
        <v>644630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433829</v>
      </c>
      <c r="D53" s="1674">
        <f t="shared" ref="D53:L53" si="5">SUM(D49:D52)</f>
        <v>204789</v>
      </c>
      <c r="E53" s="1674">
        <f t="shared" si="5"/>
        <v>195197</v>
      </c>
      <c r="F53" s="1674">
        <f t="shared" si="5"/>
        <v>34256</v>
      </c>
      <c r="G53" s="1674">
        <f t="shared" si="5"/>
        <v>5457</v>
      </c>
      <c r="H53" s="1674">
        <f t="shared" si="5"/>
        <v>15289</v>
      </c>
      <c r="I53" s="1674">
        <f t="shared" si="5"/>
        <v>0</v>
      </c>
      <c r="J53" s="1674">
        <f t="shared" si="5"/>
        <v>0</v>
      </c>
      <c r="K53" s="1674">
        <f t="shared" si="5"/>
        <v>888817</v>
      </c>
      <c r="L53" s="1674">
        <f t="shared" si="5"/>
        <v>810630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490552</v>
      </c>
      <c r="D55" s="1586">
        <v>213220</v>
      </c>
      <c r="E55" s="1586">
        <v>4839</v>
      </c>
      <c r="F55" s="1586">
        <v>3549</v>
      </c>
      <c r="G55" s="1586">
        <v>830</v>
      </c>
      <c r="H55" s="1586"/>
      <c r="I55" s="1574"/>
      <c r="J55" s="1574"/>
      <c r="K55" s="1678">
        <f>SUM(C55:J55)</f>
        <v>712990</v>
      </c>
      <c r="L55" s="1586">
        <v>678070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490552</v>
      </c>
      <c r="D57" s="1679">
        <f t="shared" ref="D57:K57" si="6">SUM(D55:D56)</f>
        <v>213220</v>
      </c>
      <c r="E57" s="1679">
        <f t="shared" si="6"/>
        <v>4839</v>
      </c>
      <c r="F57" s="1679">
        <f t="shared" si="6"/>
        <v>3549</v>
      </c>
      <c r="G57" s="1679">
        <f t="shared" si="6"/>
        <v>830</v>
      </c>
      <c r="H57" s="1679">
        <f t="shared" si="6"/>
        <v>0</v>
      </c>
      <c r="I57" s="1679">
        <f t="shared" si="6"/>
        <v>0</v>
      </c>
      <c r="J57" s="1679">
        <f t="shared" si="6"/>
        <v>0</v>
      </c>
      <c r="K57" s="1679">
        <f t="shared" si="6"/>
        <v>712990</v>
      </c>
      <c r="L57" s="1674">
        <f>SUM(L55:L56)</f>
        <v>678070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v>43485</v>
      </c>
      <c r="M60" s="501"/>
      <c r="N60" s="501"/>
    </row>
    <row r="61" spans="1:14" s="321" customFormat="1" x14ac:dyDescent="0.2">
      <c r="A61" s="1274" t="s">
        <v>195</v>
      </c>
      <c r="B61" s="503">
        <v>2540</v>
      </c>
      <c r="C61" s="1573"/>
      <c r="D61" s="1573"/>
      <c r="E61" s="1573">
        <v>80001</v>
      </c>
      <c r="F61" s="1573"/>
      <c r="G61" s="1573"/>
      <c r="H61" s="1573"/>
      <c r="I61" s="1574"/>
      <c r="J61" s="1574"/>
      <c r="K61" s="1678">
        <f t="shared" si="7"/>
        <v>80001</v>
      </c>
      <c r="L61" s="1573">
        <v>118000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1608</v>
      </c>
      <c r="D63" s="1573"/>
      <c r="E63" s="1573">
        <v>123557</v>
      </c>
      <c r="F63" s="1573">
        <v>2053</v>
      </c>
      <c r="G63" s="1573"/>
      <c r="H63" s="1573"/>
      <c r="I63" s="1574"/>
      <c r="J63" s="1574"/>
      <c r="K63" s="1678">
        <f t="shared" si="7"/>
        <v>127218</v>
      </c>
      <c r="L63" s="1573">
        <v>150000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1608</v>
      </c>
      <c r="D65" s="1674">
        <f t="shared" ref="D65:L65" si="8">SUM(D59:D64)</f>
        <v>0</v>
      </c>
      <c r="E65" s="1674">
        <f t="shared" si="8"/>
        <v>203558</v>
      </c>
      <c r="F65" s="1674">
        <f t="shared" si="8"/>
        <v>2053</v>
      </c>
      <c r="G65" s="1674">
        <f t="shared" si="8"/>
        <v>0</v>
      </c>
      <c r="H65" s="1674">
        <f t="shared" si="8"/>
        <v>0</v>
      </c>
      <c r="I65" s="1674">
        <f t="shared" si="8"/>
        <v>0</v>
      </c>
      <c r="J65" s="1674">
        <f t="shared" si="8"/>
        <v>0</v>
      </c>
      <c r="K65" s="1674">
        <f t="shared" si="8"/>
        <v>207219</v>
      </c>
      <c r="L65" s="1674">
        <f t="shared" si="8"/>
        <v>311485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1512993</v>
      </c>
      <c r="D74" s="1681">
        <f t="shared" ref="D74:K74" si="10">SUM(D42,D47,D53,D57,D65,D72,D73)</f>
        <v>507479</v>
      </c>
      <c r="E74" s="1681">
        <f t="shared" si="10"/>
        <v>672479</v>
      </c>
      <c r="F74" s="1681">
        <f t="shared" si="10"/>
        <v>166931</v>
      </c>
      <c r="G74" s="1681">
        <f t="shared" si="10"/>
        <v>65768</v>
      </c>
      <c r="H74" s="1681">
        <f t="shared" si="10"/>
        <v>15289</v>
      </c>
      <c r="I74" s="1681">
        <f t="shared" si="10"/>
        <v>0</v>
      </c>
      <c r="J74" s="1681">
        <f t="shared" si="10"/>
        <v>0</v>
      </c>
      <c r="K74" s="1681">
        <f t="shared" si="10"/>
        <v>2940939</v>
      </c>
      <c r="L74" s="1681">
        <f>SUM(L42,L47,L53,L57,L65,L72,L73)</f>
        <v>2961360</v>
      </c>
    </row>
    <row r="75" spans="1:14" s="254" customFormat="1" ht="15.75" customHeight="1" thickTop="1" thickBot="1" x14ac:dyDescent="0.25">
      <c r="A75" s="1348" t="s">
        <v>47</v>
      </c>
      <c r="B75" s="1349" t="s">
        <v>571</v>
      </c>
      <c r="C75" s="1649">
        <v>67388</v>
      </c>
      <c r="D75" s="1649">
        <v>301</v>
      </c>
      <c r="E75" s="1649"/>
      <c r="F75" s="1649">
        <v>5805</v>
      </c>
      <c r="G75" s="1649"/>
      <c r="H75" s="1649"/>
      <c r="I75" s="1627"/>
      <c r="J75" s="1627"/>
      <c r="K75" s="1674">
        <f>SUM(C75:J75)</f>
        <v>73494</v>
      </c>
      <c r="L75" s="1651">
        <v>70000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1287</v>
      </c>
      <c r="F79" s="1673"/>
      <c r="G79" s="1673"/>
      <c r="H79" s="1573">
        <v>318139</v>
      </c>
      <c r="I79" s="1582"/>
      <c r="J79" s="1582"/>
      <c r="K79" s="1672">
        <f t="shared" si="11"/>
        <v>319426</v>
      </c>
      <c r="L79" s="1573">
        <v>313050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1287</v>
      </c>
      <c r="F84" s="1673"/>
      <c r="G84" s="1673"/>
      <c r="H84" s="1674">
        <f>SUM(H78:H83)</f>
        <v>318139</v>
      </c>
      <c r="I84" s="1582"/>
      <c r="J84" s="1582"/>
      <c r="K84" s="1674">
        <f>SUM(K78:K83)</f>
        <v>319426</v>
      </c>
      <c r="L84" s="1674">
        <f>SUM(L78:L83)</f>
        <v>313050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512678</v>
      </c>
      <c r="I86" s="1582"/>
      <c r="J86" s="1582"/>
      <c r="K86" s="1681">
        <f t="shared" ref="K86:K98" si="12">H86</f>
        <v>512678</v>
      </c>
      <c r="L86" s="1626">
        <v>566580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512678</v>
      </c>
      <c r="I92" s="1582"/>
      <c r="J92" s="1582"/>
      <c r="K92" s="1681">
        <f t="shared" si="12"/>
        <v>512678</v>
      </c>
      <c r="L92" s="1674">
        <f>SUM(L85:L91)</f>
        <v>566580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1287</v>
      </c>
      <c r="F102" s="1673"/>
      <c r="G102" s="1673"/>
      <c r="H102" s="1681">
        <f>SUM(H84,H92,H100,H101)</f>
        <v>830817</v>
      </c>
      <c r="I102" s="1582"/>
      <c r="J102" s="1582"/>
      <c r="K102" s="1681">
        <f>SUM(K84,K92,K100,K101)</f>
        <v>832104</v>
      </c>
      <c r="L102" s="1681">
        <f>SUM(L84,L92,L100,L101)</f>
        <v>879630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1000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1000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1000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5848579</v>
      </c>
      <c r="D114" s="1674">
        <f t="shared" ref="D114:K114" si="13">SUM(D33,D74,D75,D102,D112,D113)</f>
        <v>1132894</v>
      </c>
      <c r="E114" s="1674">
        <f t="shared" si="13"/>
        <v>702662</v>
      </c>
      <c r="F114" s="1674">
        <f t="shared" si="13"/>
        <v>358072</v>
      </c>
      <c r="G114" s="1674">
        <f t="shared" si="13"/>
        <v>78671</v>
      </c>
      <c r="H114" s="1674">
        <f>SUM(H33,H74,H75,H102,H112,H113)</f>
        <v>982550</v>
      </c>
      <c r="I114" s="1674">
        <f t="shared" si="13"/>
        <v>0</v>
      </c>
      <c r="J114" s="1674">
        <f t="shared" si="13"/>
        <v>0</v>
      </c>
      <c r="K114" s="1674">
        <f t="shared" si="13"/>
        <v>9103428</v>
      </c>
      <c r="L114" s="1674">
        <f>SUM(L33,L74,L75,L102,L112,L113)</f>
        <v>9336045</v>
      </c>
    </row>
    <row r="115" spans="1:14" ht="13.5" thickTop="1" x14ac:dyDescent="0.2">
      <c r="A115" s="2286" t="s">
        <v>989</v>
      </c>
      <c r="B115" s="2287"/>
      <c r="C115" s="1675"/>
      <c r="D115" s="1675"/>
      <c r="E115" s="1675"/>
      <c r="F115" s="1675"/>
      <c r="G115" s="1675"/>
      <c r="H115" s="1675"/>
      <c r="I115" s="1675"/>
      <c r="J115" s="1675"/>
      <c r="K115" s="1689">
        <f>'Revenues 9-14'!C268-'Expenditures 15-22'!K114</f>
        <v>537988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15000</v>
      </c>
    </row>
    <row r="124" spans="1:14" ht="14.25" thickTop="1" thickBot="1" x14ac:dyDescent="0.25">
      <c r="A124" s="1274" t="s">
        <v>195</v>
      </c>
      <c r="B124" s="503">
        <v>2540</v>
      </c>
      <c r="C124" s="1573">
        <v>239894</v>
      </c>
      <c r="D124" s="1573">
        <v>78100</v>
      </c>
      <c r="E124" s="1573">
        <v>244032</v>
      </c>
      <c r="F124" s="1573">
        <v>247369</v>
      </c>
      <c r="G124" s="1573">
        <v>124807</v>
      </c>
      <c r="H124" s="1573"/>
      <c r="I124" s="1574"/>
      <c r="J124" s="1574"/>
      <c r="K124" s="1674">
        <f>SUM(C124:J124)</f>
        <v>934202</v>
      </c>
      <c r="L124" s="1573">
        <v>1116805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239894</v>
      </c>
      <c r="D127" s="1674">
        <f t="shared" ref="D127:L127" si="14">SUM(D122:D126)</f>
        <v>78100</v>
      </c>
      <c r="E127" s="1674">
        <f t="shared" si="14"/>
        <v>244032</v>
      </c>
      <c r="F127" s="1674">
        <f t="shared" si="14"/>
        <v>247369</v>
      </c>
      <c r="G127" s="1674">
        <f t="shared" si="14"/>
        <v>124807</v>
      </c>
      <c r="H127" s="1674">
        <f t="shared" si="14"/>
        <v>0</v>
      </c>
      <c r="I127" s="1674">
        <f t="shared" si="14"/>
        <v>0</v>
      </c>
      <c r="J127" s="1674">
        <f t="shared" si="14"/>
        <v>0</v>
      </c>
      <c r="K127" s="1674">
        <f t="shared" si="14"/>
        <v>934202</v>
      </c>
      <c r="L127" s="1674">
        <f t="shared" si="14"/>
        <v>1131805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239894</v>
      </c>
      <c r="D129" s="1681">
        <f t="shared" ref="D129:L129" si="15">SUM(D120,D127,D128)</f>
        <v>78100</v>
      </c>
      <c r="E129" s="1681">
        <f t="shared" si="15"/>
        <v>244032</v>
      </c>
      <c r="F129" s="1681">
        <f t="shared" si="15"/>
        <v>247369</v>
      </c>
      <c r="G129" s="1681">
        <f t="shared" si="15"/>
        <v>124807</v>
      </c>
      <c r="H129" s="1681">
        <f t="shared" si="15"/>
        <v>0</v>
      </c>
      <c r="I129" s="1681">
        <f t="shared" si="15"/>
        <v>0</v>
      </c>
      <c r="J129" s="1681">
        <f t="shared" si="15"/>
        <v>0</v>
      </c>
      <c r="K129" s="1681">
        <f t="shared" si="15"/>
        <v>934202</v>
      </c>
      <c r="L129" s="1681">
        <f t="shared" si="15"/>
        <v>1131805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105304</v>
      </c>
      <c r="I148" s="1575"/>
      <c r="J148" s="1673"/>
      <c r="K148" s="1678">
        <f>SUM(H148)</f>
        <v>105304</v>
      </c>
      <c r="L148" s="1599">
        <v>395855</v>
      </c>
    </row>
    <row r="149" spans="1:14" ht="12.75" customHeight="1" thickBot="1" x14ac:dyDescent="0.25">
      <c r="A149" s="1277" t="s">
        <v>633</v>
      </c>
      <c r="B149" s="504" t="s">
        <v>489</v>
      </c>
      <c r="C149" s="1673"/>
      <c r="D149" s="1673"/>
      <c r="E149" s="1673"/>
      <c r="F149" s="1673"/>
      <c r="G149" s="1673"/>
      <c r="H149" s="1674">
        <f>SUM(H147,H148)</f>
        <v>105304</v>
      </c>
      <c r="I149" s="1575"/>
      <c r="J149" s="1673"/>
      <c r="K149" s="1674">
        <f>SUM(K147:K148)</f>
        <v>105304</v>
      </c>
      <c r="L149" s="1674">
        <f>SUM(L142:L146,L148)</f>
        <v>395855</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239894</v>
      </c>
      <c r="D151" s="1674">
        <f t="shared" ref="D151:K151" si="16">SUM(D129,D130,D139,D149,D150)</f>
        <v>78100</v>
      </c>
      <c r="E151" s="1674">
        <f t="shared" si="16"/>
        <v>244032</v>
      </c>
      <c r="F151" s="1674">
        <f t="shared" si="16"/>
        <v>247369</v>
      </c>
      <c r="G151" s="1674">
        <f t="shared" si="16"/>
        <v>124807</v>
      </c>
      <c r="H151" s="1674">
        <f t="shared" si="16"/>
        <v>105304</v>
      </c>
      <c r="I151" s="1674">
        <f t="shared" si="16"/>
        <v>0</v>
      </c>
      <c r="J151" s="1674">
        <f t="shared" si="16"/>
        <v>0</v>
      </c>
      <c r="K151" s="1674">
        <f t="shared" si="16"/>
        <v>1039506</v>
      </c>
      <c r="L151" s="1674">
        <f>SUM(L129,L130,L139,L149,L150)</f>
        <v>1527660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354054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281588</v>
      </c>
      <c r="I169" s="1673"/>
      <c r="J169" s="1673"/>
      <c r="K169" s="1672">
        <f>SUM(C169:H169)</f>
        <v>281588</v>
      </c>
      <c r="L169" s="1695">
        <v>286265</v>
      </c>
    </row>
    <row r="170" spans="1:14" ht="33.75" customHeight="1" x14ac:dyDescent="0.2">
      <c r="A170" s="543" t="s">
        <v>1651</v>
      </c>
      <c r="B170" s="545" t="s">
        <v>31</v>
      </c>
      <c r="C170" s="1673"/>
      <c r="D170" s="1673"/>
      <c r="E170" s="1673"/>
      <c r="F170" s="1673"/>
      <c r="G170" s="1673"/>
      <c r="H170" s="1646">
        <v>470846</v>
      </c>
      <c r="I170" s="1673"/>
      <c r="J170" s="1673"/>
      <c r="K170" s="1672">
        <f>SUM(C170:J170)</f>
        <v>470846</v>
      </c>
      <c r="L170" s="1646">
        <v>80040</v>
      </c>
    </row>
    <row r="171" spans="1:14" ht="15.75" customHeight="1" x14ac:dyDescent="0.2">
      <c r="A171" s="507" t="s">
        <v>761</v>
      </c>
      <c r="B171" s="546" t="s">
        <v>84</v>
      </c>
      <c r="C171" s="1673"/>
      <c r="D171" s="1673"/>
      <c r="E171" s="1573"/>
      <c r="F171" s="1673"/>
      <c r="G171" s="1673"/>
      <c r="H171" s="1646">
        <v>2596</v>
      </c>
      <c r="I171" s="1582"/>
      <c r="J171" s="1673"/>
      <c r="K171" s="1672">
        <f>SUM(C171:J171)</f>
        <v>2596</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755030</v>
      </c>
      <c r="I172" s="1684"/>
      <c r="J172" s="1673"/>
      <c r="K172" s="1681">
        <f>SUM(K168,K169,K170,K171)</f>
        <v>755030</v>
      </c>
      <c r="L172" s="1681">
        <f>SUM(L168,L169,L170,L171)</f>
        <v>368305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755030</v>
      </c>
      <c r="I174" s="1684"/>
      <c r="J174" s="1673"/>
      <c r="K174" s="1681">
        <f>SUM(K160,K172,K173)</f>
        <v>755030</v>
      </c>
      <c r="L174" s="1681">
        <f>SUM(L160,L172,L173)</f>
        <v>368305</v>
      </c>
    </row>
    <row r="175" spans="1:14" ht="13.5" thickTop="1" x14ac:dyDescent="0.2">
      <c r="A175" s="2286" t="s">
        <v>989</v>
      </c>
      <c r="B175" s="2287"/>
      <c r="C175" s="1673"/>
      <c r="D175" s="1673"/>
      <c r="E175" s="1673"/>
      <c r="F175" s="1673"/>
      <c r="G175" s="1673"/>
      <c r="H175" s="1675"/>
      <c r="I175" s="1673"/>
      <c r="J175" s="1673"/>
      <c r="K175" s="1689">
        <f>'Revenues 9-14'!E268-'Expenditures 15-22'!K174</f>
        <v>-421411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216052</v>
      </c>
      <c r="D182" s="1573">
        <v>23172</v>
      </c>
      <c r="E182" s="1573">
        <v>147902</v>
      </c>
      <c r="F182" s="1573">
        <v>27479</v>
      </c>
      <c r="G182" s="1573"/>
      <c r="H182" s="1573"/>
      <c r="I182" s="1574"/>
      <c r="J182" s="1574"/>
      <c r="K182" s="1672">
        <f>SUM(C182:J182)</f>
        <v>414605</v>
      </c>
      <c r="L182" s="1573">
        <v>536480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216052</v>
      </c>
      <c r="D184" s="1681">
        <f t="shared" ref="D184:J184" si="17">SUM(D180,D182,D183)</f>
        <v>23172</v>
      </c>
      <c r="E184" s="1681">
        <f t="shared" si="17"/>
        <v>147902</v>
      </c>
      <c r="F184" s="1681">
        <f t="shared" si="17"/>
        <v>27479</v>
      </c>
      <c r="G184" s="1681">
        <f t="shared" si="17"/>
        <v>0</v>
      </c>
      <c r="H184" s="1681">
        <f t="shared" si="17"/>
        <v>0</v>
      </c>
      <c r="I184" s="1681">
        <f t="shared" si="17"/>
        <v>0</v>
      </c>
      <c r="J184" s="1681">
        <f t="shared" si="17"/>
        <v>0</v>
      </c>
      <c r="K184" s="1681">
        <f>SUM(K180,K182,K183)</f>
        <v>414605</v>
      </c>
      <c r="L184" s="1681">
        <f>SUM(L180, L182:L183)</f>
        <v>536480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9442</v>
      </c>
      <c r="I205" s="1673"/>
      <c r="J205" s="1673"/>
      <c r="K205" s="1696">
        <f>SUM(H205)</f>
        <v>9442</v>
      </c>
      <c r="L205" s="1630"/>
    </row>
    <row r="206" spans="1:14" ht="30" customHeight="1" x14ac:dyDescent="0.2">
      <c r="A206" s="555" t="s">
        <v>1652</v>
      </c>
      <c r="B206" s="546" t="s">
        <v>31</v>
      </c>
      <c r="C206" s="1673"/>
      <c r="D206" s="1673"/>
      <c r="E206" s="1673"/>
      <c r="F206" s="1673"/>
      <c r="G206" s="1673"/>
      <c r="H206" s="1573">
        <v>89631</v>
      </c>
      <c r="I206" s="1673"/>
      <c r="J206" s="1673"/>
      <c r="K206" s="1672">
        <f>SUM(H206)</f>
        <v>89631</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99073</v>
      </c>
      <c r="I208" s="1673"/>
      <c r="J208" s="1673"/>
      <c r="K208" s="1681">
        <f>SUM(K204,K205,K206,K207)</f>
        <v>99073</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216052</v>
      </c>
      <c r="D210" s="1674">
        <f>SUM(D184,D185)</f>
        <v>23172</v>
      </c>
      <c r="E210" s="1674">
        <f>SUM(E184,E185,E196)</f>
        <v>147902</v>
      </c>
      <c r="F210" s="1674">
        <f>SUM(F184,F185)</f>
        <v>27479</v>
      </c>
      <c r="G210" s="1674">
        <f>SUM(G184,G185)</f>
        <v>0</v>
      </c>
      <c r="H210" s="1674">
        <f>SUM(H184,H185,H196,H208,H209)</f>
        <v>99073</v>
      </c>
      <c r="I210" s="1674">
        <f>SUM(I184,I185)</f>
        <v>0</v>
      </c>
      <c r="J210" s="1674">
        <f>SUM(J184,J185)</f>
        <v>0</v>
      </c>
      <c r="K210" s="1672">
        <f>SUM(K184,K185,K196,K208,K209)</f>
        <v>513678</v>
      </c>
      <c r="L210" s="1674">
        <f>SUM(L184,L185,L196,L208,L209)</f>
        <v>536480</v>
      </c>
    </row>
    <row r="211" spans="1:14" ht="13.5" thickTop="1" x14ac:dyDescent="0.2">
      <c r="A211" s="2286" t="s">
        <v>989</v>
      </c>
      <c r="B211" s="2287"/>
      <c r="C211" s="1675"/>
      <c r="D211" s="1675"/>
      <c r="E211" s="1675"/>
      <c r="F211" s="1675"/>
      <c r="G211" s="1675"/>
      <c r="H211" s="1675"/>
      <c r="I211" s="1673"/>
      <c r="J211" s="1673"/>
      <c r="K211" s="1689">
        <f>'Revenues 9-14'!F268-'Expenditures 15-22'!K210</f>
        <v>75999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53668</v>
      </c>
      <c r="E215" s="1673"/>
      <c r="F215" s="1673"/>
      <c r="G215" s="1673"/>
      <c r="H215" s="1673"/>
      <c r="I215" s="1673"/>
      <c r="J215" s="1673"/>
      <c r="K215" s="1672">
        <f>D215</f>
        <v>53668</v>
      </c>
      <c r="L215" s="1573">
        <v>47705</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50363</v>
      </c>
      <c r="E217" s="1673"/>
      <c r="F217" s="1673"/>
      <c r="G217" s="1673"/>
      <c r="H217" s="1673"/>
      <c r="I217" s="1673"/>
      <c r="J217" s="1673"/>
      <c r="K217" s="1672">
        <f t="shared" si="19"/>
        <v>50363</v>
      </c>
      <c r="L217" s="1573">
        <v>67770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2217</v>
      </c>
      <c r="E219" s="1673"/>
      <c r="F219" s="1673"/>
      <c r="G219" s="1673"/>
      <c r="H219" s="1673"/>
      <c r="I219" s="1673"/>
      <c r="J219" s="1673"/>
      <c r="K219" s="1672">
        <f t="shared" si="19"/>
        <v>2217</v>
      </c>
      <c r="L219" s="1573">
        <v>2595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1494</v>
      </c>
      <c r="E225" s="1673"/>
      <c r="F225" s="1673"/>
      <c r="G225" s="1673"/>
      <c r="H225" s="1673"/>
      <c r="I225" s="1673"/>
      <c r="J225" s="1673"/>
      <c r="K225" s="1672">
        <f t="shared" si="19"/>
        <v>1494</v>
      </c>
      <c r="L225" s="1573">
        <v>1505</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107742</v>
      </c>
      <c r="E229" s="1673"/>
      <c r="F229" s="1673"/>
      <c r="G229" s="1673"/>
      <c r="H229" s="1673"/>
      <c r="I229" s="1673"/>
      <c r="J229" s="1673"/>
      <c r="K229" s="1674">
        <f>SUM(K215:K228)</f>
        <v>107742</v>
      </c>
      <c r="L229" s="1674">
        <f>SUM(L215:L228)</f>
        <v>119575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860</v>
      </c>
      <c r="E232" s="1673"/>
      <c r="F232" s="1673"/>
      <c r="G232" s="1673"/>
      <c r="H232" s="1673"/>
      <c r="I232" s="1673"/>
      <c r="J232" s="1673"/>
      <c r="K232" s="1672">
        <f t="shared" ref="K232:K237" si="20">D232</f>
        <v>860</v>
      </c>
      <c r="L232" s="1573">
        <v>870</v>
      </c>
    </row>
    <row r="233" spans="1:12" x14ac:dyDescent="0.2">
      <c r="A233" s="1274" t="s">
        <v>1081</v>
      </c>
      <c r="B233" s="503">
        <v>2120</v>
      </c>
      <c r="C233" s="1673"/>
      <c r="D233" s="1573">
        <v>2203</v>
      </c>
      <c r="E233" s="1673"/>
      <c r="F233" s="1673"/>
      <c r="G233" s="1673"/>
      <c r="H233" s="1673"/>
      <c r="I233" s="1673"/>
      <c r="J233" s="1673"/>
      <c r="K233" s="1672">
        <f t="shared" si="20"/>
        <v>2203</v>
      </c>
      <c r="L233" s="1573">
        <v>2195</v>
      </c>
    </row>
    <row r="234" spans="1:12" x14ac:dyDescent="0.2">
      <c r="A234" s="1274" t="s">
        <v>196</v>
      </c>
      <c r="B234" s="503">
        <v>2130</v>
      </c>
      <c r="C234" s="1673"/>
      <c r="D234" s="1573">
        <v>9398</v>
      </c>
      <c r="E234" s="1673"/>
      <c r="F234" s="1673"/>
      <c r="G234" s="1673"/>
      <c r="H234" s="1673"/>
      <c r="I234" s="1673"/>
      <c r="J234" s="1673"/>
      <c r="K234" s="1672">
        <f t="shared" si="20"/>
        <v>9398</v>
      </c>
      <c r="L234" s="1573">
        <v>10045</v>
      </c>
    </row>
    <row r="235" spans="1:12" x14ac:dyDescent="0.2">
      <c r="A235" s="1274" t="s">
        <v>197</v>
      </c>
      <c r="B235" s="503">
        <v>2140</v>
      </c>
      <c r="C235" s="1673"/>
      <c r="D235" s="1573">
        <v>919</v>
      </c>
      <c r="E235" s="1673"/>
      <c r="F235" s="1673"/>
      <c r="G235" s="1673"/>
      <c r="H235" s="1673"/>
      <c r="I235" s="1673"/>
      <c r="J235" s="1673"/>
      <c r="K235" s="1672">
        <f t="shared" si="20"/>
        <v>919</v>
      </c>
      <c r="L235" s="1573">
        <v>870</v>
      </c>
    </row>
    <row r="236" spans="1:12" x14ac:dyDescent="0.2">
      <c r="A236" s="1274" t="s">
        <v>198</v>
      </c>
      <c r="B236" s="503">
        <v>2150</v>
      </c>
      <c r="C236" s="1673"/>
      <c r="D236" s="1573">
        <v>2628</v>
      </c>
      <c r="E236" s="1673"/>
      <c r="F236" s="1673"/>
      <c r="G236" s="1673"/>
      <c r="H236" s="1673"/>
      <c r="I236" s="1673"/>
      <c r="J236" s="1673"/>
      <c r="K236" s="1672">
        <f t="shared" si="20"/>
        <v>2628</v>
      </c>
      <c r="L236" s="1573">
        <v>2645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16008</v>
      </c>
      <c r="E238" s="1673"/>
      <c r="F238" s="1673"/>
      <c r="G238" s="1673"/>
      <c r="H238" s="1673"/>
      <c r="I238" s="1673"/>
      <c r="J238" s="1673"/>
      <c r="K238" s="1674">
        <f>SUM(K232:K237)</f>
        <v>16008</v>
      </c>
      <c r="L238" s="1674">
        <f>SUM(L232:L237)</f>
        <v>16625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13556</v>
      </c>
      <c r="E241" s="1673"/>
      <c r="F241" s="1673"/>
      <c r="G241" s="1673"/>
      <c r="H241" s="1673"/>
      <c r="I241" s="1673"/>
      <c r="J241" s="1673"/>
      <c r="K241" s="1678">
        <f>D241</f>
        <v>13556</v>
      </c>
      <c r="L241" s="1573">
        <v>12915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13556</v>
      </c>
      <c r="E243" s="1673"/>
      <c r="F243" s="1673"/>
      <c r="G243" s="1673"/>
      <c r="H243" s="1673"/>
      <c r="I243" s="1673"/>
      <c r="J243" s="1673"/>
      <c r="K243" s="1674">
        <f>SUM(K240:K242)</f>
        <v>13556</v>
      </c>
      <c r="L243" s="1674">
        <f>SUM(L240:L242)</f>
        <v>12915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51325</v>
      </c>
      <c r="E246" s="1673"/>
      <c r="F246" s="1673"/>
      <c r="G246" s="1673"/>
      <c r="H246" s="1673"/>
      <c r="I246" s="1673"/>
      <c r="J246" s="1673"/>
      <c r="K246" s="1678">
        <f t="shared" ref="K246:K256" si="21">D246</f>
        <v>51325</v>
      </c>
      <c r="L246" s="1573">
        <v>52345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51325</v>
      </c>
      <c r="E257" s="1673"/>
      <c r="F257" s="1673"/>
      <c r="G257" s="1673"/>
      <c r="H257" s="1673"/>
      <c r="I257" s="1673"/>
      <c r="J257" s="1673"/>
      <c r="K257" s="1674">
        <f>SUM(K245:K256)</f>
        <v>51325</v>
      </c>
      <c r="L257" s="1674">
        <f>SUM(L245:L256)</f>
        <v>52345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28721</v>
      </c>
      <c r="E259" s="1673"/>
      <c r="F259" s="1673"/>
      <c r="G259" s="1673"/>
      <c r="H259" s="1673"/>
      <c r="I259" s="1673"/>
      <c r="J259" s="1673"/>
      <c r="K259" s="1678">
        <f>D259</f>
        <v>28721</v>
      </c>
      <c r="L259" s="1586">
        <v>28050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28721</v>
      </c>
      <c r="E261" s="1673"/>
      <c r="F261" s="1673"/>
      <c r="G261" s="1673"/>
      <c r="H261" s="1673"/>
      <c r="I261" s="1673"/>
      <c r="J261" s="1673"/>
      <c r="K261" s="1674">
        <f>SUM(K259:K260)</f>
        <v>28721</v>
      </c>
      <c r="L261" s="1674">
        <f>SUM(L259:L260)</f>
        <v>28050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50395</v>
      </c>
      <c r="E266" s="1673"/>
      <c r="F266" s="1673"/>
      <c r="G266" s="1673"/>
      <c r="H266" s="1673"/>
      <c r="I266" s="1673"/>
      <c r="J266" s="1673"/>
      <c r="K266" s="1678">
        <f t="shared" si="22"/>
        <v>50395</v>
      </c>
      <c r="L266" s="1573">
        <v>54860</v>
      </c>
    </row>
    <row r="267" spans="1:14" x14ac:dyDescent="0.2">
      <c r="A267" s="1274" t="s">
        <v>947</v>
      </c>
      <c r="B267" s="503">
        <v>2550</v>
      </c>
      <c r="C267" s="1673"/>
      <c r="D267" s="1573">
        <v>34797</v>
      </c>
      <c r="E267" s="1673"/>
      <c r="F267" s="1673"/>
      <c r="G267" s="1673"/>
      <c r="H267" s="1673"/>
      <c r="I267" s="1673"/>
      <c r="J267" s="1673"/>
      <c r="K267" s="1678">
        <f t="shared" si="22"/>
        <v>34797</v>
      </c>
      <c r="L267" s="1573">
        <v>40320</v>
      </c>
    </row>
    <row r="268" spans="1:14" x14ac:dyDescent="0.2">
      <c r="A268" s="1274" t="s">
        <v>100</v>
      </c>
      <c r="B268" s="503">
        <v>2560</v>
      </c>
      <c r="C268" s="1673"/>
      <c r="D268" s="1573">
        <v>281</v>
      </c>
      <c r="E268" s="1673"/>
      <c r="F268" s="1673"/>
      <c r="G268" s="1673"/>
      <c r="H268" s="1673"/>
      <c r="I268" s="1673"/>
      <c r="J268" s="1673"/>
      <c r="K268" s="1678">
        <f t="shared" si="22"/>
        <v>281</v>
      </c>
      <c r="L268" s="1573">
        <v>2170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85473</v>
      </c>
      <c r="E270" s="1673"/>
      <c r="F270" s="1673"/>
      <c r="G270" s="1673"/>
      <c r="H270" s="1673"/>
      <c r="I270" s="1673"/>
      <c r="J270" s="1673"/>
      <c r="K270" s="1674">
        <f>SUM(K263:K269)</f>
        <v>85473</v>
      </c>
      <c r="L270" s="1674">
        <f>SUM(L263:L269)</f>
        <v>97350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195083</v>
      </c>
      <c r="E279" s="1673"/>
      <c r="F279" s="1673"/>
      <c r="G279" s="1673"/>
      <c r="H279" s="1673"/>
      <c r="I279" s="1673"/>
      <c r="J279" s="1673"/>
      <c r="K279" s="1681">
        <f>SUM(K238,K243,K257,K261,K270,K277,K278)</f>
        <v>195083</v>
      </c>
      <c r="L279" s="1681">
        <f>SUM(L238,L243,L257,L261,L270,L277,L278)</f>
        <v>207285</v>
      </c>
    </row>
    <row r="280" spans="1:12" ht="15.75" customHeight="1" thickTop="1" thickBot="1" x14ac:dyDescent="0.25">
      <c r="A280" s="1362" t="s">
        <v>870</v>
      </c>
      <c r="B280" s="1351">
        <v>3000</v>
      </c>
      <c r="C280" s="1673"/>
      <c r="D280" s="1651">
        <v>7214</v>
      </c>
      <c r="E280" s="1673"/>
      <c r="F280" s="1673"/>
      <c r="G280" s="1673"/>
      <c r="H280" s="1673"/>
      <c r="I280" s="1673"/>
      <c r="J280" s="1673"/>
      <c r="K280" s="1687">
        <f>D280</f>
        <v>7214</v>
      </c>
      <c r="L280" s="1651">
        <v>11745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310039</v>
      </c>
      <c r="E295" s="1673"/>
      <c r="F295" s="1673"/>
      <c r="G295" s="1673"/>
      <c r="H295" s="1674">
        <f>H293</f>
        <v>0</v>
      </c>
      <c r="I295" s="1673"/>
      <c r="J295" s="1673"/>
      <c r="K295" s="1674">
        <f>SUM(K229,K279,K280,K285,K293,K294)</f>
        <v>310039</v>
      </c>
      <c r="L295" s="1674">
        <f>SUM(L229,L279,L280,L285,L293,L294)</f>
        <v>338605</v>
      </c>
    </row>
    <row r="296" spans="1:14" ht="13.5" thickTop="1" x14ac:dyDescent="0.2">
      <c r="A296" s="2286" t="s">
        <v>989</v>
      </c>
      <c r="B296" s="2287"/>
      <c r="C296" s="1673"/>
      <c r="D296" s="1675"/>
      <c r="E296" s="1673"/>
      <c r="F296" s="1673"/>
      <c r="G296" s="1673"/>
      <c r="H296" s="1707"/>
      <c r="I296" s="1673"/>
      <c r="J296" s="1673"/>
      <c r="K296" s="1689">
        <f>'Revenues 9-14'!G268-'Expenditures 15-22'!K295</f>
        <v>5072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1442425</v>
      </c>
      <c r="H301" s="1573"/>
      <c r="I301" s="1574"/>
      <c r="J301" s="1574"/>
      <c r="K301" s="1672">
        <f>SUM(C301:J301)</f>
        <v>1442425</v>
      </c>
      <c r="L301" s="1574">
        <v>1440525</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1442425</v>
      </c>
      <c r="H303" s="1681">
        <f t="shared" si="23"/>
        <v>0</v>
      </c>
      <c r="I303" s="1681">
        <f t="shared" si="23"/>
        <v>0</v>
      </c>
      <c r="J303" s="1681">
        <f t="shared" si="23"/>
        <v>0</v>
      </c>
      <c r="K303" s="1681">
        <f t="shared" si="23"/>
        <v>1442425</v>
      </c>
      <c r="L303" s="1681">
        <f t="shared" si="23"/>
        <v>1440525</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1442425</v>
      </c>
      <c r="H312" s="1674">
        <f>SUM(H303,H310)</f>
        <v>0</v>
      </c>
      <c r="I312" s="1674">
        <f>SUM(I303)</f>
        <v>0</v>
      </c>
      <c r="J312" s="1674">
        <f>SUM(J303)</f>
        <v>0</v>
      </c>
      <c r="K312" s="1674">
        <f>SUM(K303,K310,K311)</f>
        <v>1442425</v>
      </c>
      <c r="L312" s="1674">
        <f>SUM(L303,L310,L311)</f>
        <v>1440525</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-1442425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6ce3111e-7420-4802-b50a-75d4e9a0b980"/>
    <ds:schemaRef ds:uri="http://schemas.microsoft.com/office/2006/metadata/properties"/>
    <ds:schemaRef ds:uri="http://schemas.microsoft.com/office/infopath/2007/PartnerControls"/>
    <ds:schemaRef ds:uri="4d435f69-8686-490b-bd6d-b153bf22ab50"/>
    <ds:schemaRef ds:uri="http://purl.org/dc/elements/1.1/"/>
    <ds:schemaRef ds:uri="d21dc803-237d-4c68-8692-8d731fd29118"/>
    <ds:schemaRef ds:uri="http://schemas.microsoft.com/office/2006/documentManagement/types"/>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2020-10-08T19:04:28Z</cp:lastPrinted>
  <dcterms:created xsi:type="dcterms:W3CDTF">2003-10-29T19:06:34Z</dcterms:created>
  <dcterms:modified xsi:type="dcterms:W3CDTF">2020-11-19T17:33:25Z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