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8C300F5F-BF94-4993-B194-A214CB1BB74C}" xr6:coauthVersionLast="45" xr6:coauthVersionMax="45" xr10:uidLastSave="{00000000-0000-0000-0000-000000000000}"/>
  <bookViews>
    <workbookView xWindow="2625" yWindow="3360" windowWidth="21600" windowHeight="127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REF 35" sheetId="117" r:id="rId19"/>
    <sheet name="Opinion-Notes 36" sheetId="129" r:id="rId20"/>
    <sheet name="Itemization 34" sheetId="127"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 i="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3" i="183"/>
  <c r="F22"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E22" i="183"/>
  <c r="E21" i="183"/>
  <c r="F21" i="183" s="1"/>
  <c r="E20" i="183"/>
  <c r="E19" i="183"/>
  <c r="E18" i="183"/>
  <c r="F18" i="183" s="1"/>
  <c r="E17" i="183"/>
  <c r="F17" i="183" s="1"/>
  <c r="B7885" i="106" l="1"/>
  <c r="D7885" i="106" s="1"/>
  <c r="B7884" i="106"/>
  <c r="D7884" i="106" s="1"/>
  <c r="B7883" i="106"/>
  <c r="B7882" i="106"/>
  <c r="D7882" i="106" s="1"/>
  <c r="D7883"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F42" i="34" l="1"/>
  <c r="H15" i="184"/>
  <c r="G30" i="108"/>
  <c r="H33" i="118"/>
  <c r="B7135" i="106"/>
  <c r="D7135" i="106" s="1"/>
  <c r="E58" i="184"/>
  <c r="N58" i="184" s="1"/>
  <c r="B7198" i="106"/>
  <c r="D7198" i="106" s="1"/>
  <c r="E65" i="184"/>
  <c r="N65" i="184" s="1"/>
  <c r="B7126" i="106"/>
  <c r="D7126" i="106" s="1"/>
  <c r="E57" i="184"/>
  <c r="F37" i="34"/>
  <c r="B7829" i="106" s="1"/>
  <c r="D7829" i="106" s="1"/>
  <c r="B7189" i="106"/>
  <c r="D7189" i="106" s="1"/>
  <c r="E64" i="184"/>
  <c r="N64" i="184" s="1"/>
  <c r="C352" i="29"/>
  <c r="C367" i="29" s="1"/>
  <c r="B3622" i="106" s="1"/>
  <c r="D3622" i="106" s="1"/>
  <c r="H76" i="4"/>
  <c r="B3298" i="106" s="1"/>
  <c r="D3298" i="106" s="1"/>
  <c r="D31" i="108"/>
  <c r="E16" i="184"/>
  <c r="H16" i="184" s="1"/>
  <c r="H12" i="184"/>
  <c r="H19" i="184" s="1"/>
  <c r="L20" i="184" s="1"/>
  <c r="B7180" i="106"/>
  <c r="D7180" i="106" s="1"/>
  <c r="E63" i="184"/>
  <c r="N63" i="184" s="1"/>
  <c r="G33" i="108"/>
  <c r="E17" i="184"/>
  <c r="H17" i="184" s="1"/>
  <c r="B7696" i="106"/>
  <c r="D7696" i="106" s="1"/>
  <c r="E66" i="184"/>
  <c r="N66" i="184" s="1"/>
  <c r="B7171" i="106"/>
  <c r="D7171" i="106" s="1"/>
  <c r="E62" i="184"/>
  <c r="N62" i="184" s="1"/>
  <c r="B7162" i="106"/>
  <c r="D7162" i="106" s="1"/>
  <c r="E61" i="184"/>
  <c r="N61" i="184" s="1"/>
  <c r="H365" i="29"/>
  <c r="B7242" i="106" s="1"/>
  <c r="D7242" i="106" s="1"/>
  <c r="B7153" i="106"/>
  <c r="D7153" i="106" s="1"/>
  <c r="E60" i="184"/>
  <c r="N60" i="184" s="1"/>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K77" i="4" l="1"/>
  <c r="B3587" i="106" s="1"/>
  <c r="D3587" i="106" s="1"/>
  <c r="K365" i="29"/>
  <c r="B7243" i="106" s="1"/>
  <c r="D7243" i="106" s="1"/>
  <c r="J151" i="29"/>
  <c r="B7052" i="106" s="1"/>
  <c r="D7052" i="106" s="1"/>
  <c r="E19" i="184"/>
  <c r="B1381" i="106"/>
  <c r="D1381" i="106" s="1"/>
  <c r="F41" i="108"/>
  <c r="G43" i="108" s="1"/>
  <c r="B5527" i="106"/>
  <c r="D5527" i="106" s="1"/>
  <c r="D44" i="36"/>
  <c r="N57" i="184"/>
  <c r="N68" i="184" s="1"/>
  <c r="E68" i="184"/>
  <c r="E367" i="29"/>
  <c r="B3635" i="106"/>
  <c r="D3635" i="106" s="1"/>
  <c r="B7220" i="106"/>
  <c r="D7220" i="106" s="1"/>
  <c r="F75" i="34"/>
  <c r="B7886" i="106" s="1"/>
  <c r="D7886" i="106" s="1"/>
  <c r="L114" i="29"/>
  <c r="B7222" i="106"/>
  <c r="D7222" i="106" s="1"/>
  <c r="F76" i="34"/>
  <c r="B7887" i="106" s="1"/>
  <c r="D7887" i="106" s="1"/>
  <c r="L16" i="11"/>
  <c r="B2061" i="106" s="1"/>
  <c r="D206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F77" i="34"/>
  <c r="B7834" i="106" s="1"/>
  <c r="D7834" i="106" s="1"/>
  <c r="K17" i="4"/>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<sst xmlns="http://schemas.openxmlformats.org/spreadsheetml/2006/main" count="5180" uniqueCount="2095">
  <si>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</si>
  <si>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</si>
  <si>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</si>
  <si>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</si>
  <si>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</si>
  <si>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</si>
  <si>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</si>
  <si>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</si>
  <si>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</si>
  <si>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</si>
  <si>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</si>
  <si>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</si>
  <si>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</si>
  <si>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</si>
  <si>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</si>
  <si>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</si>
  <si>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</si>
  <si>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</si>
  <si>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</si>
  <si>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</si>
  <si>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</si>
  <si>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</si>
  <si>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</si>
  <si>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</si>
  <si>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</si>
  <si>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</si>
  <si>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</si>
  <si>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</si>
  <si>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</si>
  <si>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</si>
  <si>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</si>
  <si>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</si>
  <si>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</si>
  <si>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</si>
  <si>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</si>
  <si>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</si>
  <si>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</si>
  <si>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</si>
  <si>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</si>
  <si>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</si>
  <si>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</si>
  <si>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</si>
  <si>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</si>
  <si>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</si>
  <si>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</si>
  <si>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</si>
  <si>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</si>
  <si>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</si>
  <si>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</si>
  <si>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</si>
  <si>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</si>
  <si>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</si>
  <si>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</si>
  <si>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</si>
  <si>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</si>
  <si>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</si>
  <si>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</si>
  <si>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</si>
  <si>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</si>
  <si>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</si>
  <si>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</si>
  <si>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</si>
  <si>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</si>
  <si>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</si>
  <si>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</si>
  <si>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</si>
  <si>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</si>
  <si>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</si>
  <si>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</si>
  <si>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</si>
  <si>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</si>
  <si>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</si>
  <si>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</si>
  <si>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</si>
  <si>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</si>
  <si>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</si>
  <si>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</si>
  <si>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</si>
  <si>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</si>
  <si>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</si>
  <si>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</si>
  <si>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</si>
  <si>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</si>
  <si>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</si>
  <si>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</si>
  <si>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</si>
  <si>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</si>
  <si>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</si>
  <si>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</si>
  <si>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</si>
  <si>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</si>
  <si>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</si>
  <si>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</si>
  <si>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</si>
  <si>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</si>
  <si>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</si>
  <si>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</si>
  <si>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</si>
  <si>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</si>
  <si>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</si>
  <si>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</si>
  <si>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</si>
  <si>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</si>
  <si>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</si>
  <si>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</si>
  <si>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</si>
  <si>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</si>
  <si>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</si>
  <si>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</si>
  <si>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</si>
  <si>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</si>
  <si>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</si>
  <si>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</si>
  <si>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</si>
  <si>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</si>
  <si>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</si>
  <si>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</si>
  <si>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</si>
  <si>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</si>
  <si>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</si>
  <si>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</si>
  <si>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</si>
  <si>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</si>
  <si>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</si>
  <si>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</si>
  <si>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</si>
  <si>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</si>
  <si>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</si>
  <si>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</si>
  <si>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</si>
  <si>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</si>
  <si>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</si>
  <si>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</si>
  <si>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</si>
  <si>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</si>
  <si>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</si>
  <si>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</si>
  <si>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</si>
  <si>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</si>
  <si>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</si>
  <si>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</si>
  <si>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</si>
  <si>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</si>
  <si>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</si>
  <si>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</si>
  <si>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</si>
  <si>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</si>
  <si>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</si>
  <si>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</si>
  <si>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</si>
  <si>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</si>
  <si>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</si>
  <si>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</si>
  <si>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</si>
  <si>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</si>
  <si>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</si>
  <si>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</si>
  <si>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</si>
  <si>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</si>
  <si>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</si>
  <si>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</si>
  <si>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</si>
  <si>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</si>
  <si>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</si>
  <si>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</si>
  <si>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</si>
  <si>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</si>
  <si>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</si>
  <si>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</si>
  <si>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</si>
  <si>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</si>
  <si>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</si>
  <si>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</si>
  <si>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</si>
  <si>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</si>
  <si>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</si>
  <si>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</si>
  <si>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</si>
  <si>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</si>
  <si>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</si>
  <si>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</si>
  <si>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</si>
  <si>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</si>
  <si>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</si>
  <si>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</si>
  <si>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</si>
  <si>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</si>
  <si>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</si>
  <si>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</si>
  <si>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</si>
  <si>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</si>
  <si>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</si>
  <si>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</si>
  <si>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</si>
  <si>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</si>
  <si>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</si>
  <si>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</si>
  <si>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</si>
  <si>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</si>
  <si>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</si>
  <si>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</si>
  <si>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</si>
  <si>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</si>
  <si>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</si>
  <si>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</si>
  <si>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</si>
  <si>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</si>
  <si>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</si>
  <si>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</si>
  <si>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</si>
  <si>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</si>
  <si>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</si>
  <si>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</si>
  <si>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</si>
  <si>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</si>
  <si>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</si>
  <si>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</si>
  <si>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</si>
  <si>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</si>
  <si>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</si>
  <si>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</si>
  <si>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</si>
  <si>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</si>
  <si>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</si>
  <si>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</si>
  <si>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</si>
  <si>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</si>
  <si>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</si>
  <si>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</si>
  <si>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</si>
  <si>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</si>
  <si>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</si>
  <si>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</si>
  <si>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</si>
  <si>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</si>
  <si>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</si>
  <si>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</si>
  <si>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</si>
  <si>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</si>
  <si>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</si>
  <si>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</si>
  <si>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</si>
  <si>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</si>
  <si>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</si>
  <si>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</si>
  <si>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</si>
  <si>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</si>
  <si>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</si>
  <si>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</si>
  <si>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</si>
  <si>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</si>
  <si>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</si>
  <si>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</si>
  <si>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</si>
  <si>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</si>
  <si>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</si>
  <si>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</si>
  <si>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</si>
  <si>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</si>
  <si>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</si>
  <si>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</si>
  <si>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</si>
  <si>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</si>
  <si>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</si>
  <si>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</si>
  <si>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</si>
  <si>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</si>
  <si>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</si>
  <si>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</si>
  <si>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</si>
  <si>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</si>
  <si>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</si>
  <si>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</si>
  <si>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</si>
  <si>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</si>
  <si>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</si>
  <si>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</si>
  <si>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</si>
  <si>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</si>
  <si>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</si>
  <si>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</si>
  <si>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</si>
  <si>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</si>
  <si>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</si>
  <si>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</si>
  <si>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</si>
  <si>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</si>
  <si>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</si>
  <si>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</si>
  <si>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</si>
  <si>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</si>
  <si>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</si>
  <si>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</si>
  <si>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</si>
  <si>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</si>
  <si>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</si>
  <si>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</si>
  <si>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</si>
  <si>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</si>
  <si>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</si>
  <si>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</si>
  <si>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</si>
  <si>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</si>
  <si>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</si>
  <si>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</si>
  <si>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</si>
  <si>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</si>
  <si>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</si>
  <si>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</si>
  <si>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</si>
  <si>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</si>
  <si>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</si>
  <si>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</si>
  <si>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</si>
  <si>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</si>
  <si>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</si>
  <si>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</si>
  <si>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</si>
  <si>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</si>
  <si>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</si>
  <si>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</si>
  <si>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</si>
  <si>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</si>
  <si>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</si>
  <si>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</si>
  <si>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</si>
  <si>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</si>
  <si>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</si>
  <si>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</si>
  <si>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</si>
  <si>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</si>
  <si>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</si>
  <si>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</si>
  <si>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</si>
  <si>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</si>
  <si>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</si>
  <si>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</si>
  <si>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</si>
  <si>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</si>
  <si>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</si>
  <si>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</si>
  <si>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</si>
  <si>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</si>
  <si>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</si>
  <si>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</si>
  <si>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</si>
  <si>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</si>
  <si>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</si>
  <si>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</si>
  <si>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</si>
  <si>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</si>
  <si>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</si>
  <si>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</si>
  <si>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</si>
  <si>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</si>
  <si>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</si>
  <si>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</si>
  <si>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</si>
  <si>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</si>
  <si>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</si>
  <si>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</si>
  <si>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</si>
  <si>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</si>
  <si>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</si>
  <si>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</si>
  <si>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</si>
  <si>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</si>
  <si>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</si>
  <si>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</si>
  <si>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</si>
  <si>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</si>
  <si>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</si>
  <si>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</si>
  <si>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</si>
  <si>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</si>
  <si>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</si>
  <si>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</si>
  <si>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</si>
  <si>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</si>
  <si>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</si>
  <si>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</si>
  <si>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</si>
  <si>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</si>
  <si>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</si>
  <si>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</si>
  <si>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</si>
  <si>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</si>
  <si>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</si>
  <si>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</si>
  <si>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</si>
  <si>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</si>
  <si>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</si>
  <si>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</si>
  <si>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</si>
  <si>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</si>
  <si>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</si>
  <si>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</si>
  <si>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</si>
  <si>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</si>
  <si>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</si>
  <si>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</si>
  <si>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</si>
  <si>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</si>
  <si>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</si>
  <si>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</si>
  <si>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</si>
  <si>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</si>
  <si>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</si>
  <si>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</si>
  <si>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</si>
  <si>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</si>
  <si>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</si>
  <si>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</si>
  <si>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</si>
  <si>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</si>
  <si>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</si>
  <si>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</si>
  <si>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</si>
  <si>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</si>
  <si>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</si>
  <si>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</si>
  <si>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</si>
  <si>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</si>
  <si>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</si>
  <si>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</si>
  <si>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</si>
  <si>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</si>
  <si>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</si>
  <si>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</si>
  <si>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</si>
  <si>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</si>
  <si>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</si>
  <si>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</si>
  <si>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</si>
  <si>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</si>
  <si>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</si>
  <si>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</si>
  <si>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</si>
  <si>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</si>
  <si>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</si>
  <si>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</si>
  <si>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</si>
  <si>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</si>
  <si>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</si>
  <si>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</si>
  <si>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</si>
  <si>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</si>
  <si>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</si>
  <si>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</si>
  <si>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</si>
  <si>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</si>
  <si>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</si>
  <si>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</si>
  <si>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</si>
  <si>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</si>
  <si>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</si>
  <si>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</si>
  <si>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</si>
  <si>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</si>
  <si>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</si>
  <si>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</si>
  <si>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</si>
  <si>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</si>
  <si>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</si>
  <si>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</si>
  <si>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</si>
  <si>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</si>
  <si>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</si>
  <si>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</si>
  <si>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</si>
  <si>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</si>
  <si>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</si>
  <si>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</si>
  <si>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</si>
  <si>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</si>
  <si>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</si>
  <si>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</si>
  <si>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</si>
  <si>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</si>
  <si>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</si>
  <si>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</si>
  <si>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</si>
  <si>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</si>
  <si>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</si>
  <si>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</si>
  <si>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</si>
  <si>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</si>
  <si>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</si>
  <si>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</si>
  <si>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</si>
  <si>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</si>
  <si>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</si>
  <si>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</si>
  <si>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</si>
  <si>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</si>
  <si>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</si>
  <si>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</si>
  <si>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</si>
  <si>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</si>
  <si>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</si>
  <si>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</si>
  <si>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</si>
  <si>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</si>
  <si>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</si>
  <si>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</si>
  <si>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</si>
  <si>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</si>
  <si>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</si>
  <si>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</si>
  <si>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</si>
  <si>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</si>
  <si>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</si>
  <si>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</si>
  <si>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</si>
  <si>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</si>
  <si>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</si>
  <si>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</si>
  <si>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</si>
  <si>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</si>
  <si>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</si>
  <si>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</si>
  <si>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</si>
  <si>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</si>
  <si>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</si>
  <si>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</si>
  <si>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</si>
  <si>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</si>
  <si>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</si>
  <si>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</si>
  <si>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</si>
  <si>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</si>
  <si>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</si>
  <si>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</si>
  <si>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</si>
  <si>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</si>
  <si>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</si>
  <si>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</si>
  <si>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</si>
  <si>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</si>
  <si>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</si>
  <si>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</si>
  <si>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</si>
  <si>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</si>
  <si>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</si>
  <si>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</si>
  <si>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</si>
  <si>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</si>
  <si>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</si>
  <si>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</si>
  <si>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</si>
  <si>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</si>
  <si>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</si>
  <si>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</si>
  <si>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</si>
  <si>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</si>
  <si>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</si>
  <si>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</si>
  <si>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</si>
  <si>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</si>
  <si>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</si>
  <si>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</si>
  <si>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</si>
  <si>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</si>
  <si>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</si>
  <si>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</si>
  <si>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</si>
  <si>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</si>
  <si>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</si>
  <si>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</si>
  <si>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</si>
  <si>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</si>
  <si>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</si>
  <si>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</si>
  <si>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</si>
  <si>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</si>
  <si>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</si>
  <si>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</si>
  <si>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</si>
  <si>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</si>
  <si>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</si>
  <si>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</si>
  <si>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</si>
  <si>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</si>
  <si>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</si>
  <si>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</si>
  <si>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</si>
  <si>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</si>
  <si>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</si>
  <si>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</si>
  <si>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</si>
  <si>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</si>
  <si>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</si>
  <si>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</si>
  <si>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</si>
  <si>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</si>
  <si>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</si>
  <si>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</si>
  <si>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</si>
  <si>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</si>
  <si>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</si>
  <si>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</si>
  <si>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</si>
  <si>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</si>
  <si>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</si>
  <si>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</si>
  <si>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</si>
  <si>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</si>
  <si>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</si>
  <si>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</si>
  <si>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</si>
  <si>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</si>
  <si>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</si>
  <si>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</si>
  <si>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</si>
  <si>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</si>
  <si>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</si>
  <si>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</si>
  <si>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</si>
  <si>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</si>
  <si>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</si>
  <si>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</si>
  <si>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</si>
  <si>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</si>
  <si>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</si>
  <si>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</si>
  <si>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</si>
  <si>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</si>
  <si>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</si>
  <si>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</si>
  <si>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</si>
  <si>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</si>
  <si>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</si>
  <si>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</si>
  <si>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</si>
  <si>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</si>
  <si>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</si>
  <si>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</si>
  <si>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</si>
  <si>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</si>
  <si>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</si>
  <si>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</si>
  <si>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</si>
  <si>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</si>
  <si>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</si>
  <si>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</si>
  <si>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</si>
  <si>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</si>
  <si>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</si>
  <si>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</si>
  <si>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</si>
  <si>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</si>
  <si>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</si>
  <si>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</si>
  <si>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</si>
  <si>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</si>
  <si>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</si>
  <si>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</si>
  <si>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</si>
  <si>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</si>
  <si>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</si>
  <si>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</si>
  <si>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</si>
  <si>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</si>
  <si>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</si>
  <si>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</si>
  <si>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</si>
  <si>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</si>
  <si>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</si>
  <si>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</si>
  <si>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</si>
  <si>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</si>
  <si>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</si>
  <si>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</si>
  <si>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</si>
  <si>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</si>
  <si>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</si>
  <si>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</si>
  <si>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</si>
  <si>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</si>
  <si>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</si>
  <si>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</si>
  <si>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</si>
  <si>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</si>
  <si>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</si>
  <si>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</si>
  <si>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</si>
  <si>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</si>
  <si>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</si>
  <si>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</si>
  <si>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</si>
  <si>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</si>
  <si>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</si>
  <si>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</si>
  <si>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</si>
  <si>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</si>
  <si>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</si>
  <si>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</si>
  <si>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</si>
  <si>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</si>
  <si>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</si>
  <si>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</si>
  <si>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</si>
  <si>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</si>
  <si>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</si>
  <si>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</si>
  <si>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</si>
  <si>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</si>
  <si>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</si>
  <si>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</si>
  <si>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</si>
  <si>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</si>
  <si>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</si>
  <si>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</si>
  <si>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</si>
  <si>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</si>
  <si>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</si>
  <si>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</si>
  <si>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</si>
  <si>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</si>
  <si>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</si>
  <si>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</si>
  <si>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</si>
  <si>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</si>
  <si>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</si>
  <si>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</si>
  <si>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</si>
  <si>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</si>
  <si>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</si>
  <si>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</si>
  <si>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</si>
  <si>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</si>
  <si>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</si>
  <si>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</si>
  <si>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</si>
  <si>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</si>
  <si>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</si>
  <si>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</si>
  <si>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</si>
  <si>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</si>
  <si>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</si>
  <si>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</si>
  <si>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</si>
  <si>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</si>
  <si>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</si>
  <si>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</si>
  <si>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</si>
  <si>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</si>
  <si>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</si>
  <si>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</si>
  <si>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</si>
  <si>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</si>
  <si>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</si>
  <si>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</si>
  <si>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</si>
  <si>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</si>
  <si>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</si>
  <si>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</si>
  <si>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</si>
  <si>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</si>
  <si>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</si>
  <si>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</si>
  <si>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</si>
  <si>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</si>
  <si>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</si>
  <si>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</si>
  <si>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</si>
  <si>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</si>
  <si>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</si>
  <si>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</si>
  <si>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</si>
  <si>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</si>
  <si>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</si>
  <si>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</si>
  <si>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</si>
  <si>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</si>
  <si>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</si>
  <si>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</si>
  <si>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</si>
  <si>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</si>
  <si>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</si>
  <si>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</si>
  <si>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</si>
  <si>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</si>
  <si>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</si>
  <si>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</si>
  <si>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</si>
  <si>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</si>
  <si>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</si>
  <si>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</si>
  <si>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</si>
  <si>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</si>
  <si>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</si>
  <si>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</si>
  <si>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</si>
  <si>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</si>
  <si>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</si>
  <si>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</si>
  <si>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</si>
  <si>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</si>
  <si>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</si>
  <si>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</si>
  <si>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</si>
  <si>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</si>
  <si>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</si>
  <si>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</si>
  <si>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</si>
  <si>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</si>
  <si>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</si>
  <si>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</si>
  <si>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</si>
  <si>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</si>
  <si>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</si>
  <si>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</si>
  <si>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</si>
  <si>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</si>
  <si>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</si>
  <si>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</si>
  <si>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</si>
  <si>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</si>
  <si>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</si>
  <si>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</si>
  <si>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</si>
  <si>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</si>
  <si>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</si>
  <si>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</si>
  <si>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</si>
  <si>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</si>
  <si>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</si>
  <si>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</si>
  <si>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</si>
  <si>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</si>
  <si>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</si>
  <si>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</si>
  <si>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</si>
  <si>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</si>
  <si>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</si>
  <si>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</si>
  <si>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</si>
  <si>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</si>
  <si>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</si>
  <si>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</si>
  <si>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</si>
  <si>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</si>
  <si>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</si>
  <si>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</si>
  <si>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</si>
  <si>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</si>
  <si>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</si>
  <si>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</si>
  <si>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</si>
  <si>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</si>
  <si>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</si>
  <si>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</si>
  <si>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</si>
  <si>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</si>
  <si>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</si>
  <si>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</si>
  <si>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</si>
  <si>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</si>
  <si>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</si>
  <si>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</si>
  <si>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</si>
  <si>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</si>
  <si>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</si>
  <si>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</si>
  <si>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</si>
  <si>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</si>
  <si>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</si>
  <si>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</si>
  <si>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</si>
  <si>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</si>
  <si>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</si>
  <si>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</si>
  <si>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</si>
  <si>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</si>
  <si>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</si>
  <si>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</si>
  <si>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</si>
  <si>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</si>
  <si>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</si>
  <si>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</si>
  <si>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</si>
  <si>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</si>
  <si>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</si>
  <si>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</si>
  <si>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</si>
  <si>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</si>
  <si>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</si>
  <si>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</si>
  <si>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</si>
  <si>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</si>
  <si>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</si>
  <si>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</si>
  <si>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</si>
  <si>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</si>
  <si>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</si>
  <si>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</si>
  <si>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</si>
  <si>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</si>
  <si>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</si>
  <si>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</si>
  <si>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</si>
  <si>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</si>
  <si>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</si>
  <si>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</si>
  <si>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</si>
  <si>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</si>
  <si>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</si>
  <si>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</si>
  <si>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</si>
  <si>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</si>
  <si>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</si>
  <si>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</si>
  <si>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</si>
  <si>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</si>
  <si>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</si>
  <si>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</si>
  <si>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</si>
  <si>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</si>
  <si>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</si>
  <si>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</si>
  <si>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</si>
  <si>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</si>
  <si>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</si>
  <si>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</si>
  <si>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</si>
  <si>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</si>
  <si>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</si>
  <si>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</si>
  <si>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</si>
  <si>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</si>
  <si>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</si>
  <si>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</si>
  <si>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</si>
  <si>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</si>
  <si>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</si>
  <si>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</si>
  <si>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</si>
  <si>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</si>
  <si>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</si>
  <si>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</si>
  <si>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</si>
  <si>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</si>
  <si>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</si>
  <si>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</si>
  <si>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</si>
  <si>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</si>
  <si>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</si>
  <si>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</si>
  <si>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</si>
  <si>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</si>
  <si>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</si>
  <si>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</si>
  <si>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</si>
  <si>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</si>
  <si>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</si>
  <si>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</si>
  <si>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</si>
  <si>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</si>
  <si>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</si>
  <si>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</si>
  <si>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</si>
  <si>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</si>
  <si>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</si>
  <si>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</si>
  <si>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</si>
  <si>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</si>
  <si>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</si>
  <si>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</si>
  <si>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</si>
  <si>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</si>
  <si>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</si>
  <si>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</si>
  <si>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</si>
  <si>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</si>
  <si>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</si>
  <si>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</si>
  <si>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</si>
  <si>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</si>
  <si>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</si>
  <si>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</si>
  <si>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</si>
  <si>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</si>
  <si>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</si>
  <si>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</si>
  <si>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</si>
  <si>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</si>
  <si>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</si>
  <si>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</si>
  <si>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</si>
  <si>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</si>
  <si>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</si>
  <si>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</si>
  <si>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</si>
  <si>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</si>
  <si>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</si>
  <si>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</si>
  <si>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</si>
  <si>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</si>
  <si>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</si>
  <si>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</si>
  <si>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</si>
  <si>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</si>
  <si>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</si>
  <si>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</si>
  <si>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</si>
  <si>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</si>
  <si>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</si>
  <si>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</si>
  <si>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</si>
  <si>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</si>
  <si>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</si>
  <si>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</si>
  <si>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</si>
  <si>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</si>
  <si>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</si>
  <si>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</si>
  <si>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</si>
  <si>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</si>
  <si>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</si>
  <si>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</si>
  <si>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</si>
  <si>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</si>
  <si>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</si>
  <si>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</si>
  <si>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</si>
  <si>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</si>
  <si>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</si>
  <si>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</si>
  <si>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</si>
  <si>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</si>
  <si>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</si>
  <si>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</si>
  <si>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</si>
  <si>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</si>
  <si>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</si>
  <si>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</si>
  <si>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</si>
  <si>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</si>
  <si>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</si>
  <si>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</si>
  <si>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</si>
  <si>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</si>
  <si>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</si>
  <si>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</si>
  <si>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</si>
  <si>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</si>
  <si>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</si>
  <si>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</si>
  <si>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</si>
  <si>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</si>
  <si>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</si>
  <si>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</si>
  <si>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</si>
  <si>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</si>
  <si>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</si>
  <si>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</si>
  <si>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</si>
  <si>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</si>
  <si>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</si>
  <si>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</si>
  <si>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</si>
  <si>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</si>
  <si>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</si>
  <si>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</si>
  <si>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</si>
  <si>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</si>
  <si>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</si>
  <si>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</si>
  <si>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</si>
  <si>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</si>
  <si>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</si>
  <si>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</si>
  <si>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</si>
  <si>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</si>
  <si>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</si>
  <si>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</si>
  <si>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</si>
  <si>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</si>
  <si>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</si>
  <si>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</si>
  <si>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</si>
  <si>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</si>
  <si>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</si>
  <si>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</si>
  <si>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</si>
  <si>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</si>
  <si>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</si>
  <si>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</si>
  <si>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</si>
  <si>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</si>
  <si>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</si>
  <si>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</si>
  <si>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</si>
  <si>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</si>
  <si>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</si>
  <si>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</si>
  <si>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</si>
  <si>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</si>
  <si>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</si>
  <si>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</si>
  <si>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</si>
  <si>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</si>
  <si>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</si>
  <si>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</si>
  <si>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</si>
  <si>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</si>
  <si>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</si>
  <si>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</si>
  <si>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</si>
  <si>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</si>
  <si>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</si>
  <si>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</si>
  <si>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</si>
  <si>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</si>
  <si>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</si>
  <si>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</si>
  <si>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</si>
  <si>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</si>
  <si>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</si>
  <si>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</si>
  <si>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</si>
  <si>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</si>
  <si>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</si>
  <si>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</si>
  <si>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</si>
  <si>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</si>
  <si>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</si>
  <si>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</si>
  <si>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</si>
  <si>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</si>
  <si>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</si>
  <si>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</si>
  <si>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</si>
  <si>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</si>
  <si>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</si>
  <si>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</si>
  <si>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</si>
  <si>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</si>
  <si>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</si>
  <si>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</si>
  <si>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</si>
  <si>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</si>
  <si>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</si>
  <si>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</si>
  <si>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</si>
  <si>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</si>
  <si>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</si>
  <si>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</si>
  <si>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</si>
  <si>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</si>
  <si>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</si>
  <si>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</si>
  <si>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</si>
  <si>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</si>
  <si>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</si>
  <si>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</si>
  <si>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</si>
  <si>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</si>
  <si>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</si>
  <si>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</si>
  <si>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</si>
  <si>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</si>
  <si>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</si>
  <si>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</si>
  <si>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</si>
  <si>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</si>
  <si>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</si>
  <si>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</si>
  <si>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</si>
  <si>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</si>
  <si>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</si>
  <si>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</si>
  <si>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</si>
  <si>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</si>
  <si>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</si>
  <si>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</si>
  <si>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</si>
  <si>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</si>
  <si>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</si>
  <si>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</si>
  <si>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</si>
  <si>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</si>
  <si>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</si>
  <si>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</si>
  <si>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</si>
  <si>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</si>
  <si>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</si>
  <si>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</si>
  <si>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</si>
  <si>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</si>
  <si>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</si>
  <si>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</si>
  <si>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</si>
  <si>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</si>
  <si>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</si>
  <si>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</si>
  <si>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</si>
  <si>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</si>
  <si>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</si>
  <si>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</si>
  <si>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</si>
  <si>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</si>
  <si>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</si>
  <si>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</si>
  <si>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</si>
  <si>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</si>
  <si>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</si>
  <si>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</si>
  <si>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</si>
  <si>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</si>
  <si>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</si>
  <si>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</si>
  <si>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</si>
  <si>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</si>
  <si>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</si>
  <si>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</si>
  <si>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</si>
  <si>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</si>
  <si>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</si>
  <si>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</si>
  <si>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</si>
  <si>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</si>
  <si>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</si>
  <si>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</si>
  <si>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</si>
  <si>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</si>
  <si>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</si>
  <si>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</si>
  <si>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</si>
  <si>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</si>
  <si>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</si>
  <si>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</si>
  <si>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</si>
  <si>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</si>
  <si>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</si>
  <si>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</si>
  <si>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</si>
  <si>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</si>
  <si>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</si>
  <si>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</si>
  <si>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</si>
  <si>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</si>
  <si>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</si>
  <si>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</si>
  <si>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</si>
  <si>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</si>
  <si>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</si>
  <si>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</si>
  <si>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</si>
  <si>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</si>
  <si>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</si>
  <si>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</si>
  <si>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</si>
  <si>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</si>
  <si>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</si>
  <si>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</si>
  <si>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</si>
  <si>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</si>
  <si>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</si>
  <si>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</si>
  <si>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</si>
  <si>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</si>
  <si>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</si>
  <si>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</si>
  <si>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</si>
  <si>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</si>
  <si>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</si>
  <si>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</si>
  <si>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</si>
  <si>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</si>
  <si>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</si>
  <si>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</si>
  <si>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</si>
  <si>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</si>
  <si>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</si>
  <si>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</si>
  <si>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</si>
  <si>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</si>
  <si>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</si>
  <si>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</si>
  <si>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</si>
  <si>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</si>
  <si>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</si>
  <si>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</si>
  <si>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</si>
  <si>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</si>
  <si>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</si>
  <si>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</si>
  <si>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</si>
  <si>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</si>
  <si>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</si>
  <si>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</si>
  <si>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</si>
  <si>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</si>
  <si>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</si>
  <si>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</si>
  <si>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</si>
  <si>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</si>
  <si>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</si>
  <si>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</si>
  <si>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</si>
  <si>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</si>
  <si>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</si>
  <si>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</si>
  <si>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</si>
  <si>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</si>
  <si>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</si>
  <si>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</si>
  <si>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</si>
  <si>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</si>
  <si>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</si>
  <si>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</si>
  <si>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</si>
  <si>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</si>
  <si>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</si>
  <si>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</si>
  <si>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</si>
  <si>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</si>
  <si>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</si>
  <si>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</si>
  <si>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</si>
  <si>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</si>
  <si>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</si>
  <si>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</si>
  <si>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</si>
  <si>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</si>
  <si>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</si>
  <si>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</si>
  <si>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</si>
  <si>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</si>
  <si>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</si>
  <si>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</si>
  <si>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</si>
  <si>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</si>
  <si>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</si>
  <si>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</si>
  <si>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</si>
  <si>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</si>
  <si>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</si>
  <si>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</si>
  <si>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</si>
  <si>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</si>
  <si>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</si>
  <si>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</si>
  <si>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</si>
  <si>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</si>
  <si>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</si>
  <si>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</si>
  <si>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</si>
  <si>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</si>
  <si>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</si>
  <si>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</si>
  <si>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</si>
  <si>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</si>
  <si>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</si>
  <si>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</si>
  <si>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</si>
  <si>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</si>
  <si>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</si>
  <si>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</si>
  <si>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</si>
  <si>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</si>
  <si>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</si>
  <si>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</si>
  <si>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</si>
  <si>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</si>
  <si>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</si>
  <si>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</si>
  <si>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</si>
  <si>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</si>
  <si>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</si>
  <si>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</si>
  <si>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</si>
  <si>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</si>
  <si>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</si>
  <si>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</si>
  <si>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</si>
  <si>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</si>
  <si>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</si>
  <si>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</si>
  <si>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</si>
  <si>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</si>
  <si>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</si>
  <si>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</si>
  <si>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</si>
  <si>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</si>
  <si>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</si>
  <si>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</si>
  <si>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</si>
  <si>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</si>
  <si>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</si>
  <si>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</si>
  <si>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</si>
  <si>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</si>
  <si>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</si>
  <si>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</si>
  <si>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</si>
  <si>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</si>
  <si>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</si>
  <si>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</si>
  <si>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</si>
  <si>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</si>
  <si>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</si>
  <si>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</si>
  <si>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</si>
  <si>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</si>
  <si>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</si>
  <si>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</si>
  <si>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</si>
  <si>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</si>
  <si>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</si>
  <si>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</si>
  <si>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</si>
  <si>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</si>
  <si>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</si>
  <si>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</si>
  <si>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</si>
  <si>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</si>
  <si>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</si>
  <si>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</si>
  <si>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</si>
  <si>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</si>
  <si>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</si>
  <si>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</si>
  <si>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</si>
  <si>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</si>
  <si>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</si>
  <si>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</si>
  <si>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</si>
  <si>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</si>
  <si>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</si>
  <si>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</si>
  <si>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</si>
  <si>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</si>
  <si>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</si>
  <si>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</si>
  <si>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</si>
  <si>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</si>
  <si>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</si>
  <si>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</si>
  <si>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</si>
  <si>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</si>
  <si>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</si>
  <si>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</si>
  <si>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</si>
  <si>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</si>
  <si>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</si>
  <si>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</si>
  <si>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</si>
  <si>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</si>
  <si>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</si>
  <si>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</si>
  <si>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</si>
  <si>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</si>
  <si>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</si>
  <si>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</si>
  <si>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</si>
  <si>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</si>
  <si>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</si>
  <si>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</si>
  <si>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</si>
  <si>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</si>
  <si>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</si>
  <si>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</si>
  <si>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</si>
  <si>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</si>
  <si>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</si>
  <si>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</si>
  <si>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</si>
  <si>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</si>
  <si>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</si>
  <si>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</si>
  <si>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</si>
  <si>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</si>
  <si>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</si>
  <si>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</si>
  <si>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</si>
  <si>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</si>
  <si>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</si>
  <si>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</si>
  <si>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</si>
  <si>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</si>
  <si>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</si>
  <si>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</si>
  <si>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</si>
  <si>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</si>
  <si>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</si>
  <si>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</si>
  <si>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</si>
  <si>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</si>
  <si>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</si>
  <si>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</si>
  <si>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</si>
  <si>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</si>
  <si>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</si>
  <si>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</si>
  <si>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</si>
  <si>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</si>
  <si>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</si>
  <si>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</si>
  <si>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</si>
  <si>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</si>
  <si>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</si>
  <si>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</si>
  <si>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</si>
  <si>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</si>
  <si>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</si>
  <si>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</si>
  <si>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</si>
  <si>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</si>
  <si>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</si>
  <si>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</si>
  <si>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</si>
  <si>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</si>
  <si>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</si>
  <si>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</si>
  <si>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</si>
  <si>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</si>
  <si>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</si>
  <si>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</si>
  <si>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</si>
  <si>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</si>
  <si>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</si>
  <si>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</si>
  <si>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</si>
  <si>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</si>
  <si>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</si>
  <si>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</si>
  <si>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</si>
  <si>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</si>
  <si>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</si>
  <si>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</si>
  <si>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</si>
  <si>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</si>
  <si>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</si>
  <si>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</si>
  <si>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</si>
  <si>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</si>
  <si>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</si>
  <si>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</si>
  <si>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</si>
  <si>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</si>
  <si>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</si>
  <si>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</si>
  <si>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</si>
  <si>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</si>
  <si>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</si>
  <si>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</si>
  <si>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</si>
  <si>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</si>
  <si>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</si>
  <si>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</si>
  <si>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</si>
  <si>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</si>
  <si>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</si>
  <si>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</si>
  <si>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</si>
  <si>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</si>
  <si>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</si>
  <si>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</si>
  <si>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</si>
  <si>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</si>
  <si>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</si>
  <si>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</si>
  <si>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</si>
  <si>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</si>
  <si>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</si>
  <si>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</si>
  <si>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</si>
  <si>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</si>
  <si>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</si>
  <si>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</si>
  <si>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</si>
  <si>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</si>
  <si>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</si>
  <si>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</si>
  <si>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</si>
  <si>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</si>
  <si>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</si>
  <si>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</si>
  <si>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</si>
  <si>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</si>
  <si>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</si>
  <si>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</si>
  <si>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</si>
  <si>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</si>
  <si>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</si>
  <si>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</si>
  <si>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</si>
  <si>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</si>
  <si>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</si>
  <si>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</si>
  <si>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</si>
  <si>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</si>
  <si>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</si>
  <si>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</si>
  <si>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</si>
  <si>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</si>
  <si>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</si>
  <si>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</si>
  <si>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</si>
  <si>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</si>
  <si>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</si>
  <si>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</si>
  <si>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</si>
  <si>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</si>
  <si>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</si>
  <si>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</si>
  <si>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</si>
  <si>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</si>
  <si>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</si>
  <si>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</si>
  <si>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</si>
  <si>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</si>
  <si>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</si>
  <si>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</si>
  <si>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</si>
  <si>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</si>
  <si>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</si>
  <si>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</si>
  <si>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</si>
  <si>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</si>
  <si>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</si>
  <si>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</si>
  <si>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</si>
  <si>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</si>
  <si>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</si>
  <si>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</si>
  <si>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</si>
  <si>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</si>
  <si>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</si>
  <si>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</si>
  <si>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</si>
  <si>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</si>
  <si>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</si>
  <si>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</si>
  <si>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</si>
  <si>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</si>
  <si>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</si>
  <si>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</si>
  <si>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</si>
  <si>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</si>
  <si>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</si>
  <si>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</si>
  <si>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</si>
  <si>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</si>
  <si>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</si>
  <si>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</si>
  <si>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</si>
  <si>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</si>
  <si>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</si>
  <si>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</si>
  <si>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</si>
  <si>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</si>
  <si>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</si>
  <si>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</si>
  <si>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</si>
  <si>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</si>
  <si>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</si>
  <si>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</si>
  <si>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</si>
  <si>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</si>
  <si>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</si>
  <si>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</si>
  <si>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</si>
  <si>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</si>
  <si>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</si>
  <si>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</si>
  <si>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</si>
  <si>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</si>
  <si>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</si>
  <si>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</si>
  <si>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</si>
  <si>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</si>
  <si>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</si>
  <si>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</si>
  <si>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</si>
  <si>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</si>
  <si>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</si>
  <si>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</si>
  <si>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</si>
  <si>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</si>
  <si>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</si>
  <si>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</si>
  <si>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</si>
  <si>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</si>
  <si>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</si>
  <si>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</si>
  <si>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</si>
  <si>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</si>
  <si>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</si>
  <si>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</si>
  <si>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</si>
  <si>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</si>
  <si>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</si>
  <si>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</si>
  <si>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</si>
  <si>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</si>
  <si>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</si>
  <si>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</si>
  <si>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</si>
  <si>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</si>
  <si>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</si>
  <si>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</si>
  <si>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</si>
  <si>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</si>
  <si>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</si>
  <si>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</si>
  <si>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</si>
  <si>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</si>
  <si>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</si>
  <si>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</si>
  <si>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</si>
  <si>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</si>
  <si>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</si>
  <si>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</si>
  <si>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</si>
  <si>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</si>
  <si>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</si>
  <si>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</si>
  <si>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</si>
  <si>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</si>
  <si>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</si>
  <si>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</si>
  <si>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</si>
  <si>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</si>
  <si>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</si>
  <si>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</si>
  <si>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</si>
  <si>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</si>
  <si>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</si>
  <si>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</si>
  <si>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</si>
  <si>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</si>
  <si>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</si>
  <si>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</si>
  <si>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</si>
  <si>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</si>
  <si>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</si>
  <si>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</si>
  <si>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</si>
  <si>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</si>
  <si>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</si>
  <si>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</si>
  <si>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</si>
  <si>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</si>
  <si>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</si>
  <si>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</si>
  <si>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</si>
  <si>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</si>
  <si>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</si>
  <si>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</si>
  <si>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</si>
  <si>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</si>
  <si>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</si>
  <si>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</si>
  <si>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</si>
  <si>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</si>
  <si>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</si>
  <si>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</si>
  <si>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</si>
  <si>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</si>
  <si>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</si>
  <si>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</si>
  <si>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</si>
  <si>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</si>
  <si>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</si>
  <si>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</si>
  <si>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</si>
  <si>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</si>
  <si>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</si>
  <si>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</si>
  <si>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</si>
  <si>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</si>
  <si>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</si>
  <si>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</si>
  <si>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</si>
  <si>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</si>
  <si>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</si>
  <si>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</si>
  <si>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</si>
  <si>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</si>
  <si>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</si>
  <si>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</si>
  <si>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</si>
  <si>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</si>
  <si>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</si>
  <si>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</si>
  <si>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</si>
  <si>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</si>
  <si>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</si>
  <si>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</si>
  <si>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</si>
  <si>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</si>
  <si>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</si>
  <si>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</si>
  <si>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</si>
  <si>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</si>
  <si>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</si>
  <si>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</si>
  <si>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</si>
  <si>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</si>
  <si>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</si>
  <si>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</si>
  <si>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</si>
  <si>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</si>
  <si>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</si>
  <si>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</si>
  <si>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</si>
  <si>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</si>
  <si>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</si>
  <si>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</si>
  <si>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</si>
  <si>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</si>
  <si>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</si>
  <si>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</si>
  <si>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</si>
  <si>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</si>
  <si>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</si>
  <si>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</si>
  <si>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</si>
  <si>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</si>
  <si>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</si>
  <si>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</si>
  <si>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</si>
  <si>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</si>
  <si>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</si>
  <si>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</si>
  <si>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</si>
  <si>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</si>
  <si>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</si>
  <si>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</si>
  <si>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</si>
  <si>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</si>
  <si>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</si>
  <si>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</si>
  <si>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</si>
  <si>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</si>
  <si>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</si>
  <si>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</si>
  <si>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</si>
  <si>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</si>
  <si>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</si>
  <si>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</si>
  <si>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</si>
  <si>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</si>
  <si>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</si>
  <si>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</si>
  <si>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</si>
  <si>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</si>
  <si>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</si>
  <si>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</si>
  <si>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</si>
  <si>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</si>
  <si>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</si>
  <si>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</si>
  <si>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</si>
  <si>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</si>
  <si>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</si>
  <si>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</si>
  <si>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</si>
  <si>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</si>
  <si>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</si>
  <si>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</si>
  <si>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</si>
  <si>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</si>
  <si>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</si>
  <si>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</si>
  <si>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</si>
  <si>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</si>
  <si>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</si>
  <si>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</si>
  <si>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</si>
  <si>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</si>
  <si>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</si>
  <si>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</si>
  <si>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</si>
  <si>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</si>
  <si>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</si>
  <si>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</si>
  <si>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</si>
  <si>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</si>
  <si>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</si>
  <si>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</si>
  <si>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</si>
  <si>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</si>
  <si>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</si>
  <si>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</si>
  <si>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</si>
  <si>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</si>
  <si>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</si>
  <si>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</si>
  <si>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</si>
  <si>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</si>
  <si>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</si>
  <si>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</si>
  <si>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</si>
  <si>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</si>
  <si>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</si>
  <si>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</si>
  <si>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</si>
  <si>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</si>
  <si>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</si>
  <si>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</si>
  <si>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</si>
  <si>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</si>
  <si>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</si>
  <si>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</si>
  <si>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</si>
  <si>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</si>
  <si>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</si>
  <si>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</si>
  <si>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</si>
  <si>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</si>
  <si>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</si>
  <si>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</si>
  <si>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</si>
  <si>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</si>
  <si>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</si>
  <si>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</si>
  <si>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</si>
  <si>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</si>
  <si>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</si>
  <si>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</si>
  <si>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</si>
  <si>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</si>
  <si>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</si>
  <si>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</si>
  <si>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</si>
  <si>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</si>
  <si>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</si>
  <si>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</si>
  <si>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</si>
  <si>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</si>
  <si>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</si>
  <si>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</si>
  <si>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</si>
  <si>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</si>
  <si>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</si>
  <si>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</si>
  <si>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</si>
  <si>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</si>
  <si>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</si>
  <si>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</si>
  <si>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</si>
  <si>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</si>
  <si>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</si>
  <si>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</si>
  <si>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</si>
  <si>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</si>
  <si>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</si>
  <si>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</si>
  <si>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</si>
  <si>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</si>
  <si>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</si>
  <si>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</si>
  <si>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</si>
  <si>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</si>
  <si>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</si>
  <si>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</si>
  <si>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</si>
  <si>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</si>
  <si>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</si>
  <si>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</si>
  <si>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</si>
  <si>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</si>
  <si>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</si>
  <si>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</si>
  <si>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</si>
  <si>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</si>
  <si>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</si>
  <si>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</si>
  <si>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</si>
  <si>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</si>
  <si>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</si>
  <si>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</si>
  <si>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</si>
  <si>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</si>
  <si>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</si>
  <si>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</si>
  <si>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</si>
  <si>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</si>
  <si>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</si>
  <si>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</si>
  <si>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</si>
  <si>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</si>
  <si>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</si>
  <si>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</si>
  <si>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</si>
  <si>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</si>
  <si>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</si>
  <si>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</si>
  <si>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</si>
  <si>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</si>
  <si>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</si>
  <si>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</si>
  <si>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</si>
  <si>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</si>
  <si>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</si>
  <si>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</si>
  <si>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</si>
  <si>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</si>
  <si>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</si>
  <si>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</si>
  <si>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</si>
  <si>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</si>
  <si>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</si>
  <si>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</si>
  <si>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</si>
  <si>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</si>
  <si>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</si>
  <si>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</si>
  <si>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</si>
  <si>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</si>
  <si>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</si>
  <si>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</si>
  <si>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</si>
  <si>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</si>
  <si>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</si>
  <si>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</si>
  <si>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</si>
  <si>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</si>
  <si>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</si>
  <si>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</si>
  <si>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</si>
  <si>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</si>
  <si>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</si>
  <si>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</si>
  <si>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</si>
  <si>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</si>
  <si>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</si>
  <si>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</si>
  <si>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</si>
  <si>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</si>
  <si>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</si>
  <si>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</si>
  <si>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</si>
  <si>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</si>
  <si>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</si>
  <si>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</si>
  <si>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</si>
  <si>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</si>
  <si>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</si>
  <si>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</si>
  <si>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</si>
  <si>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</si>
  <si>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</si>
  <si>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</si>
  <si>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</si>
  <si>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</si>
  <si>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</si>
  <si>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DuPage County</t>
  </si>
  <si>
    <t xml:space="preserve">7700 Clarendon Hills Road </t>
  </si>
  <si>
    <t xml:space="preserve">Willowbrook </t>
  </si>
  <si>
    <t>briegler@gower62.com</t>
  </si>
  <si>
    <t>Victor Simon III, Ed. D.</t>
  </si>
  <si>
    <t>vsimon@gower62.com</t>
  </si>
  <si>
    <t>630.986.5383</t>
  </si>
  <si>
    <t>630.323.3074</t>
  </si>
  <si>
    <t>Sikich LLP</t>
  </si>
  <si>
    <t xml:space="preserve">Anthony Cervini </t>
  </si>
  <si>
    <t>1415 W. Diehl Road, Suite 400</t>
  </si>
  <si>
    <t xml:space="preserve">Naperville </t>
  </si>
  <si>
    <t>IL</t>
  </si>
  <si>
    <t>630.566.8400</t>
  </si>
  <si>
    <t>630.566.8458</t>
  </si>
  <si>
    <t>066-003284</t>
  </si>
  <si>
    <t>anthony.cervini@sikich.com</t>
  </si>
  <si>
    <t>See PDF in Opinion Page with Signature</t>
  </si>
  <si>
    <t xml:space="preserve">Series 2012 Bonds </t>
  </si>
  <si>
    <t xml:space="preserve">GO Bonds </t>
  </si>
  <si>
    <t xml:space="preserve">QUEST FOOD MANAGEMENT </t>
  </si>
  <si>
    <t>COLLECTIVE LIABILITY INSURANCE COOPERATIVE</t>
  </si>
  <si>
    <t xml:space="preserve">ILLINOIS SCHOOL DISTRICT LIQUID ASSET FUND </t>
  </si>
  <si>
    <t>DUPAGE COUNTY REGIONAL OFFICE OF EDUCATION</t>
  </si>
  <si>
    <t>THE LAGRANGE AREA DEPARTMENT OF SPECIAL EDUCATION</t>
  </si>
  <si>
    <t>SOUTHEAST DUPAGE PURCHASING GROUP</t>
  </si>
  <si>
    <t xml:space="preserve">SEE BELOW </t>
  </si>
  <si>
    <t xml:space="preserve">TRANSPORTATION - CONTRACTED OUT ONLY FOR SPECIAL EDUCATION TRANSPORTATION THROUGH LAGRANGE AREA DEPARTMENT OF SPECIAL EDUCATION; CONTRACT OUT WITH GRAND PRIIRIE TRANSIT </t>
  </si>
  <si>
    <t xml:space="preserve">INSURANCE - EMPLOYEE HEALTH INSURANCE - LINSOLNWAY AREA AFFILICATION OF PARTICIPATING SCHOOL DISTRICTS </t>
  </si>
  <si>
    <t>Fiscal Services-Other</t>
  </si>
  <si>
    <t>Staff Services-Other</t>
  </si>
  <si>
    <t>Student Services-Other</t>
  </si>
  <si>
    <t xml:space="preserve">Specialized Data Systems </t>
  </si>
  <si>
    <t xml:space="preserve">Forecast 5 Analytics Inc </t>
  </si>
  <si>
    <t xml:space="preserve">Quest Food Management </t>
  </si>
  <si>
    <t xml:space="preserve">Mealtime the CLM Group </t>
  </si>
  <si>
    <t xml:space="preserve">Frontline Technologies Group </t>
  </si>
  <si>
    <t xml:space="preserve">Cooperative Association </t>
  </si>
  <si>
    <t>LASDE</t>
  </si>
  <si>
    <t>Pitney Bowes</t>
  </si>
  <si>
    <t xml:space="preserve">1999- Other income - E-Rate, Etc </t>
  </si>
  <si>
    <t>3999- State Library Grant, Other Grants</t>
  </si>
  <si>
    <t xml:space="preserve">  Gower SD 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</si>
</sst>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0" fontId="2"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22" applyFont="1" applyBorder="1" applyAlignment="1" applyProtection="1">
      <alignment horizontal="left" vertical="top" wrapText="1"/>
      <protection locked="0"/>
    </xf>
    <xf numFmtId="0" fontId="2" fillId="0" borderId="155" xfId="22"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3">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5 3" xfId="22" xr:uid="{D83D87A6-EC7D-4E73-A96E-38C994A1E26D}"/>
    <cellStyle name="Normal 6" xfId="20" xr:uid="{00000000-0005-0000-0000-00000B000000}"/>
    <cellStyle name="Normal 7" xfId="21" xr:uid="{F73BFC83-7BD9-45D9-936B-0D719BF76734}"/>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3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3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1114425</xdr:colOff>
          <xdr:row>2</xdr:row>
          <xdr:rowOff>0</xdr:rowOff>
        </xdr:from>
        <xdr:to>
          <xdr:col>1</xdr:col>
          <xdr:colOff>2028825</xdr:colOff>
          <xdr:row>6</xdr:row>
          <xdr:rowOff>123825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3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0.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2051</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2051</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19022062002</v>
      </c>
      <c r="B13" s="2088"/>
      <c r="C13" s="2088"/>
      <c r="D13" s="2088"/>
      <c r="E13" s="2088"/>
      <c r="F13" s="2088"/>
      <c r="G13" s="2088"/>
      <c r="H13" s="2089"/>
      <c r="I13" s="31"/>
      <c r="J13" s="30"/>
      <c r="K13" s="28"/>
      <c r="L13" s="30"/>
      <c r="M13" s="30"/>
      <c r="N13" s="30"/>
      <c r="O13" s="30"/>
      <c r="P13" s="30"/>
      <c r="Q13" s="30"/>
      <c r="R13" s="30"/>
      <c r="S13" s="30"/>
      <c r="T13" s="2092" t="s">
        <v>2060</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2052</v>
      </c>
      <c r="B15" s="2090"/>
      <c r="C15" s="2090"/>
      <c r="D15" s="2090"/>
      <c r="E15" s="2090"/>
      <c r="F15" s="2090"/>
      <c r="G15" s="2090"/>
      <c r="H15" s="2091"/>
      <c r="T15" s="2053" t="s">
        <v>2061</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2094</v>
      </c>
      <c r="B17" s="2115"/>
      <c r="C17" s="2115"/>
      <c r="D17" s="2115"/>
      <c r="E17" s="2115"/>
      <c r="F17" s="2115"/>
      <c r="G17" s="2115"/>
      <c r="H17" s="2116"/>
      <c r="T17" s="2102" t="s">
        <v>2062</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2053</v>
      </c>
      <c r="B19" s="2086"/>
      <c r="C19" s="2086"/>
      <c r="D19" s="2086"/>
      <c r="E19" s="2086"/>
      <c r="F19" s="2086"/>
      <c r="G19" s="2086"/>
      <c r="H19" s="2084"/>
      <c r="I19" s="30"/>
      <c r="J19" s="96"/>
      <c r="K19" s="40"/>
      <c r="L19" s="38"/>
      <c r="M19" s="109" t="s">
        <v>312</v>
      </c>
      <c r="P19" s="27"/>
      <c r="Q19" s="27"/>
      <c r="R19" s="27"/>
      <c r="S19" s="31"/>
      <c r="T19" s="2085" t="s">
        <v>2063</v>
      </c>
      <c r="U19" s="2083"/>
      <c r="V19" s="2083"/>
      <c r="W19" s="2084"/>
      <c r="X19" s="2100" t="s">
        <v>2064</v>
      </c>
      <c r="Y19" s="2101"/>
      <c r="Z19" s="2098">
        <v>60563</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2054</v>
      </c>
      <c r="B21" s="2083"/>
      <c r="C21" s="2083"/>
      <c r="D21" s="2083"/>
      <c r="E21" s="2083"/>
      <c r="F21" s="2083"/>
      <c r="G21" s="2083"/>
      <c r="H21" s="2084"/>
      <c r="I21" s="2108" t="s">
        <v>673</v>
      </c>
      <c r="J21" s="2071"/>
      <c r="K21" s="2071"/>
      <c r="L21" s="2071"/>
      <c r="M21" s="2071"/>
      <c r="N21" s="2071"/>
      <c r="O21" s="2071"/>
      <c r="P21" s="2071"/>
      <c r="Q21" s="2071"/>
      <c r="R21" s="2071"/>
      <c r="S21" s="2072"/>
      <c r="T21" s="2050" t="s">
        <v>2065</v>
      </c>
      <c r="U21" s="2051"/>
      <c r="V21" s="2051"/>
      <c r="W21" s="2051"/>
      <c r="X21" s="2064" t="s">
        <v>2066</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t="s">
        <v>2055</v>
      </c>
      <c r="B23" s="2106"/>
      <c r="C23" s="2106"/>
      <c r="D23" s="2106"/>
      <c r="E23" s="2106"/>
      <c r="F23" s="2106"/>
      <c r="G23" s="2106"/>
      <c r="H23" s="2107"/>
      <c r="T23" s="2045" t="s">
        <v>2067</v>
      </c>
      <c r="U23" s="2046"/>
      <c r="V23" s="2046"/>
      <c r="W23" s="2046"/>
      <c r="X23" s="2061">
        <v>44530</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60527</v>
      </c>
      <c r="B25" s="2083"/>
      <c r="C25" s="2083"/>
      <c r="D25" s="2083"/>
      <c r="E25" s="2083"/>
      <c r="F25" s="2083"/>
      <c r="G25" s="2083"/>
      <c r="H25" s="2084"/>
      <c r="I25" s="110"/>
      <c r="J25" s="2149"/>
      <c r="K25" s="2149"/>
      <c r="L25" s="2149"/>
      <c r="M25" s="2149"/>
      <c r="N25" s="2149"/>
      <c r="O25" s="2149"/>
      <c r="P25" s="2149"/>
      <c r="Q25" s="2149"/>
      <c r="R25" s="2149"/>
      <c r="S25" s="2150"/>
      <c r="T25" s="2042" t="s">
        <v>2068</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2051</v>
      </c>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2056</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2057</v>
      </c>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2058</v>
      </c>
      <c r="B42" s="2132"/>
      <c r="C42" s="2133"/>
      <c r="D42" s="2146" t="s">
        <v>2059</v>
      </c>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E8" sqref="E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10194760</v>
      </c>
      <c r="C4" s="1722">
        <v>5341924</v>
      </c>
      <c r="D4" s="1723">
        <f>B4-C4</f>
        <v>4852836</v>
      </c>
      <c r="E4" s="1722">
        <v>10407756</v>
      </c>
      <c r="F4" s="1723">
        <f>E4-C4</f>
        <v>5065832</v>
      </c>
    </row>
    <row r="5" spans="1:8" ht="13.7" customHeight="1" x14ac:dyDescent="0.2">
      <c r="A5" s="579" t="s">
        <v>865</v>
      </c>
      <c r="B5" s="1724">
        <f>'Revenues 9-14'!D5</f>
        <v>1252765</v>
      </c>
      <c r="C5" s="1664">
        <v>677038</v>
      </c>
      <c r="D5" s="1725">
        <f t="shared" ref="D5:D18" si="0">B5-C5</f>
        <v>575727</v>
      </c>
      <c r="E5" s="1664">
        <v>1319085</v>
      </c>
      <c r="F5" s="1725">
        <f>E5-C5</f>
        <v>642047</v>
      </c>
    </row>
    <row r="6" spans="1:8" ht="13.7" customHeight="1" x14ac:dyDescent="0.2">
      <c r="A6" s="579" t="s">
        <v>408</v>
      </c>
      <c r="B6" s="1724">
        <f>'Revenues 9-14'!E5</f>
        <v>1152116</v>
      </c>
      <c r="C6" s="1664">
        <v>597455</v>
      </c>
      <c r="D6" s="1725">
        <f t="shared" si="0"/>
        <v>554661</v>
      </c>
      <c r="E6" s="1664">
        <v>1164036</v>
      </c>
      <c r="F6" s="1725">
        <f t="shared" ref="F6:F18" si="1">E6-C6</f>
        <v>566581</v>
      </c>
    </row>
    <row r="7" spans="1:8" ht="13.7" customHeight="1" x14ac:dyDescent="0.2">
      <c r="A7" s="579" t="s">
        <v>154</v>
      </c>
      <c r="B7" s="1724">
        <f>'Revenues 9-14'!F5</f>
        <v>513855</v>
      </c>
      <c r="C7" s="1664">
        <v>275934</v>
      </c>
      <c r="D7" s="1725">
        <f t="shared" si="0"/>
        <v>237921</v>
      </c>
      <c r="E7" s="1664">
        <v>537607</v>
      </c>
      <c r="F7" s="1725">
        <f t="shared" si="1"/>
        <v>261673</v>
      </c>
    </row>
    <row r="8" spans="1:8" ht="13.7" customHeight="1" x14ac:dyDescent="0.2">
      <c r="A8" s="579" t="s">
        <v>1169</v>
      </c>
      <c r="B8" s="1724">
        <f>'Revenues 9-14'!G5</f>
        <v>222025</v>
      </c>
      <c r="C8" s="1664">
        <v>107974</v>
      </c>
      <c r="D8" s="1725">
        <f t="shared" si="0"/>
        <v>114051</v>
      </c>
      <c r="E8" s="1664">
        <v>210368</v>
      </c>
      <c r="F8" s="1725">
        <f t="shared" si="1"/>
        <v>102394</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19919</v>
      </c>
      <c r="C11" s="1664">
        <v>15196</v>
      </c>
      <c r="D11" s="1725">
        <f t="shared" si="0"/>
        <v>4723</v>
      </c>
      <c r="E11" s="1664">
        <v>29607</v>
      </c>
      <c r="F11" s="1725">
        <f t="shared" si="1"/>
        <v>14411</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222033</v>
      </c>
      <c r="C16" s="1664">
        <v>107974</v>
      </c>
      <c r="D16" s="1725">
        <f t="shared" si="0"/>
        <v>114059</v>
      </c>
      <c r="E16" s="1664">
        <v>210368</v>
      </c>
      <c r="F16" s="1725">
        <f t="shared" si="1"/>
        <v>102394</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13577473</v>
      </c>
      <c r="C19" s="1726">
        <f>SUM(C4:C18)</f>
        <v>7123495</v>
      </c>
      <c r="D19" s="1726">
        <f>SUM(D4:D18)</f>
        <v>6453978</v>
      </c>
      <c r="E19" s="1726">
        <f>SUM(E4:E18)</f>
        <v>13878827</v>
      </c>
      <c r="F19" s="1726">
        <f>SUM(F4:F18)</f>
        <v>6755332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B49" colorId="8" zoomScale="110" zoomScaleNormal="110" workbookViewId="0">
      <selection activeCell="F53" sqref="F53:G5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2070</v>
      </c>
      <c r="B31" s="595">
        <v>41095</v>
      </c>
      <c r="C31" s="1734">
        <v>9100000</v>
      </c>
      <c r="D31" s="1735">
        <v>7</v>
      </c>
      <c r="E31" s="1734">
        <v>4275000</v>
      </c>
      <c r="F31" s="1734"/>
      <c r="G31" s="1734"/>
      <c r="H31" s="1734">
        <v>1025000</v>
      </c>
      <c r="I31" s="1736">
        <f>((E31+F31)-H31)+G31</f>
        <v>3250000</v>
      </c>
      <c r="J31" s="1734">
        <v>2263005</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9100000</v>
      </c>
      <c r="D49" s="1742"/>
      <c r="E49" s="1736">
        <f t="shared" ref="E49:J49" si="2">SUM(E31:E48)</f>
        <v>4275000</v>
      </c>
      <c r="F49" s="1736">
        <f t="shared" si="2"/>
        <v>0</v>
      </c>
      <c r="G49" s="1736">
        <f t="shared" si="2"/>
        <v>0</v>
      </c>
      <c r="H49" s="1736">
        <f t="shared" si="2"/>
        <v>1025000</v>
      </c>
      <c r="I49" s="1736">
        <f t="shared" si="2"/>
        <v>3250000</v>
      </c>
      <c r="J49" s="1736">
        <f t="shared" si="2"/>
        <v>2263005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t="s">
        <v>2071</v>
      </c>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0</v>
      </c>
      <c r="I12" s="1755">
        <f>SUM(I5:I11)</f>
        <v>0</v>
      </c>
      <c r="J12" s="1755">
        <f>SUM(J5:J11)</f>
        <v>0</v>
      </c>
      <c r="K12" s="1755">
        <f>SUM(K5:K11)</f>
        <v>0</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c r="I14" s="1749"/>
      <c r="J14" s="1751"/>
      <c r="K14" s="1745"/>
    </row>
    <row r="15" spans="1:11" x14ac:dyDescent="0.2">
      <c r="A15" s="2320" t="s">
        <v>4</v>
      </c>
      <c r="B15" s="2320"/>
      <c r="C15" s="2320"/>
      <c r="D15" s="2320"/>
      <c r="E15" s="2350"/>
      <c r="F15" s="635" t="s">
        <v>850</v>
      </c>
      <c r="G15" s="1749"/>
      <c r="H15" s="1744"/>
      <c r="I15" s="1744"/>
      <c r="J15" s="1745"/>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57" t="s">
        <v>1786</v>
      </c>
      <c r="B19" s="2357"/>
      <c r="C19" s="2357"/>
      <c r="D19" s="2357"/>
      <c r="E19" s="2358"/>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1792</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topLeftCell="A9" colorId="8" zoomScale="110" zoomScaleNormal="110" workbookViewId="0">
      <selection activeCell="E13" sqref="E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951820</v>
      </c>
      <c r="D5" s="1770"/>
      <c r="E5" s="1770"/>
      <c r="F5" s="1765">
        <f>(C5+D5)-E5</f>
        <v>951820</v>
      </c>
      <c r="G5" s="676"/>
      <c r="H5" s="680"/>
      <c r="I5" s="680"/>
      <c r="J5" s="680"/>
      <c r="K5" s="637"/>
      <c r="L5" s="1442">
        <f>F5-K5</f>
        <v>951820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20495747</v>
      </c>
      <c r="D8" s="1771">
        <v>22353</v>
      </c>
      <c r="E8" s="1771"/>
      <c r="F8" s="1765">
        <f>(C8+D8)-E8</f>
        <v>20518100</v>
      </c>
      <c r="G8" s="681">
        <v>50</v>
      </c>
      <c r="H8" s="619"/>
      <c r="I8" s="619"/>
      <c r="J8" s="619"/>
      <c r="K8" s="1442">
        <f>(H8+I8)-J8</f>
        <v>0</v>
      </c>
      <c r="L8" s="1442">
        <f>F8-K8</f>
        <v>20518100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1670308</v>
      </c>
      <c r="D10" s="1772">
        <v>113195</v>
      </c>
      <c r="E10" s="1772"/>
      <c r="F10" s="1773">
        <f>(C10+D10)-E10</f>
        <v>1783503</v>
      </c>
      <c r="G10" s="681">
        <v>20</v>
      </c>
      <c r="H10" s="683"/>
      <c r="I10" s="683"/>
      <c r="J10" s="683"/>
      <c r="K10" s="1442">
        <f>(H10+I10)-J10</f>
        <v>0</v>
      </c>
      <c r="L10" s="1442">
        <f>F10-K10</f>
        <v>1783503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5468846</v>
      </c>
      <c r="D12" s="1771">
        <v>231531</v>
      </c>
      <c r="E12" s="1771">
        <v>26057</v>
      </c>
      <c r="F12" s="1765">
        <f>(C12+D12)-E12</f>
        <v>5674320</v>
      </c>
      <c r="G12" s="681">
        <v>10</v>
      </c>
      <c r="H12" s="619"/>
      <c r="I12" s="619"/>
      <c r="J12" s="619"/>
      <c r="K12" s="1442">
        <f>(H12+I12)-J12</f>
        <v>0</v>
      </c>
      <c r="L12" s="1442">
        <f>F12-K12</f>
        <v>5674320</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28586721</v>
      </c>
      <c r="D16" s="1765">
        <f>SUM(D3,D5:D6,D8:D10,D12:D15)</f>
        <v>367079</v>
      </c>
      <c r="E16" s="1765">
        <f>SUM(E3,E5:E6,E8:E10,E12:E15)</f>
        <v>26057</v>
      </c>
      <c r="F16" s="1765">
        <f>SUM(F3,F5:F6,F8:F10,F12:F15)</f>
        <v>28927743</v>
      </c>
      <c r="G16" s="681"/>
      <c r="H16" s="1435">
        <f>SUM(H3,H6,H8:H10,H12:H14,)</f>
        <v>0</v>
      </c>
      <c r="I16" s="1435">
        <f>SUM(I3,I6,I8:I10,I12:I14,)</f>
        <v>0</v>
      </c>
      <c r="J16" s="1435">
        <f>SUM(J3,J6,J8:J10,J12:J14,)</f>
        <v>0</v>
      </c>
      <c r="K16" s="1435">
        <f>(H16+I16)-J16</f>
        <v>0</v>
      </c>
      <c r="L16" s="1435">
        <f>F16-K16</f>
        <v>28927743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topLeftCell="A167"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11869224</v>
      </c>
      <c r="G8" s="701"/>
    </row>
    <row r="9" spans="1:9" x14ac:dyDescent="0.2">
      <c r="A9" s="705" t="s">
        <v>457</v>
      </c>
      <c r="B9" s="706" t="s">
        <v>1848</v>
      </c>
      <c r="C9" s="707"/>
      <c r="D9" s="705" t="s">
        <v>498</v>
      </c>
      <c r="E9" s="704"/>
      <c r="F9" s="1775">
        <f>'Expenditures 15-22'!K151</f>
        <v>1181905</v>
      </c>
      <c r="G9" s="708"/>
    </row>
    <row r="10" spans="1:9" x14ac:dyDescent="0.2">
      <c r="A10" s="705" t="s">
        <v>496</v>
      </c>
      <c r="B10" s="706" t="s">
        <v>1849</v>
      </c>
      <c r="C10" s="707"/>
      <c r="D10" s="705" t="s">
        <v>498</v>
      </c>
      <c r="E10" s="704"/>
      <c r="F10" s="1775">
        <f>'Expenditures 15-22'!K174</f>
        <v>1138400</v>
      </c>
      <c r="G10" s="708"/>
    </row>
    <row r="11" spans="1:9" x14ac:dyDescent="0.2">
      <c r="A11" s="705" t="s">
        <v>458</v>
      </c>
      <c r="B11" s="706" t="s">
        <v>1850</v>
      </c>
      <c r="C11" s="707"/>
      <c r="D11" s="705" t="s">
        <v>498</v>
      </c>
      <c r="E11" s="704"/>
      <c r="F11" s="1775">
        <f>'Expenditures 15-22'!K210</f>
        <v>614230</v>
      </c>
      <c r="G11" s="708"/>
    </row>
    <row r="12" spans="1:9" x14ac:dyDescent="0.2">
      <c r="A12" s="705" t="s">
        <v>459</v>
      </c>
      <c r="B12" s="706" t="s">
        <v>1851</v>
      </c>
      <c r="C12" s="707"/>
      <c r="D12" s="705" t="s">
        <v>498</v>
      </c>
      <c r="E12" s="704"/>
      <c r="F12" s="1775">
        <f>'Expenditures 15-22'!K295</f>
        <v>428834</v>
      </c>
      <c r="G12" s="708"/>
    </row>
    <row r="13" spans="1:9" x14ac:dyDescent="0.2">
      <c r="A13" s="705" t="s">
        <v>106</v>
      </c>
      <c r="B13" s="706" t="s">
        <v>1852</v>
      </c>
      <c r="C13" s="707"/>
      <c r="D13" s="705" t="s">
        <v>498</v>
      </c>
      <c r="E13" s="704"/>
      <c r="F13" s="1775">
        <f>'Expenditures 15-22'!K342</f>
        <v>39058</v>
      </c>
      <c r="G13" s="709"/>
    </row>
    <row r="14" spans="1:9" ht="12" customHeight="1" thickBot="1" x14ac:dyDescent="0.25">
      <c r="A14" s="1443"/>
      <c r="B14" s="1444"/>
      <c r="C14" s="1445"/>
      <c r="D14" s="1446" t="s">
        <v>498</v>
      </c>
      <c r="E14" s="1447" t="s">
        <v>952</v>
      </c>
      <c r="F14" s="1776">
        <f>SUM(F8:F13)</f>
        <v>15271651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35855</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1450</v>
      </c>
      <c r="G52" s="701"/>
    </row>
    <row r="53" spans="1:7" x14ac:dyDescent="0.2">
      <c r="A53" s="705" t="s">
        <v>456</v>
      </c>
      <c r="B53" s="705" t="s">
        <v>1458</v>
      </c>
      <c r="C53" s="724">
        <f>'Expenditures 15-22'!B102</f>
        <v>4000</v>
      </c>
      <c r="D53" s="723" t="str">
        <f>'Expenditures 15-22'!A102</f>
        <v>Total Payments to Other Govt Units</v>
      </c>
      <c r="E53" s="704"/>
      <c r="F53" s="1782">
        <f>'Expenditures 15-22'!K102</f>
        <v>396988</v>
      </c>
      <c r="G53" s="701"/>
    </row>
    <row r="54" spans="1:7" x14ac:dyDescent="0.2">
      <c r="A54" s="705" t="s">
        <v>456</v>
      </c>
      <c r="B54" s="705" t="s">
        <v>1459</v>
      </c>
      <c r="C54" s="724" t="s">
        <v>975</v>
      </c>
      <c r="D54" s="720" t="s">
        <v>1086</v>
      </c>
      <c r="E54" s="704"/>
      <c r="F54" s="1782">
        <f>'Expenditures 15-22'!G114</f>
        <v>408629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252761</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1025000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1088</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2121771</v>
      </c>
      <c r="G77" s="701"/>
    </row>
    <row r="78" spans="1:9" s="728" customFormat="1" ht="12" customHeight="1" thickTop="1" thickBot="1" x14ac:dyDescent="0.25">
      <c r="A78" s="1450"/>
      <c r="B78" s="1448"/>
      <c r="C78" s="1445"/>
      <c r="D78" s="1449" t="s">
        <v>2012</v>
      </c>
      <c r="E78" s="1447"/>
      <c r="F78" s="1788">
        <f>(F14-F77)</f>
        <v>13149880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876.2</v>
      </c>
      <c r="G79" s="733"/>
      <c r="H79" s="705"/>
      <c r="I79" s="705"/>
    </row>
    <row r="80" spans="1:9" s="728" customFormat="1" ht="12" customHeight="1" thickBot="1" x14ac:dyDescent="0.25">
      <c r="A80" s="1452"/>
      <c r="B80" s="1448"/>
      <c r="C80" s="1445"/>
      <c r="D80" s="1449" t="s">
        <v>2013</v>
      </c>
      <c r="E80" s="1447" t="s">
        <v>952</v>
      </c>
      <c r="F80" s="1790">
        <f>IF(F79&gt;0,F78/F79," Complete Line 79")</f>
        <v>15007.852088564254</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13899</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189085</v>
      </c>
      <c r="G95" s="745"/>
    </row>
    <row r="96" spans="1:7" x14ac:dyDescent="0.2">
      <c r="A96" s="741" t="s">
        <v>139</v>
      </c>
      <c r="B96" s="741" t="s">
        <v>174</v>
      </c>
      <c r="C96" s="743">
        <v>1700</v>
      </c>
      <c r="D96" s="751" t="str">
        <f>'Revenues 9-14'!A82</f>
        <v>Total District/School Activity Income</v>
      </c>
      <c r="E96" s="739"/>
      <c r="F96" s="1793">
        <f>SUM('Revenues 9-14'!C82,'Revenues 9-14'!D82)</f>
        <v>3470</v>
      </c>
      <c r="G96" s="745"/>
    </row>
    <row r="97" spans="1:7" x14ac:dyDescent="0.2">
      <c r="A97" s="741" t="s">
        <v>456</v>
      </c>
      <c r="B97" s="741" t="s">
        <v>175</v>
      </c>
      <c r="C97" s="743">
        <f>'Revenues 9-14'!B84</f>
        <v>1811</v>
      </c>
      <c r="D97" s="744" t="str">
        <f>'Revenues 9-14'!A84</f>
        <v>Rentals - Regular Textbooks</v>
      </c>
      <c r="E97" s="739"/>
      <c r="F97" s="1793">
        <f>'Revenues 9-14'!C84</f>
        <v>36791</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4735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130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71789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186869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103280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17476</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182530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34088</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102938</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29904</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300799.78999999998</v>
      </c>
      <c r="G172" s="760"/>
    </row>
    <row r="173" spans="1:7" x14ac:dyDescent="0.2">
      <c r="A173" s="1529" t="s">
        <v>659</v>
      </c>
      <c r="B173" s="1530" t="s">
        <v>1885</v>
      </c>
      <c r="C173" s="1531">
        <v>3300</v>
      </c>
      <c r="D173" s="1532" t="s">
        <v>1888</v>
      </c>
      <c r="E173" s="739"/>
      <c r="F173" s="1794">
        <v>10193.57</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1288727.3600000001</v>
      </c>
    </row>
    <row r="176" spans="1:7" ht="12" customHeight="1" x14ac:dyDescent="0.2">
      <c r="A176" s="1443"/>
      <c r="B176" s="1453"/>
      <c r="C176" s="1454"/>
      <c r="D176" s="1455" t="s">
        <v>2014</v>
      </c>
      <c r="E176" s="1456"/>
      <c r="F176" s="1793">
        <f>'PCTC-OEPP 27-28'!F78-F175</f>
        <v>11861152.640000001</v>
      </c>
    </row>
    <row r="177" spans="1:9" ht="12" customHeight="1" x14ac:dyDescent="0.2">
      <c r="A177" s="1443"/>
      <c r="B177" s="1453"/>
      <c r="C177" s="1454"/>
      <c r="D177" s="1455" t="s">
        <v>1794</v>
      </c>
      <c r="E177" s="1456"/>
      <c r="F177" s="1793">
        <f>'Cap Outlay Deprec 26'!I18</f>
        <v>0</v>
      </c>
    </row>
    <row r="178" spans="1:9" ht="12" customHeight="1" x14ac:dyDescent="0.2">
      <c r="A178" s="1443"/>
      <c r="B178" s="1453"/>
      <c r="C178" s="1454"/>
      <c r="D178" s="1455" t="s">
        <v>2015</v>
      </c>
      <c r="E178" s="1456"/>
      <c r="F178" s="1793">
        <f>F176+F177</f>
        <v>11861152.640000001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876.2</v>
      </c>
      <c r="G179" s="763"/>
      <c r="I179" s="701"/>
    </row>
    <row r="180" spans="1:9" ht="12" customHeight="1" thickBot="1" x14ac:dyDescent="0.25">
      <c r="A180" s="1443"/>
      <c r="B180" s="1457"/>
      <c r="C180" s="1454"/>
      <c r="D180" s="1455" t="s">
        <v>2017</v>
      </c>
      <c r="E180" s="1456" t="s">
        <v>1528</v>
      </c>
      <c r="F180" s="1798">
        <f>F178/F179</f>
        <v>13537.037936544168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42"/>
  <sheetViews>
    <sheetView showGridLines="0" zoomScaleNormal="100" workbookViewId="0">
      <selection activeCell="D27" sqref="D27"/>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2081</v>
      </c>
      <c r="B18" s="1908">
        <v>102520300</v>
      </c>
      <c r="C18" s="2037" t="s">
        <v>2084</v>
      </c>
      <c r="D18" s="1886">
        <v>8595</v>
      </c>
      <c r="E18" s="1906">
        <f t="shared" ref="E18:E81" si="0">IF(D18&lt;25000,D18,"25,000")</f>
        <v>8595</v>
      </c>
      <c r="F18" s="1906" t="str">
        <f t="shared" ref="F18:F81" si="1">IF(D18&gt;=25000,(D18-E18),"0")</f>
        <v>0</v>
      </c>
      <c r="G18" s="1887"/>
    </row>
    <row r="19" spans="1:7" x14ac:dyDescent="0.25">
      <c r="A19" s="2035" t="s">
        <v>2081</v>
      </c>
      <c r="B19" s="1908">
        <v>102520300</v>
      </c>
      <c r="C19" s="2037" t="s">
        <v>2085</v>
      </c>
      <c r="D19" s="1886">
        <v>5304</v>
      </c>
      <c r="E19" s="1906">
        <f t="shared" si="0"/>
        <v>5304</v>
      </c>
      <c r="F19" s="1906" t="str">
        <f t="shared" si="1"/>
        <v>0</v>
      </c>
    </row>
    <row r="20" spans="1:7" x14ac:dyDescent="0.25">
      <c r="A20" s="2035" t="s">
        <v>100</v>
      </c>
      <c r="B20" s="1908">
        <v>102560300</v>
      </c>
      <c r="C20" s="2037" t="s">
        <v>2086</v>
      </c>
      <c r="D20" s="1886">
        <v>17791</v>
      </c>
      <c r="E20" s="1906">
        <f t="shared" si="0"/>
        <v>17791</v>
      </c>
      <c r="F20" s="1906" t="str">
        <f t="shared" si="1"/>
        <v>0</v>
      </c>
    </row>
    <row r="21" spans="1:7" x14ac:dyDescent="0.25">
      <c r="A21" s="2035" t="s">
        <v>100</v>
      </c>
      <c r="B21" s="1908">
        <v>102560400</v>
      </c>
      <c r="C21" s="2037" t="s">
        <v>2086</v>
      </c>
      <c r="D21" s="1886">
        <v>116217</v>
      </c>
      <c r="E21" s="1906" t="str">
        <f t="shared" si="0"/>
        <v>25,000</v>
      </c>
      <c r="F21" s="1906">
        <f t="shared" si="1"/>
        <v>91217</v>
      </c>
    </row>
    <row r="22" spans="1:7" x14ac:dyDescent="0.25">
      <c r="A22" s="2035" t="s">
        <v>100</v>
      </c>
      <c r="B22" s="1908">
        <v>102560300</v>
      </c>
      <c r="C22" s="2037" t="s">
        <v>2087</v>
      </c>
      <c r="D22" s="1886">
        <v>1048</v>
      </c>
      <c r="E22" s="1906">
        <f t="shared" si="0"/>
        <v>1048</v>
      </c>
      <c r="F22" s="1906" t="str">
        <f t="shared" si="1"/>
        <v>0</v>
      </c>
    </row>
    <row r="23" spans="1:7" x14ac:dyDescent="0.25">
      <c r="A23" s="2036" t="s">
        <v>2082</v>
      </c>
      <c r="B23" s="1908">
        <v>102640300</v>
      </c>
      <c r="C23" s="2037" t="s">
        <v>2088</v>
      </c>
      <c r="D23" s="1886">
        <v>10621</v>
      </c>
      <c r="E23" s="1906">
        <f t="shared" si="0"/>
        <v>10621</v>
      </c>
      <c r="F23" s="1906" t="str">
        <f t="shared" si="1"/>
        <v>0</v>
      </c>
    </row>
    <row r="24" spans="1:7" x14ac:dyDescent="0.25">
      <c r="A24" s="2036" t="s">
        <v>2083</v>
      </c>
      <c r="B24" s="1908">
        <v>101000300</v>
      </c>
      <c r="C24" s="2037" t="s">
        <v>2089</v>
      </c>
      <c r="D24" s="1886">
        <v>75852</v>
      </c>
      <c r="E24" s="1906" t="str">
        <f t="shared" si="0"/>
        <v>25,000</v>
      </c>
      <c r="F24" s="1906">
        <f t="shared" si="1"/>
        <v>50852</v>
      </c>
    </row>
    <row r="25" spans="1:7" x14ac:dyDescent="0.25">
      <c r="A25" s="2036" t="s">
        <v>2083</v>
      </c>
      <c r="B25" s="1908">
        <v>101000300</v>
      </c>
      <c r="C25" s="2037" t="s">
        <v>2090</v>
      </c>
      <c r="D25" s="1886">
        <v>255324</v>
      </c>
      <c r="E25" s="1906" t="str">
        <f t="shared" si="0"/>
        <v>25,000</v>
      </c>
      <c r="F25" s="1906">
        <f t="shared" si="1"/>
        <v>230324</v>
      </c>
    </row>
    <row r="26" spans="1:7" x14ac:dyDescent="0.25">
      <c r="A26" s="2036" t="s">
        <v>1052</v>
      </c>
      <c r="B26" s="1908">
        <v>102630300</v>
      </c>
      <c r="C26" s="2037" t="s">
        <v>2091</v>
      </c>
      <c r="D26" s="1886">
        <v>1761</v>
      </c>
      <c r="E26" s="1906">
        <f t="shared" si="0"/>
        <v>1761</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492513</v>
      </c>
      <c r="E142" s="1893">
        <f>SUM(E18:E141)</f>
        <v>45120</v>
      </c>
      <c r="F142" s="1894">
        <f>SUM(F18:F141)</f>
        <v>372393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7837454</v>
      </c>
      <c r="F19" s="1802"/>
      <c r="G19" s="1804">
        <f>'Expenditures 15-22'!K33-SUM('Expenditures 15-22'!G33,'Expenditures 15-22'!I33)+'Expenditures 15-22'!D229</f>
        <v>7837454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1036431</v>
      </c>
      <c r="F21" s="1805"/>
      <c r="G21" s="1808">
        <f>'Expenditures 15-22'!K42-SUM('Expenditures 15-22'!G42,'Expenditures 15-22'!I42)+'Expenditures 15-22'!K120-SUM('Expenditures 15-22'!G120,'Expenditures 15-22'!I120)+'Expenditures 15-22'!K180-SUM('Expenditures 15-22'!G180,'Expenditures 15-22'!I180)+'Expenditures 15-22'!D238</f>
        <v>1036431</v>
      </c>
      <c r="H21" s="817"/>
      <c r="I21" s="157"/>
    </row>
    <row r="22" spans="1:9" s="542" customFormat="1" ht="12" customHeight="1" x14ac:dyDescent="0.2">
      <c r="A22" s="824" t="s">
        <v>560</v>
      </c>
      <c r="B22" s="825"/>
      <c r="C22" s="823">
        <v>2200</v>
      </c>
      <c r="D22" s="1805"/>
      <c r="E22" s="1807">
        <f>'Expenditures 15-22'!K47-SUM('Expenditures 15-22'!G47,'Expenditures 15-22'!I47)+'Expenditures 15-22'!D243</f>
        <v>927667</v>
      </c>
      <c r="F22" s="1805"/>
      <c r="G22" s="1808">
        <f>'Expenditures 15-22'!K47-SUM('Expenditures 15-22'!G47,'Expenditures 15-22'!I47)+'Expenditures 15-22'!D243</f>
        <v>927667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496052</v>
      </c>
      <c r="F23" s="1805"/>
      <c r="G23" s="1807">
        <f>'Expenditures 15-22'!K53-SUM('Expenditures 15-22'!G53,'Expenditures 15-22'!I53)+'Expenditures 15-22'!D257+'Expenditures 15-22'!K330-SUM('Expenditures 15-22'!G330,'Expenditures 15-22'!I330)</f>
        <v>496052</v>
      </c>
      <c r="H23" s="817"/>
      <c r="I23" s="157"/>
    </row>
    <row r="24" spans="1:9" s="542" customFormat="1" ht="12" customHeight="1" x14ac:dyDescent="0.2">
      <c r="A24" s="824" t="s">
        <v>562</v>
      </c>
      <c r="B24" s="825"/>
      <c r="C24" s="823">
        <v>2400</v>
      </c>
      <c r="D24" s="1805"/>
      <c r="E24" s="1807">
        <f>'Expenditures 15-22'!K57-SUM('Expenditures 15-22'!G57,'Expenditures 15-22'!I57)+'Expenditures 15-22'!D261</f>
        <v>595428</v>
      </c>
      <c r="F24" s="1805"/>
      <c r="G24" s="1808">
        <f>'Expenditures 15-22'!K57-SUM('Expenditures 15-22'!G57,'Expenditures 15-22'!I57)+'Expenditures 15-22'!D261</f>
        <v>595428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279589</v>
      </c>
      <c r="E27" s="1807">
        <f>E8</f>
        <v>0</v>
      </c>
      <c r="F27" s="1807">
        <f>'Expenditures 15-22'!K60-SUM('Expenditures 15-22'!G60,'Expenditures 15-22'!I60)+'Expenditures 15-22'!D264-E8</f>
        <v>279589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836699</v>
      </c>
      <c r="F28" s="1809">
        <f>'Expenditures 15-22'!K61-SUM('Expenditures 15-22'!G61,'Expenditures 15-22'!I61)+'Expenditures 15-22'!K124-SUM('Expenditures 15-22'!G124,'Expenditures 15-22'!I124)+'Expenditures 15-22'!D266-E9</f>
        <v>836699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646390</v>
      </c>
      <c r="F29" s="1805"/>
      <c r="G29" s="1808">
        <f>'Expenditures 15-22'!K62-SUM('Expenditures 15-22'!G62,'Expenditures 15-22'!I62)+'Expenditures 15-22'!K125-SUM('Expenditures 15-22'!G125,'Expenditures 15-22'!I125)+'Expenditures 15-22'!K182-SUM('Expenditures 15-22'!G182,'Expenditures 15-22'!I182)+'Expenditures 15-22'!D267</f>
        <v>646390</v>
      </c>
      <c r="H29" s="815"/>
    </row>
    <row r="30" spans="1:9" ht="12" customHeight="1" x14ac:dyDescent="0.2">
      <c r="A30" s="824" t="s">
        <v>100</v>
      </c>
      <c r="B30" s="827"/>
      <c r="C30" s="823">
        <v>2560</v>
      </c>
      <c r="D30" s="1805"/>
      <c r="E30" s="1807">
        <f>'Expenditures 15-22'!K63-SUM('Expenditures 15-22'!G63,'Expenditures 15-22'!I63)+'Expenditures 15-22'!D268-E10</f>
        <v>250320</v>
      </c>
      <c r="F30" s="1805"/>
      <c r="G30" s="1807">
        <f>'Expenditures 15-22'!K63-SUM('Expenditures 15-22'!G63,'Expenditures 15-22'!I63)+'Expenditures 15-22'!D268-E10</f>
        <v>250320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45</v>
      </c>
      <c r="F33" s="1805"/>
      <c r="G33" s="1807">
        <f>'Expenditures 15-22'!K67-SUM('Expenditures 15-22'!G67,'Expenditures 15-22'!I67)+'Expenditures 15-22'!D272</f>
        <v>45</v>
      </c>
    </row>
    <row r="34" spans="1:7" ht="12" customHeight="1" x14ac:dyDescent="0.2">
      <c r="A34" s="824" t="s">
        <v>517</v>
      </c>
      <c r="B34" s="827"/>
      <c r="C34" s="823">
        <v>2620</v>
      </c>
      <c r="D34" s="1805"/>
      <c r="E34" s="1807">
        <f>'Expenditures 15-22'!K68-SUM('Expenditures 15-22'!G68,'Expenditures 15-22'!I68)+'Expenditures 15-22'!D273</f>
        <v>3203</v>
      </c>
      <c r="F34" s="1805"/>
      <c r="G34" s="1807">
        <f>'Expenditures 15-22'!K68-SUM('Expenditures 15-22'!G68,'Expenditures 15-22'!I68)+'Expenditures 15-22'!D273</f>
        <v>3203</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15626</v>
      </c>
      <c r="E36" s="1807">
        <f>E13</f>
        <v>0</v>
      </c>
      <c r="F36" s="1807">
        <f>'Expenditures 15-22'!K70-SUM('Expenditures 15-22'!G70,'Expenditures 15-22'!I70)+'Expenditures 15-22'!D275-E13</f>
        <v>15626</v>
      </c>
      <c r="G36" s="1807">
        <f>E13</f>
        <v>0</v>
      </c>
    </row>
    <row r="37" spans="1:7" ht="12" customHeight="1" x14ac:dyDescent="0.2">
      <c r="A37" s="824" t="s">
        <v>401</v>
      </c>
      <c r="B37" s="827"/>
      <c r="C37" s="823">
        <v>2660</v>
      </c>
      <c r="D37" s="1807">
        <f>'Expenditures 15-22'!K71-SUM('Expenditures 15-22'!G71,'Expenditures 15-22'!I71)+'Expenditures 15-22'!D276-E14</f>
        <v>5396</v>
      </c>
      <c r="E37" s="1807">
        <f>E14</f>
        <v>0</v>
      </c>
      <c r="F37" s="1807">
        <f>'Expenditures 15-22'!K71-SUM('Expenditures 15-22'!G71,'Expenditures 15-22'!I71)+'Expenditures 15-22'!D276-E14</f>
        <v>5396</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1450</v>
      </c>
      <c r="F39" s="1805"/>
      <c r="G39" s="1807">
        <f>'Expenditures 15-22'!K75-SUM('Expenditures 15-22'!G75,'Expenditures 15-22'!I75)+'Expenditures 15-22'!K130-SUM('Expenditures 15-22'!G130,'Expenditures 15-22'!I130)+'Expenditures 15-22'!K185-SUM('Expenditures 15-22'!G185,'Expenditures 15-22'!I185)+'Expenditures 15-22'!D280</f>
        <v>1450</v>
      </c>
    </row>
    <row r="40" spans="1:7" ht="12" customHeight="1" x14ac:dyDescent="0.2">
      <c r="A40" s="820" t="s">
        <v>1798</v>
      </c>
      <c r="B40" s="821"/>
      <c r="C40" s="823"/>
      <c r="D40" s="1805"/>
      <c r="E40" s="1809">
        <f>-'Contracts Paid in CY 29'!F142</f>
        <v>-372393</v>
      </c>
      <c r="F40" s="1805"/>
      <c r="G40" s="1809">
        <f>-'Contracts Paid in CY 29'!F142</f>
        <v>-372393</v>
      </c>
    </row>
    <row r="41" spans="1:7" ht="12" customHeight="1" x14ac:dyDescent="0.2">
      <c r="A41" s="828" t="s">
        <v>155</v>
      </c>
      <c r="B41" s="829"/>
      <c r="C41" s="830"/>
      <c r="D41" s="1809">
        <f>SUM(D19:D39)</f>
        <v>300611</v>
      </c>
      <c r="E41" s="1809">
        <f>SUM(E19:E40)</f>
        <v>12258746</v>
      </c>
      <c r="F41" s="1809">
        <f>SUM(F19:F39)</f>
        <v>1137310</v>
      </c>
      <c r="G41" s="1809">
        <f>SUM(G19:G40)</f>
        <v>11422047</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300611</v>
      </c>
      <c r="F43" s="1458" t="s">
        <v>470</v>
      </c>
      <c r="G43" s="1810">
        <f>F41</f>
        <v>1137310</v>
      </c>
    </row>
    <row r="44" spans="1:7" ht="12" customHeight="1" x14ac:dyDescent="0.2">
      <c r="A44" s="817"/>
      <c r="B44" s="157"/>
      <c r="C44" s="831"/>
      <c r="D44" s="1458" t="s">
        <v>471</v>
      </c>
      <c r="E44" s="1810">
        <f>E41</f>
        <v>12258746</v>
      </c>
      <c r="F44" s="1458" t="s">
        <v>471</v>
      </c>
      <c r="G44" s="1810">
        <f>G41</f>
        <v>11422047</v>
      </c>
    </row>
    <row r="45" spans="1:7" ht="12" customHeight="1" x14ac:dyDescent="0.2">
      <c r="A45" s="817"/>
      <c r="B45" s="157"/>
      <c r="C45" s="157"/>
      <c r="D45" s="1459" t="s">
        <v>999</v>
      </c>
      <c r="E45" s="1811">
        <f>(E43/E44)</f>
        <v>2.4522165644022643E-2</v>
      </c>
      <c r="F45" s="1459" t="s">
        <v>999</v>
      </c>
      <c r="G45" s="1811">
        <f>(G43/G44)</f>
        <v>9.9571469107069863E-2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view="pageBreakPreview" zoomScale="60" zoomScaleNormal="110" workbookViewId="0">
      <selection activeCell="A43" sqref="A43: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 xml:space="preserve">  Gower SD 62</v>
      </c>
      <c r="D6" s="2405"/>
      <c r="E6" s="2405"/>
      <c r="F6" s="1482"/>
      <c r="G6" s="1507"/>
      <c r="L6" s="1507"/>
      <c r="M6" s="1855"/>
      <c r="N6" s="1855"/>
      <c r="O6" s="1855"/>
    </row>
    <row r="7" spans="1:15" ht="11.25" customHeight="1" thickBot="1" x14ac:dyDescent="0.3">
      <c r="A7" s="1480"/>
      <c r="B7" s="1481"/>
      <c r="C7" s="2406">
        <f>COVER!A13</f>
        <v>19022062002</v>
      </c>
      <c r="D7" s="2406"/>
      <c r="E7" s="240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c r="F16" s="1497" t="s">
        <v>2072</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1497" t="s">
        <v>2073</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2051</v>
      </c>
      <c r="D20" s="1495" t="s">
        <v>2051</v>
      </c>
      <c r="E20" s="1498"/>
      <c r="F20" s="1497" t="s">
        <v>2074</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c r="F24" s="1497" t="s">
        <v>2075</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2076</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c r="F28" s="1497" t="s">
        <v>2077</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c r="F30" s="1497" t="s">
        <v>2078</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2051</v>
      </c>
      <c r="D32" s="1495" t="s">
        <v>2051</v>
      </c>
      <c r="E32" s="1498"/>
      <c r="F32" s="1497" t="s">
        <v>2078</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40</v>
      </c>
      <c r="I34" s="1507">
        <f>SUM(I11:I32)</f>
        <v>40</v>
      </c>
      <c r="J34" s="1507">
        <f>SUM(J11:J32)</f>
        <v>0</v>
      </c>
      <c r="K34" s="1507">
        <f>SUM(H34:J34)</f>
        <v>80</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t="s">
        <v>2079</v>
      </c>
      <c r="B41" s="2418"/>
      <c r="C41" s="2418"/>
      <c r="D41" s="2418"/>
      <c r="E41" s="2418"/>
      <c r="F41" s="2419"/>
      <c r="H41" s="1508"/>
      <c r="I41" s="1508"/>
      <c r="J41" s="1508"/>
      <c r="K41" s="1508"/>
    </row>
    <row r="42" spans="1:15" s="1499" customFormat="1" ht="12" customHeight="1" x14ac:dyDescent="0.25">
      <c r="A42" s="2417" t="s">
        <v>2080</v>
      </c>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N83"/>
  <sheetViews>
    <sheetView showGridLines="0" topLeftCell="A10" zoomScaleNormal="100" workbookViewId="0">
      <selection activeCell="G12" sqref="G12"/>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1" t="str">
        <f>COVER!A17</f>
        <v xml:space="preserve">  Gower SD 62</v>
      </c>
      <c r="K6" s="2421"/>
      <c r="L6" s="2422"/>
      <c r="M6" s="838"/>
      <c r="N6" s="1998"/>
    </row>
    <row r="7" spans="1:14" x14ac:dyDescent="0.2">
      <c r="A7" s="2423" t="s">
        <v>864</v>
      </c>
      <c r="B7" s="2424"/>
      <c r="C7" s="2424"/>
      <c r="D7" s="2424"/>
      <c r="E7" s="2425"/>
      <c r="F7" s="839"/>
      <c r="G7" s="838"/>
      <c r="H7" s="838"/>
      <c r="I7" s="1924" t="s">
        <v>369</v>
      </c>
      <c r="J7" s="2426">
        <f>COVER!A13</f>
        <v>19022062002</v>
      </c>
      <c r="K7" s="2426"/>
      <c r="L7" s="242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7" t="s">
        <v>478</v>
      </c>
      <c r="B11" s="2428"/>
      <c r="C11" s="2429"/>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359106</v>
      </c>
      <c r="F12" s="1942"/>
      <c r="G12" s="1968">
        <f>G68</f>
        <v>0</v>
      </c>
      <c r="H12" s="1944">
        <f t="shared" ref="H12:H18" si="0">SUM(E12:G12)</f>
        <v>359106</v>
      </c>
      <c r="I12" s="1943">
        <v>284085</v>
      </c>
      <c r="J12" s="1942"/>
      <c r="K12" s="1943"/>
      <c r="L12" s="1944">
        <f t="shared" ref="L12:L18" si="1">SUM(I12:K12)</f>
        <v>284085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0" t="s">
        <v>7</v>
      </c>
      <c r="C18" s="2431"/>
      <c r="D18" s="2432"/>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359106</v>
      </c>
      <c r="F19" s="1950">
        <f t="shared" si="2"/>
        <v>0</v>
      </c>
      <c r="G19" s="1950">
        <f t="shared" ref="G19" si="3">SUM(G12:G17)-G18</f>
        <v>0</v>
      </c>
      <c r="H19" s="1950">
        <f t="shared" si="2"/>
        <v>359106</v>
      </c>
      <c r="I19" s="1950">
        <f t="shared" si="2"/>
        <v>284085</v>
      </c>
      <c r="J19" s="1950">
        <f t="shared" si="2"/>
        <v>0</v>
      </c>
      <c r="K19" s="1950">
        <f t="shared" si="2"/>
        <v>0</v>
      </c>
      <c r="L19" s="1950">
        <f t="shared" si="2"/>
        <v>284085</v>
      </c>
      <c r="M19" s="838"/>
      <c r="N19" s="1998"/>
    </row>
    <row r="20" spans="1:14" ht="13.5" thickTop="1" x14ac:dyDescent="0.2">
      <c r="A20" s="2003">
        <v>9</v>
      </c>
      <c r="B20" s="2433" t="s">
        <v>2021</v>
      </c>
      <c r="C20" s="2433"/>
      <c r="D20" s="2434"/>
      <c r="E20" s="1951"/>
      <c r="F20" s="1951"/>
      <c r="G20" s="1951"/>
      <c r="H20" s="1951"/>
      <c r="I20" s="1951"/>
      <c r="J20" s="1951"/>
      <c r="K20" s="1951"/>
      <c r="L20" s="1952">
        <f>IF(AND(H19&gt;0,L19&gt;0),(((L19-H19)/H19)),"Enter Budget Data")</f>
        <v>-0.2089104609780956</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5"/>
      <c r="D27" s="2435"/>
      <c r="E27" s="843"/>
      <c r="F27" s="2436"/>
      <c r="G27" s="2436"/>
      <c r="H27" s="2436"/>
      <c r="I27" s="838"/>
      <c r="J27" s="838"/>
      <c r="K27" s="838"/>
      <c r="L27" s="838"/>
      <c r="M27" s="838"/>
      <c r="N27" s="1998"/>
    </row>
    <row r="28" spans="1:14" x14ac:dyDescent="0.2">
      <c r="A28" s="1997"/>
      <c r="B28" s="2007"/>
      <c r="C28" s="1957" t="s">
        <v>1026</v>
      </c>
      <c r="D28" s="844"/>
      <c r="E28" s="1958"/>
      <c r="F28" s="2437" t="s">
        <v>1492</v>
      </c>
      <c r="G28" s="2437"/>
      <c r="H28" s="2437"/>
      <c r="I28" s="838"/>
      <c r="J28" s="838"/>
      <c r="K28" s="838"/>
      <c r="L28" s="838"/>
      <c r="M28" s="838"/>
      <c r="N28" s="1998"/>
    </row>
    <row r="29" spans="1:14" x14ac:dyDescent="0.2">
      <c r="A29" s="1997"/>
      <c r="B29" s="2007"/>
      <c r="C29" s="2438"/>
      <c r="D29" s="2438"/>
      <c r="E29" s="845"/>
      <c r="F29" s="2438"/>
      <c r="G29" s="2438"/>
      <c r="H29" s="2438"/>
      <c r="I29" s="838"/>
      <c r="J29" s="838"/>
      <c r="K29" s="838"/>
      <c r="L29" s="838"/>
      <c r="M29" s="838"/>
      <c r="N29" s="1998"/>
    </row>
    <row r="30" spans="1:14" x14ac:dyDescent="0.2">
      <c r="A30" s="1997"/>
      <c r="B30" s="2007"/>
      <c r="C30" s="1960" t="s">
        <v>1544</v>
      </c>
      <c r="D30" s="838"/>
      <c r="E30" s="1959"/>
      <c r="F30" s="2420" t="s">
        <v>1493</v>
      </c>
      <c r="G30" s="2420"/>
      <c r="H30" s="242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1" t="s">
        <v>2024</v>
      </c>
      <c r="D34" s="2442"/>
      <c r="E34" s="2442"/>
      <c r="F34" s="2442"/>
      <c r="G34" s="2442"/>
      <c r="H34" s="2442"/>
      <c r="I34" s="2442"/>
      <c r="J34" s="2442"/>
      <c r="K34" s="2016"/>
      <c r="L34" s="838"/>
      <c r="M34" s="838"/>
      <c r="N34" s="1998"/>
    </row>
    <row r="35" spans="1:14" x14ac:dyDescent="0.2">
      <c r="A35" s="1997"/>
      <c r="B35" s="838"/>
      <c r="C35" s="2442"/>
      <c r="D35" s="2442"/>
      <c r="E35" s="2442"/>
      <c r="F35" s="2442"/>
      <c r="G35" s="2442"/>
      <c r="H35" s="2442"/>
      <c r="I35" s="2442"/>
      <c r="J35" s="244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1" t="s">
        <v>2025</v>
      </c>
      <c r="D37" s="2442"/>
      <c r="E37" s="2442"/>
      <c r="F37" s="2442"/>
      <c r="G37" s="2442"/>
      <c r="H37" s="2442"/>
      <c r="I37" s="2442"/>
      <c r="J37" s="2442"/>
      <c r="K37" s="2016"/>
      <c r="L37" s="2018"/>
      <c r="M37" s="838"/>
      <c r="N37" s="1998"/>
    </row>
    <row r="38" spans="1:14" x14ac:dyDescent="0.2">
      <c r="A38" s="1997"/>
      <c r="B38" s="838"/>
      <c r="C38" s="2442"/>
      <c r="D38" s="2442"/>
      <c r="E38" s="2442"/>
      <c r="F38" s="2442"/>
      <c r="G38" s="2442"/>
      <c r="H38" s="2442"/>
      <c r="I38" s="2442"/>
      <c r="J38" s="244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3" t="s">
        <v>2026</v>
      </c>
      <c r="D40" s="2444"/>
      <c r="E40" s="2444"/>
      <c r="F40" s="2444"/>
      <c r="G40" s="2444"/>
      <c r="H40" s="2444"/>
      <c r="I40" s="2444"/>
      <c r="J40" s="244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1" t="str">
        <f>J6</f>
        <v xml:space="preserve">  Gower SD 62</v>
      </c>
      <c r="M52" s="2421"/>
      <c r="N52" s="2451"/>
    </row>
    <row r="53" spans="1:14" x14ac:dyDescent="0.2">
      <c r="A53" s="1982"/>
      <c r="B53" s="1983"/>
      <c r="C53" s="1983"/>
      <c r="D53" s="1983"/>
      <c r="E53" s="1983"/>
      <c r="F53" s="1983"/>
      <c r="G53" s="1983"/>
      <c r="H53" s="1983"/>
      <c r="I53" s="1983"/>
      <c r="J53" s="1983"/>
      <c r="K53" s="1924" t="s">
        <v>369</v>
      </c>
      <c r="L53" s="2426">
        <f>J7</f>
        <v>19022062002</v>
      </c>
      <c r="M53" s="2426"/>
      <c r="N53" s="245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3"/>
      <c r="B55" s="2454"/>
      <c r="C55" s="2454"/>
      <c r="D55" s="1970"/>
      <c r="E55" s="1970"/>
      <c r="F55" s="1970"/>
      <c r="G55" s="2455" t="s">
        <v>2030</v>
      </c>
      <c r="H55" s="2455"/>
      <c r="I55" s="2455"/>
      <c r="J55" s="2455"/>
      <c r="K55" s="2455"/>
      <c r="L55" s="2455"/>
      <c r="M55" s="2455"/>
      <c r="N55" s="2456"/>
    </row>
    <row r="56" spans="1:14" ht="63.75" x14ac:dyDescent="0.2">
      <c r="A56" s="2457" t="s">
        <v>2031</v>
      </c>
      <c r="B56" s="2458"/>
      <c r="C56" s="2459"/>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0" t="s">
        <v>296</v>
      </c>
      <c r="B57" s="2461"/>
      <c r="C57" s="246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9" t="s">
        <v>2041</v>
      </c>
      <c r="B58" s="2440"/>
      <c r="C58" s="2440"/>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2" t="s">
        <v>297</v>
      </c>
      <c r="B59" s="2463"/>
      <c r="C59" s="2463"/>
      <c r="D59" s="1967">
        <v>2363</v>
      </c>
      <c r="E59" s="1977">
        <f>'Expenditures 15-22'!K321</f>
        <v>716</v>
      </c>
      <c r="F59" s="1972"/>
      <c r="G59" s="2031"/>
      <c r="H59" s="2032"/>
      <c r="I59" s="2032"/>
      <c r="J59" s="2032"/>
      <c r="K59" s="2032"/>
      <c r="L59" s="2032"/>
      <c r="M59" s="2032">
        <v>716</v>
      </c>
      <c r="N59" s="1975">
        <f>IF((SUM(G59:M59))=E59,SUM(G59:M59),"Column N does not agree with Column E")</f>
        <v>716</v>
      </c>
    </row>
    <row r="60" spans="1:14" ht="24" customHeight="1" x14ac:dyDescent="0.2">
      <c r="A60" s="2462" t="s">
        <v>236</v>
      </c>
      <c r="B60" s="2463"/>
      <c r="C60" s="2463"/>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2" t="s">
        <v>697</v>
      </c>
      <c r="B61" s="2463"/>
      <c r="C61" s="2463"/>
      <c r="D61" s="1967">
        <v>2365</v>
      </c>
      <c r="E61" s="1977">
        <f>'Expenditures 15-22'!K323</f>
        <v>38342</v>
      </c>
      <c r="F61" s="1972"/>
      <c r="G61" s="2031"/>
      <c r="H61" s="2032"/>
      <c r="I61" s="2032"/>
      <c r="J61" s="2032"/>
      <c r="K61" s="2032"/>
      <c r="L61" s="2032"/>
      <c r="M61" s="2032">
        <v>38342</v>
      </c>
      <c r="N61" s="1975">
        <f t="shared" si="4"/>
        <v>38342</v>
      </c>
    </row>
    <row r="62" spans="1:14" ht="24" customHeight="1" x14ac:dyDescent="0.2">
      <c r="A62" s="2462" t="s">
        <v>237</v>
      </c>
      <c r="B62" s="2463"/>
      <c r="C62" s="2463"/>
      <c r="D62" s="1967">
        <v>2366</v>
      </c>
      <c r="E62" s="1977">
        <f>'Expenditures 15-22'!K324</f>
        <v>0</v>
      </c>
      <c r="F62" s="1972"/>
      <c r="G62" s="2031"/>
      <c r="H62" s="2032"/>
      <c r="I62" s="2032"/>
      <c r="J62" s="2032"/>
      <c r="K62" s="2032"/>
      <c r="L62" s="2032"/>
      <c r="M62" s="2032"/>
      <c r="N62" s="1975">
        <f t="shared" si="4"/>
        <v>0</v>
      </c>
    </row>
    <row r="63" spans="1:14" ht="24" customHeight="1" x14ac:dyDescent="0.2">
      <c r="A63" s="2439" t="s">
        <v>1022</v>
      </c>
      <c r="B63" s="2440"/>
      <c r="C63" s="2440"/>
      <c r="D63" s="1967">
        <v>2367</v>
      </c>
      <c r="E63" s="1977">
        <f>'Expenditures 15-22'!K325</f>
        <v>0</v>
      </c>
      <c r="F63" s="1972"/>
      <c r="G63" s="2031"/>
      <c r="H63" s="2032"/>
      <c r="I63" s="2032"/>
      <c r="J63" s="2032"/>
      <c r="K63" s="2032"/>
      <c r="L63" s="2032"/>
      <c r="M63" s="2032"/>
      <c r="N63" s="1975">
        <f t="shared" si="4"/>
        <v>0</v>
      </c>
    </row>
    <row r="64" spans="1:14" ht="24" customHeight="1" x14ac:dyDescent="0.2">
      <c r="A64" s="2462" t="s">
        <v>1023</v>
      </c>
      <c r="B64" s="2463"/>
      <c r="C64" s="2463"/>
      <c r="D64" s="1967">
        <v>2368</v>
      </c>
      <c r="E64" s="1977">
        <f>'Expenditures 15-22'!K326</f>
        <v>0</v>
      </c>
      <c r="F64" s="1972"/>
      <c r="G64" s="2031"/>
      <c r="H64" s="2032"/>
      <c r="I64" s="2032"/>
      <c r="J64" s="2032"/>
      <c r="K64" s="2032"/>
      <c r="L64" s="2032"/>
      <c r="M64" s="2032"/>
      <c r="N64" s="1975">
        <f t="shared" si="4"/>
        <v>0</v>
      </c>
    </row>
    <row r="65" spans="1:14" ht="24" customHeight="1" x14ac:dyDescent="0.2">
      <c r="A65" s="2462" t="s">
        <v>965</v>
      </c>
      <c r="B65" s="2463"/>
      <c r="C65" s="2463"/>
      <c r="D65" s="1967">
        <v>2369</v>
      </c>
      <c r="E65" s="1977">
        <f>'Expenditures 15-22'!K327</f>
        <v>0</v>
      </c>
      <c r="F65" s="1972"/>
      <c r="G65" s="2031"/>
      <c r="H65" s="2032"/>
      <c r="I65" s="2032"/>
      <c r="J65" s="2032"/>
      <c r="K65" s="2032"/>
      <c r="L65" s="2032"/>
      <c r="M65" s="2032"/>
      <c r="N65" s="1975">
        <f t="shared" si="4"/>
        <v>0</v>
      </c>
    </row>
    <row r="66" spans="1:14" ht="24" customHeight="1" x14ac:dyDescent="0.2">
      <c r="A66" s="2462" t="s">
        <v>469</v>
      </c>
      <c r="B66" s="2463"/>
      <c r="C66" s="2463"/>
      <c r="D66" s="1967">
        <v>2371</v>
      </c>
      <c r="E66" s="1977">
        <f>'Expenditures 15-22'!K328</f>
        <v>0</v>
      </c>
      <c r="F66" s="1972"/>
      <c r="G66" s="2031"/>
      <c r="H66" s="2032"/>
      <c r="I66" s="2032"/>
      <c r="J66" s="2032"/>
      <c r="K66" s="2032"/>
      <c r="L66" s="2032"/>
      <c r="M66" s="2032"/>
      <c r="N66" s="1975">
        <f t="shared" si="4"/>
        <v>0</v>
      </c>
    </row>
    <row r="67" spans="1:14" ht="24.75" customHeight="1" x14ac:dyDescent="0.2">
      <c r="A67" s="2464" t="s">
        <v>2042</v>
      </c>
      <c r="B67" s="2465"/>
      <c r="C67" s="2465"/>
      <c r="D67" s="1969">
        <v>2372</v>
      </c>
      <c r="E67" s="1978">
        <f>'Expenditures 15-22'!K329</f>
        <v>0</v>
      </c>
      <c r="F67" s="1972"/>
      <c r="G67" s="2033"/>
      <c r="H67" s="2034"/>
      <c r="I67" s="2034"/>
      <c r="J67" s="2034"/>
      <c r="K67" s="2034"/>
      <c r="L67" s="2034"/>
      <c r="M67" s="2034"/>
      <c r="N67" s="1975">
        <f t="shared" si="4"/>
        <v>0</v>
      </c>
    </row>
    <row r="68" spans="1:14" x14ac:dyDescent="0.2">
      <c r="A68" s="2466" t="s">
        <v>1151</v>
      </c>
      <c r="B68" s="2467"/>
      <c r="C68" s="2467"/>
      <c r="D68" s="1970"/>
      <c r="E68" s="1974">
        <f>SUM(E57:E67)</f>
        <v>39058</v>
      </c>
      <c r="F68" s="1973"/>
      <c r="G68" s="1974">
        <f t="shared" ref="G68:N68" si="5">SUM(G57:G67)</f>
        <v>0</v>
      </c>
      <c r="H68" s="1974">
        <f t="shared" si="5"/>
        <v>0</v>
      </c>
      <c r="I68" s="1974">
        <f t="shared" si="5"/>
        <v>0</v>
      </c>
      <c r="J68" s="1974">
        <f t="shared" si="5"/>
        <v>0</v>
      </c>
      <c r="K68" s="1974">
        <f t="shared" si="5"/>
        <v>0</v>
      </c>
      <c r="L68" s="1974">
        <f t="shared" si="5"/>
        <v>0</v>
      </c>
      <c r="M68" s="1974">
        <f t="shared" si="5"/>
        <v>39058</v>
      </c>
      <c r="N68" s="1988">
        <f t="shared" si="5"/>
        <v>39058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28"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1114425</xdr:colOff>
                <xdr:row>2</xdr:row>
                <xdr:rowOff>0</xdr:rowOff>
              </from>
              <to>
                <xdr:col>1</xdr:col>
                <xdr:colOff>2028825</xdr:colOff>
                <xdr:row>6</xdr:row>
                <xdr:rowOff>123825</xdr:rowOff>
              </to>
            </anchor>
          </objectPr>
        </oleObject>
      </mc:Choice>
      <mc:Fallback>
        <oleObject progId="Acrobat Document" dvAspect="DVASPECT_ICON" shapeId="43011" r:id="rId8"/>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14" sqref="B14"/>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2092</v>
      </c>
    </row>
    <row r="6" spans="1:2" x14ac:dyDescent="0.2">
      <c r="A6" s="847">
        <v>2</v>
      </c>
      <c r="B6" s="307" t="s">
        <v>2093</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Gower SD 62</v>
      </c>
    </row>
    <row r="65" spans="2:2" x14ac:dyDescent="0.2">
      <c r="B65" s="849">
        <f>COVER!A13</f>
        <v>19022062002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12275910</v>
      </c>
      <c r="C8" s="1813">
        <f>'Acct Summary 7-8'!D8</f>
        <v>1318939</v>
      </c>
      <c r="D8" s="1813">
        <f>'Acct Summary 7-8'!F8</f>
        <v>721241</v>
      </c>
      <c r="E8" s="1813">
        <f>'Acct Summary 7-8'!I8</f>
        <v>0</v>
      </c>
      <c r="F8" s="1813">
        <f>SUM(B8:E8)</f>
        <v>14316090</v>
      </c>
    </row>
    <row r="9" spans="1:8" s="858" customFormat="1" ht="14.25" customHeight="1" thickBot="1" x14ac:dyDescent="0.25">
      <c r="A9" s="857" t="s">
        <v>1353</v>
      </c>
      <c r="B9" s="1814">
        <f>'Acct Summary 7-8'!C17</f>
        <v>11869224</v>
      </c>
      <c r="C9" s="1814">
        <f>'Acct Summary 7-8'!D17</f>
        <v>1181905</v>
      </c>
      <c r="D9" s="1814">
        <f>'Acct Summary 7-8'!F17</f>
        <v>614230</v>
      </c>
      <c r="E9" s="1813"/>
      <c r="F9" s="1813">
        <f>SUM(B9:E9)</f>
        <v>13665359</v>
      </c>
    </row>
    <row r="10" spans="1:8" s="858" customFormat="1" ht="14.25" thickTop="1" thickBot="1" x14ac:dyDescent="0.25">
      <c r="A10" s="859" t="s">
        <v>1354</v>
      </c>
      <c r="B10" s="1815">
        <f>(B8-B9)</f>
        <v>406686</v>
      </c>
      <c r="C10" s="1815">
        <f>(C8-C9)</f>
        <v>137034</v>
      </c>
      <c r="D10" s="1815">
        <f>(D8-D9)</f>
        <v>107011</v>
      </c>
      <c r="E10" s="1814">
        <f>(E8-E9)</f>
        <v>0</v>
      </c>
      <c r="F10" s="1816">
        <f>SUM(F8-F9)</f>
        <v>650731</v>
      </c>
    </row>
    <row r="11" spans="1:8" s="858" customFormat="1" ht="14.25" thickTop="1" thickBot="1" x14ac:dyDescent="0.25">
      <c r="A11" s="860" t="s">
        <v>1903</v>
      </c>
      <c r="B11" s="1817">
        <f>'Acct Summary 7-8'!C81</f>
        <v>10904815</v>
      </c>
      <c r="C11" s="1817">
        <f>'Acct Summary 7-8'!D81</f>
        <v>1022356</v>
      </c>
      <c r="D11" s="1817">
        <f>'Acct Summary 7-8'!F81</f>
        <v>608496</v>
      </c>
      <c r="E11" s="1817">
        <f>'Acct Summary 7-8'!I81</f>
        <v>0</v>
      </c>
      <c r="F11" s="1818">
        <f>SUM(B11:E11)</f>
        <v>12535667</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8" colorId="8" zoomScale="110" zoomScaleNormal="110" workbookViewId="0">
      <selection activeCell="D47" sqref="C47:D4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19022062002</v>
      </c>
      <c r="E2" s="1542">
        <v>2020</v>
      </c>
      <c r="F2" s="1542">
        <v>1</v>
      </c>
      <c r="G2" s="1899">
        <v>101000300</v>
      </c>
    </row>
    <row r="3" spans="1:7" ht="15" x14ac:dyDescent="0.25">
      <c r="A3" t="s">
        <v>950</v>
      </c>
      <c r="B3" s="135" t="str">
        <f>COVER!A15</f>
        <v>DuPage County</v>
      </c>
      <c r="E3" s="1830" t="s">
        <v>1971</v>
      </c>
      <c r="F3" s="1830" t="s">
        <v>1970</v>
      </c>
      <c r="G3" s="1899">
        <v>101000400</v>
      </c>
    </row>
    <row r="4" spans="1:7" ht="15" x14ac:dyDescent="0.25">
      <c r="A4" t="s">
        <v>1000</v>
      </c>
      <c r="B4" s="135" t="str">
        <f>COVER!A17</f>
        <v xml:space="preserve">  Gower SD 62</v>
      </c>
      <c r="E4" s="1828">
        <v>44119</v>
      </c>
      <c r="F4" s="1829">
        <v>44151</v>
      </c>
      <c r="G4" s="1899">
        <v>101000600</v>
      </c>
    </row>
    <row r="5" spans="1:7" ht="15" x14ac:dyDescent="0.25">
      <c r="A5" t="s">
        <v>699</v>
      </c>
      <c r="B5" s="135" t="str">
        <f>COVER!A38</f>
        <v>Victor Simon III, Ed. D.</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066-003284</v>
      </c>
      <c r="G15" s="1899">
        <v>402100400</v>
      </c>
    </row>
    <row r="16" spans="1:7" ht="15" x14ac:dyDescent="0.25">
      <c r="A16" t="s">
        <v>419</v>
      </c>
      <c r="B16" s="135" t="str">
        <f>COVER!T13</f>
        <v>Sikich LLP</v>
      </c>
      <c r="G16" s="1899">
        <v>402100600</v>
      </c>
    </row>
    <row r="17" spans="1:7" ht="15" x14ac:dyDescent="0.25">
      <c r="A17" t="s">
        <v>878</v>
      </c>
      <c r="B17" s="135" t="str">
        <f>COVER!T15</f>
        <v xml:space="preserve">Anthony Cervini </v>
      </c>
      <c r="G17" s="1899">
        <v>402100800</v>
      </c>
    </row>
    <row r="18" spans="1:7" ht="15" x14ac:dyDescent="0.25">
      <c r="A18" t="s">
        <v>1140</v>
      </c>
      <c r="B18" s="135" t="str">
        <f>COVER!T17</f>
        <v>1415 W. Diehl Road, Suite 400</v>
      </c>
      <c r="G18" s="1899">
        <v>102200300</v>
      </c>
    </row>
    <row r="19" spans="1:7" ht="15" x14ac:dyDescent="0.25">
      <c r="A19" t="s">
        <v>880</v>
      </c>
      <c r="B19" s="135" t="str">
        <f>COVER!T25</f>
        <v>anthony.cervini@sikich.com</v>
      </c>
      <c r="G19" s="1899">
        <v>102200400</v>
      </c>
    </row>
    <row r="20" spans="1:7" ht="15" x14ac:dyDescent="0.25">
      <c r="A20" t="s">
        <v>881</v>
      </c>
      <c r="B20" s="135" t="str">
        <f>COVER!T19</f>
        <v xml:space="preserve">Naperville </v>
      </c>
      <c r="G20" s="1899">
        <v>102200600</v>
      </c>
    </row>
    <row r="21" spans="1:7" ht="15" x14ac:dyDescent="0.25">
      <c r="A21" t="s">
        <v>476</v>
      </c>
      <c r="B21" s="135" t="str">
        <f>COVER!X19</f>
        <v>IL</v>
      </c>
      <c r="G21" s="1899">
        <v>102200800</v>
      </c>
    </row>
    <row r="22" spans="1:7" ht="15" x14ac:dyDescent="0.25">
      <c r="A22" t="s">
        <v>882</v>
      </c>
      <c r="B22" s="135">
        <f>COVER!Z19</f>
        <v>60563</v>
      </c>
      <c r="G22" s="1899">
        <v>102300300</v>
      </c>
    </row>
    <row r="23" spans="1:7" ht="15" x14ac:dyDescent="0.25">
      <c r="A23" t="s">
        <v>1142</v>
      </c>
      <c r="B23" s="135" t="str">
        <f>COVER!T21</f>
        <v>630.566.8400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33239</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10904815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10904815</v>
      </c>
      <c r="D92" s="2" t="str">
        <f t="shared" si="0"/>
        <v>Error?</v>
      </c>
      <c r="G92" s="1899">
        <v>102640600</v>
      </c>
    </row>
    <row r="93" spans="1:7" ht="15" x14ac:dyDescent="0.25">
      <c r="A93" s="5">
        <v>32</v>
      </c>
      <c r="B93" s="1832">
        <f>'Assets-Liab 5-6'!C41</f>
        <v>10904815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1022356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1022356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986995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986995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608496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608496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532133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532133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951820</v>
      </c>
      <c r="D273" s="2" t="str">
        <f t="shared" si="3"/>
        <v>Error?</v>
      </c>
    </row>
    <row r="274" spans="1:4" x14ac:dyDescent="0.2">
      <c r="A274" s="5">
        <v>213</v>
      </c>
      <c r="B274" s="1832">
        <f>'Assets-Liab 5-6'!M17</f>
        <v>20518100</v>
      </c>
      <c r="D274" s="2" t="str">
        <f t="shared" si="3"/>
        <v>Error?</v>
      </c>
    </row>
    <row r="275" spans="1:4" x14ac:dyDescent="0.2">
      <c r="A275" s="5">
        <v>214</v>
      </c>
      <c r="B275" s="1832">
        <f>'Assets-Liab 5-6'!M18</f>
        <v>1783503</v>
      </c>
      <c r="D275" s="2" t="str">
        <f t="shared" si="3"/>
        <v>Error?</v>
      </c>
    </row>
    <row r="276" spans="1:4" x14ac:dyDescent="0.2">
      <c r="A276" s="5">
        <v>215</v>
      </c>
      <c r="B276" s="1832">
        <f>'Assets-Liab 5-6'!M19</f>
        <v>5674320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28927743</v>
      </c>
      <c r="C279" s="2" t="s">
        <v>569</v>
      </c>
      <c r="D279" s="2" t="str">
        <f t="shared" si="3"/>
        <v>Error?</v>
      </c>
    </row>
    <row r="280" spans="1:4" x14ac:dyDescent="0.2">
      <c r="A280" s="5">
        <v>219</v>
      </c>
      <c r="B280" s="1832">
        <f>'Assets-Liab 5-6'!M40</f>
        <v>28927743</v>
      </c>
      <c r="D280" s="2" t="str">
        <f t="shared" si="3"/>
        <v>Error?</v>
      </c>
    </row>
    <row r="281" spans="1:4" x14ac:dyDescent="0.2">
      <c r="A281" s="5">
        <v>220</v>
      </c>
      <c r="B281" s="1832">
        <f>'Assets-Liab 5-6'!M41</f>
        <v>28927743</v>
      </c>
      <c r="C281" s="2" t="s">
        <v>569</v>
      </c>
      <c r="D281" s="2" t="str">
        <f t="shared" si="3"/>
        <v>Error?</v>
      </c>
    </row>
    <row r="282" spans="1:4" x14ac:dyDescent="0.2">
      <c r="A282" s="5">
        <v>221</v>
      </c>
      <c r="B282" s="1832">
        <f>'Assets-Liab 5-6'!N21</f>
        <v>986995</v>
      </c>
      <c r="D282" s="2" t="str">
        <f t="shared" si="3"/>
        <v>Error?</v>
      </c>
    </row>
    <row r="283" spans="1:4" x14ac:dyDescent="0.2">
      <c r="A283" s="5">
        <v>222</v>
      </c>
      <c r="B283" s="1832">
        <f>'Assets-Liab 5-6'!N22</f>
        <v>2263005</v>
      </c>
      <c r="D283" s="2" t="str">
        <f t="shared" si="3"/>
        <v>Error?</v>
      </c>
    </row>
    <row r="284" spans="1:4" x14ac:dyDescent="0.2">
      <c r="A284" s="5">
        <v>223</v>
      </c>
      <c r="B284" s="1832">
        <f>'Assets-Liab 5-6'!N23</f>
        <v>3250000</v>
      </c>
      <c r="C284" s="2" t="s">
        <v>569</v>
      </c>
      <c r="D284" s="2" t="str">
        <f t="shared" si="3"/>
        <v>Error?</v>
      </c>
    </row>
    <row r="285" spans="1:4" x14ac:dyDescent="0.2">
      <c r="A285" s="5">
        <v>224</v>
      </c>
      <c r="B285" s="1832">
        <f>'Assets-Liab 5-6'!N36</f>
        <v>3250000</v>
      </c>
      <c r="D285" s="2" t="str">
        <f t="shared" si="3"/>
        <v>Error?</v>
      </c>
    </row>
    <row r="286" spans="1:4" x14ac:dyDescent="0.2">
      <c r="A286" s="10">
        <v>225</v>
      </c>
      <c r="B286" s="1832"/>
      <c r="D286" s="2" t="str">
        <f t="shared" si="3"/>
        <v>OK</v>
      </c>
    </row>
    <row r="287" spans="1:4" x14ac:dyDescent="0.2">
      <c r="A287" s="5">
        <v>226</v>
      </c>
      <c r="B287" s="1832">
        <f>'Assets-Liab 5-6'!N37</f>
        <v>3250000</v>
      </c>
      <c r="C287" s="2" t="s">
        <v>569</v>
      </c>
      <c r="D287" s="2" t="str">
        <f t="shared" si="3"/>
        <v>Error?</v>
      </c>
    </row>
    <row r="288" spans="1:4" x14ac:dyDescent="0.2">
      <c r="A288" s="5">
        <v>227</v>
      </c>
      <c r="B288" s="1832">
        <f>'Assets-Liab 5-6'!N41</f>
        <v>3250000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4106132</v>
      </c>
      <c r="D705" s="2" t="str">
        <f t="shared" si="10"/>
        <v>Error?</v>
      </c>
    </row>
    <row r="706" spans="1:4" x14ac:dyDescent="0.2">
      <c r="A706" s="5">
        <v>645</v>
      </c>
      <c r="B706" s="1832">
        <f>'Expenditures 15-22'!C16</f>
        <v>97197</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132387</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69281</v>
      </c>
      <c r="D718" s="2" t="str">
        <f t="shared" si="10"/>
        <v>Error?</v>
      </c>
    </row>
    <row r="719" spans="1:4" x14ac:dyDescent="0.2">
      <c r="A719" s="5">
        <v>658</v>
      </c>
      <c r="B719" s="1832">
        <f>'Expenditures 15-22'!C15</f>
        <v>34926</v>
      </c>
      <c r="D719" s="2" t="str">
        <f t="shared" si="10"/>
        <v>Error?</v>
      </c>
    </row>
    <row r="720" spans="1:4" x14ac:dyDescent="0.2">
      <c r="A720" s="5">
        <v>659</v>
      </c>
      <c r="B720" s="1832">
        <f>'Expenditures 15-22'!C33</f>
        <v>6201882</v>
      </c>
      <c r="C720" s="2" t="s">
        <v>569</v>
      </c>
      <c r="D720" s="2" t="str">
        <f t="shared" si="10"/>
        <v>Error?</v>
      </c>
    </row>
    <row r="721" spans="1:4" x14ac:dyDescent="0.2">
      <c r="A721" s="5">
        <v>660</v>
      </c>
      <c r="B721" s="1832">
        <f>'Expenditures 15-22'!C36</f>
        <v>233364</v>
      </c>
      <c r="D721" s="2" t="str">
        <f t="shared" si="10"/>
        <v>Error?</v>
      </c>
    </row>
    <row r="722" spans="1:4" x14ac:dyDescent="0.2">
      <c r="A722" s="5">
        <v>661</v>
      </c>
      <c r="B722" s="1832">
        <f>'Expenditures 15-22'!C37</f>
        <v>47439</v>
      </c>
      <c r="D722" s="2" t="str">
        <f t="shared" si="10"/>
        <v>Error?</v>
      </c>
    </row>
    <row r="723" spans="1:4" x14ac:dyDescent="0.2">
      <c r="A723" s="5">
        <v>662</v>
      </c>
      <c r="B723" s="1832">
        <f>'Expenditures 15-22'!C38</f>
        <v>210743</v>
      </c>
      <c r="D723" s="2" t="str">
        <f t="shared" si="10"/>
        <v>Error?</v>
      </c>
    </row>
    <row r="724" spans="1:4" x14ac:dyDescent="0.2">
      <c r="A724" s="5">
        <v>663</v>
      </c>
      <c r="B724" s="1832">
        <f>'Expenditures 15-22'!C39</f>
        <v>78738</v>
      </c>
      <c r="D724" s="2" t="str">
        <f t="shared" si="10"/>
        <v>Error?</v>
      </c>
    </row>
    <row r="725" spans="1:4" x14ac:dyDescent="0.2">
      <c r="A725" s="5">
        <v>664</v>
      </c>
      <c r="B725" s="1832">
        <f>'Expenditures 15-22'!C40</f>
        <v>291711</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861995</v>
      </c>
      <c r="C727" s="2" t="s">
        <v>569</v>
      </c>
      <c r="D727" s="2" t="str">
        <f t="shared" si="10"/>
        <v>Error?</v>
      </c>
    </row>
    <row r="728" spans="1:4" x14ac:dyDescent="0.2">
      <c r="A728" s="5">
        <v>667</v>
      </c>
      <c r="B728" s="1832">
        <f>'Expenditures 15-22'!C44</f>
        <v>246701</v>
      </c>
      <c r="D728" s="2" t="str">
        <f t="shared" si="10"/>
        <v>Error?</v>
      </c>
    </row>
    <row r="729" spans="1:4" x14ac:dyDescent="0.2">
      <c r="A729" s="5">
        <v>668</v>
      </c>
      <c r="B729" s="1832">
        <f>'Expenditures 15-22'!C45</f>
        <v>277940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524641</v>
      </c>
      <c r="C731" s="2" t="s">
        <v>569</v>
      </c>
      <c r="D731" s="2" t="str">
        <f t="shared" si="10"/>
        <v>Error?</v>
      </c>
    </row>
    <row r="732" spans="1:4" x14ac:dyDescent="0.2">
      <c r="A732" s="5">
        <v>671</v>
      </c>
      <c r="B732" s="1832">
        <f>'Expenditures 15-22'!C49</f>
        <v>3000</v>
      </c>
      <c r="D732" s="2" t="str">
        <f t="shared" si="10"/>
        <v>Error?</v>
      </c>
    </row>
    <row r="733" spans="1:4" x14ac:dyDescent="0.2">
      <c r="A733" s="5">
        <v>672</v>
      </c>
      <c r="B733" s="1832">
        <f>'Expenditures 15-22'!C50</f>
        <v>269208</v>
      </c>
      <c r="D733" s="2" t="str">
        <f t="shared" si="10"/>
        <v>Error?</v>
      </c>
    </row>
    <row r="734" spans="1:4" x14ac:dyDescent="0.2">
      <c r="A734" s="5">
        <v>673</v>
      </c>
      <c r="B734" s="1832">
        <f>'Expenditures 15-22'!C53</f>
        <v>272208</v>
      </c>
      <c r="C734" s="2" t="s">
        <v>569</v>
      </c>
      <c r="D734" s="2" t="str">
        <f t="shared" si="10"/>
        <v>Error?</v>
      </c>
    </row>
    <row r="735" spans="1:4" x14ac:dyDescent="0.2">
      <c r="A735" s="5">
        <v>674</v>
      </c>
      <c r="B735" s="1832">
        <f>'Expenditures 15-22'!C55</f>
        <v>436938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436938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199502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91452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290954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2201</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3000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5201</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2391937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8593819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545139</v>
      </c>
      <c r="D763" s="2" t="str">
        <f t="shared" si="10"/>
        <v>Error?</v>
      </c>
    </row>
    <row r="764" spans="1:4" x14ac:dyDescent="0.2">
      <c r="A764" s="5">
        <v>703</v>
      </c>
      <c r="B764" s="1832">
        <f>'Expenditures 15-22'!D16</f>
        <v>17377</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23171</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817</v>
      </c>
      <c r="D776" s="2" t="str">
        <f t="shared" si="11"/>
        <v>Error?</v>
      </c>
    </row>
    <row r="777" spans="1:4" x14ac:dyDescent="0.2">
      <c r="A777" s="5">
        <v>716</v>
      </c>
      <c r="B777" s="1832">
        <f>'Expenditures 15-22'!D15</f>
        <v>988</v>
      </c>
      <c r="D777" s="2" t="str">
        <f t="shared" si="11"/>
        <v>Error?</v>
      </c>
    </row>
    <row r="778" spans="1:4" x14ac:dyDescent="0.2">
      <c r="A778" s="5">
        <v>717</v>
      </c>
      <c r="B778" s="1832">
        <f>'Expenditures 15-22'!D33</f>
        <v>887963</v>
      </c>
      <c r="C778" s="2" t="s">
        <v>569</v>
      </c>
      <c r="D778" s="2" t="str">
        <f t="shared" si="11"/>
        <v>Error?</v>
      </c>
    </row>
    <row r="779" spans="1:4" x14ac:dyDescent="0.2">
      <c r="A779" s="5">
        <v>718</v>
      </c>
      <c r="B779" s="1832">
        <f>'Expenditures 15-22'!D36</f>
        <v>21145</v>
      </c>
      <c r="D779" s="2" t="str">
        <f t="shared" si="11"/>
        <v>Error?</v>
      </c>
    </row>
    <row r="780" spans="1:4" x14ac:dyDescent="0.2">
      <c r="A780" s="5">
        <v>719</v>
      </c>
      <c r="B780" s="1832">
        <f>'Expenditures 15-22'!D37</f>
        <v>9534</v>
      </c>
      <c r="D780" s="2" t="str">
        <f t="shared" si="11"/>
        <v>Error?</v>
      </c>
    </row>
    <row r="781" spans="1:4" x14ac:dyDescent="0.2">
      <c r="A781" s="5">
        <v>720</v>
      </c>
      <c r="B781" s="1832">
        <f>'Expenditures 15-22'!D38</f>
        <v>16939</v>
      </c>
      <c r="D781" s="2" t="str">
        <f t="shared" si="11"/>
        <v>Error?</v>
      </c>
    </row>
    <row r="782" spans="1:4" x14ac:dyDescent="0.2">
      <c r="A782" s="5">
        <v>721</v>
      </c>
      <c r="B782" s="1832">
        <f>'Expenditures 15-22'!D39</f>
        <v>1193</v>
      </c>
      <c r="D782" s="2" t="str">
        <f t="shared" si="11"/>
        <v>Error?</v>
      </c>
    </row>
    <row r="783" spans="1:4" x14ac:dyDescent="0.2">
      <c r="A783" s="5">
        <v>722</v>
      </c>
      <c r="B783" s="1832">
        <f>'Expenditures 15-22'!D40</f>
        <v>44931</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93742</v>
      </c>
      <c r="C785" s="2" t="s">
        <v>569</v>
      </c>
      <c r="D785" s="2" t="str">
        <f t="shared" si="11"/>
        <v>Error?</v>
      </c>
    </row>
    <row r="786" spans="1:4" x14ac:dyDescent="0.2">
      <c r="A786" s="5">
        <v>725</v>
      </c>
      <c r="B786" s="1832">
        <f>'Expenditures 15-22'!D44</f>
        <v>39465</v>
      </c>
      <c r="D786" s="2" t="str">
        <f t="shared" si="11"/>
        <v>Error?</v>
      </c>
    </row>
    <row r="787" spans="1:4" x14ac:dyDescent="0.2">
      <c r="A787" s="5">
        <v>726</v>
      </c>
      <c r="B787" s="1832">
        <f>'Expenditures 15-22'!D45</f>
        <v>26062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65527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78993</v>
      </c>
      <c r="D791" s="2" t="str">
        <f t="shared" si="11"/>
        <v>Error?</v>
      </c>
    </row>
    <row r="792" spans="1:4" x14ac:dyDescent="0.2">
      <c r="A792" s="5">
        <v>731</v>
      </c>
      <c r="B792" s="1832">
        <f>'Expenditures 15-22'!D53</f>
        <v>78993</v>
      </c>
      <c r="C792" s="2" t="s">
        <v>569</v>
      </c>
      <c r="D792" s="2" t="str">
        <f t="shared" si="11"/>
        <v>Error?</v>
      </c>
    </row>
    <row r="793" spans="1:4" x14ac:dyDescent="0.2">
      <c r="A793" s="5">
        <v>732</v>
      </c>
      <c r="B793" s="1832">
        <f>'Expenditures 15-22'!D55</f>
        <v>124539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124539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26578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9428</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36006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14</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14</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398821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1286784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2277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107</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180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329116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25</v>
      </c>
      <c r="C843" s="2" t="s">
        <v>569</v>
      </c>
      <c r="D843" s="2" t="str">
        <f t="shared" si="12"/>
        <v>Error?</v>
      </c>
    </row>
    <row r="844" spans="1:4" x14ac:dyDescent="0.2">
      <c r="A844" s="5">
        <v>783</v>
      </c>
      <c r="B844" s="1832">
        <f>'Expenditures 15-22'!E44</f>
        <v>39940</v>
      </c>
      <c r="D844" s="2" t="str">
        <f t="shared" si="12"/>
        <v>Error?</v>
      </c>
    </row>
    <row r="845" spans="1:4" x14ac:dyDescent="0.2">
      <c r="A845" s="5">
        <v>784</v>
      </c>
      <c r="B845" s="1832">
        <f>'Expenditures 15-22'!E45</f>
        <v>174827</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214767</v>
      </c>
      <c r="C847" s="2" t="s">
        <v>569</v>
      </c>
      <c r="D847" s="2" t="str">
        <f t="shared" si="12"/>
        <v>Error?</v>
      </c>
    </row>
    <row r="848" spans="1:4" x14ac:dyDescent="0.2">
      <c r="A848" s="5">
        <v>787</v>
      </c>
      <c r="B848" s="1832">
        <f>'Expenditures 15-22'!E49</f>
        <v>69383</v>
      </c>
      <c r="D848" s="2" t="str">
        <f t="shared" si="12"/>
        <v>Error?</v>
      </c>
    </row>
    <row r="849" spans="1:4" x14ac:dyDescent="0.2">
      <c r="A849" s="5">
        <v>788</v>
      </c>
      <c r="B849" s="1832">
        <f>'Expenditures 15-22'!E50</f>
        <v>5379</v>
      </c>
      <c r="D849" s="2" t="str">
        <f t="shared" si="12"/>
        <v>Error?</v>
      </c>
    </row>
    <row r="850" spans="1:4" x14ac:dyDescent="0.2">
      <c r="A850" s="5">
        <v>789</v>
      </c>
      <c r="B850" s="1832">
        <f>'Expenditures 15-22'!E53</f>
        <v>74762</v>
      </c>
      <c r="C850" s="2" t="s">
        <v>569</v>
      </c>
      <c r="D850" s="2" t="str">
        <f t="shared" si="12"/>
        <v>Error?</v>
      </c>
    </row>
    <row r="851" spans="1:4" x14ac:dyDescent="0.2">
      <c r="A851" s="5">
        <v>790</v>
      </c>
      <c r="B851" s="1832">
        <f>'Expenditures 15-22'!E55</f>
        <v>1143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1143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15542</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20083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35625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11826</v>
      </c>
      <c r="D865" s="2" t="str">
        <f t="shared" si="12"/>
        <v>Error?</v>
      </c>
    </row>
    <row r="866" spans="1:4" x14ac:dyDescent="0.2">
      <c r="A866" s="10">
        <v>805</v>
      </c>
      <c r="B866" s="1832"/>
      <c r="D866" s="2" t="str">
        <f t="shared" si="12"/>
        <v>OK</v>
      </c>
    </row>
    <row r="867" spans="1:4" x14ac:dyDescent="0.2">
      <c r="A867" s="5">
        <v>806</v>
      </c>
      <c r="B867" s="1832">
        <f>'Expenditures 15-22'!E71</f>
        <v>5396</v>
      </c>
      <c r="D867" s="2" t="str">
        <f t="shared" si="12"/>
        <v>Error?</v>
      </c>
    </row>
    <row r="868" spans="1:4" x14ac:dyDescent="0.2">
      <c r="A868" s="10">
        <v>807</v>
      </c>
      <c r="B868" s="1832"/>
      <c r="D868" s="2" t="str">
        <f t="shared" si="12"/>
        <v>OK</v>
      </c>
    </row>
    <row r="869" spans="1:4" x14ac:dyDescent="0.2">
      <c r="A869" s="5">
        <v>808</v>
      </c>
      <c r="B869" s="1832">
        <f>'Expenditures 15-22'!E72</f>
        <v>17222</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343544</v>
      </c>
      <c r="C871" s="2" t="s">
        <v>569</v>
      </c>
      <c r="D871" s="2" t="str">
        <f t="shared" si="12"/>
        <v>Error?</v>
      </c>
    </row>
    <row r="872" spans="1:4" x14ac:dyDescent="0.2">
      <c r="A872" s="5">
        <v>811</v>
      </c>
      <c r="B872" s="1832">
        <f>'Expenditures 15-22'!E75</f>
        <v>650</v>
      </c>
      <c r="D872" s="2" t="str">
        <f t="shared" si="12"/>
        <v>Error?</v>
      </c>
    </row>
    <row r="873" spans="1:4" x14ac:dyDescent="0.2">
      <c r="A873" s="5">
        <v>812</v>
      </c>
      <c r="B873" s="1832">
        <f>'Expenditures 15-22'!E114</f>
        <v>673310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170916</v>
      </c>
      <c r="D879" s="2" t="str">
        <f t="shared" si="12"/>
        <v>Error?</v>
      </c>
    </row>
    <row r="880" spans="1:4" x14ac:dyDescent="0.2">
      <c r="A880" s="5">
        <v>819</v>
      </c>
      <c r="B880" s="1832">
        <f>'Expenditures 15-22'!F16</f>
        <v>65</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199</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8442</v>
      </c>
      <c r="D892" s="2" t="str">
        <f t="shared" si="12"/>
        <v>Error?</v>
      </c>
    </row>
    <row r="893" spans="1:4" x14ac:dyDescent="0.2">
      <c r="A893" s="5">
        <v>832</v>
      </c>
      <c r="B893" s="1832">
        <f>'Expenditures 15-22'!F15</f>
        <v>-59</v>
      </c>
      <c r="D893" s="2" t="str">
        <f t="shared" si="12"/>
        <v>Error?</v>
      </c>
    </row>
    <row r="894" spans="1:4" x14ac:dyDescent="0.2">
      <c r="A894" s="5">
        <v>833</v>
      </c>
      <c r="B894" s="1832">
        <f>'Expenditures 15-22'!F33</f>
        <v>211520</v>
      </c>
      <c r="C894" s="2" t="s">
        <v>569</v>
      </c>
      <c r="D894" s="2" t="str">
        <f t="shared" si="12"/>
        <v>Error?</v>
      </c>
    </row>
    <row r="895" spans="1:4" x14ac:dyDescent="0.2">
      <c r="A895" s="5">
        <v>834</v>
      </c>
      <c r="B895" s="1832">
        <f>'Expenditures 15-22'!F36</f>
        <v>28388</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3603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364</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32355</v>
      </c>
      <c r="C901" s="2" t="s">
        <v>569</v>
      </c>
      <c r="D901" s="2" t="str">
        <f t="shared" si="13"/>
        <v>Error?</v>
      </c>
    </row>
    <row r="902" spans="1:4" x14ac:dyDescent="0.2">
      <c r="A902" s="5">
        <v>841</v>
      </c>
      <c r="B902" s="1832">
        <f>'Expenditures 15-22'!F44</f>
        <v>2981</v>
      </c>
      <c r="D902" s="2" t="str">
        <f t="shared" si="13"/>
        <v>Error?</v>
      </c>
    </row>
    <row r="903" spans="1:4" x14ac:dyDescent="0.2">
      <c r="A903" s="5">
        <v>842</v>
      </c>
      <c r="B903" s="1832">
        <f>'Expenditures 15-22'!F45</f>
        <v>94835</v>
      </c>
      <c r="D903" s="2" t="str">
        <f t="shared" si="13"/>
        <v>Error?</v>
      </c>
    </row>
    <row r="904" spans="1:4" x14ac:dyDescent="0.2">
      <c r="A904" s="5">
        <v>843</v>
      </c>
      <c r="B904" s="1832">
        <f>'Expenditures 15-22'!F46</f>
        <v>13703</v>
      </c>
      <c r="D904" s="2" t="str">
        <f t="shared" si="13"/>
        <v>Error?</v>
      </c>
    </row>
    <row r="905" spans="1:4" x14ac:dyDescent="0.2">
      <c r="A905" s="5">
        <v>844</v>
      </c>
      <c r="B905" s="1832">
        <f>'Expenditures 15-22'!F47</f>
        <v>111519</v>
      </c>
      <c r="C905" s="2" t="s">
        <v>569</v>
      </c>
      <c r="D905" s="2" t="str">
        <f t="shared" si="13"/>
        <v>Error?</v>
      </c>
    </row>
    <row r="906" spans="1:4" x14ac:dyDescent="0.2">
      <c r="A906" s="5">
        <v>845</v>
      </c>
      <c r="B906" s="1832">
        <f>'Expenditures 15-22'!F49</f>
        <v>4419</v>
      </c>
      <c r="D906" s="2" t="str">
        <f t="shared" si="13"/>
        <v>Error?</v>
      </c>
    </row>
    <row r="907" spans="1:4" x14ac:dyDescent="0.2">
      <c r="A907" s="5">
        <v>846</v>
      </c>
      <c r="B907" s="1832">
        <f>'Expenditures 15-22'!F50</f>
        <v>2585</v>
      </c>
      <c r="D907" s="2" t="str">
        <f t="shared" si="13"/>
        <v>Error?</v>
      </c>
    </row>
    <row r="908" spans="1:4" x14ac:dyDescent="0.2">
      <c r="A908" s="5">
        <v>847</v>
      </c>
      <c r="B908" s="1832">
        <f>'Expenditures 15-22'!F53</f>
        <v>7004</v>
      </c>
      <c r="C908" s="2" t="s">
        <v>569</v>
      </c>
      <c r="D908" s="2" t="str">
        <f t="shared" si="13"/>
        <v>Error?</v>
      </c>
    </row>
    <row r="909" spans="1:4" x14ac:dyDescent="0.2">
      <c r="A909" s="5">
        <v>848</v>
      </c>
      <c r="B909" s="1832">
        <f>'Expenditures 15-22'!F55</f>
        <v>957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957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1998</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115243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117241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224</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224</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269300</v>
      </c>
      <c r="C929" s="2" t="s">
        <v>569</v>
      </c>
      <c r="D929" s="2" t="str">
        <f t="shared" si="13"/>
        <v>Error?</v>
      </c>
    </row>
    <row r="930" spans="1:4" x14ac:dyDescent="0.2">
      <c r="A930" s="5">
        <v>869</v>
      </c>
      <c r="B930" s="1832">
        <f>'Expenditures 15-22'!F75</f>
        <v>800</v>
      </c>
      <c r="D930" s="2" t="str">
        <f t="shared" si="13"/>
        <v>Error?</v>
      </c>
    </row>
    <row r="931" spans="1:4" x14ac:dyDescent="0.2">
      <c r="A931" s="5">
        <v>870</v>
      </c>
      <c r="B931" s="1832">
        <f>'Expenditures 15-22'!F114</f>
        <v>481620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17884</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1773</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20736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226</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226</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384228</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384228</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407</v>
      </c>
      <c r="D965" s="2" t="str">
        <f t="shared" si="14"/>
        <v>Error?</v>
      </c>
    </row>
    <row r="966" spans="1:4" x14ac:dyDescent="0.2">
      <c r="A966" s="5">
        <v>905</v>
      </c>
      <c r="B966" s="1832">
        <f>'Expenditures 15-22'!G53</f>
        <v>407</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3032</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3032</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387893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408629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420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10988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11408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544</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544</v>
      </c>
      <c r="C1021" s="2" t="s">
        <v>569</v>
      </c>
      <c r="D1021" s="2" t="str">
        <f t="shared" si="14"/>
        <v>Error?</v>
      </c>
    </row>
    <row r="1022" spans="1:4" x14ac:dyDescent="0.2">
      <c r="A1022" s="5">
        <v>961</v>
      </c>
      <c r="B1022" s="1832">
        <f>'Expenditures 15-22'!H49</f>
        <v>7550</v>
      </c>
      <c r="D1022" s="2" t="str">
        <f t="shared" si="14"/>
        <v>Error?</v>
      </c>
    </row>
    <row r="1023" spans="1:4" x14ac:dyDescent="0.2">
      <c r="A1023" s="5">
        <v>962</v>
      </c>
      <c r="B1023" s="1832">
        <f>'Expenditures 15-22'!H50</f>
        <v>2534</v>
      </c>
      <c r="D1023" s="2" t="str">
        <f t="shared" ref="D1023:D1086" si="15">IF(ISBLANK(B1023),"OK",IF(A1023-B1023=0,"OK","Error?"))</f>
        <v>Error?</v>
      </c>
    </row>
    <row r="1024" spans="1:4" x14ac:dyDescent="0.2">
      <c r="A1024" s="5">
        <v>963</v>
      </c>
      <c r="B1024" s="1832">
        <f>'Expenditures 15-22'!H53</f>
        <v>10084</v>
      </c>
      <c r="C1024" s="2" t="s">
        <v>569</v>
      </c>
      <c r="D1024" s="2" t="str">
        <f t="shared" si="15"/>
        <v>Error?</v>
      </c>
    </row>
    <row r="1025" spans="1:4" x14ac:dyDescent="0.2">
      <c r="A1025" s="5">
        <v>964</v>
      </c>
      <c r="B1025" s="1832">
        <f>'Expenditures 15-22'!H55</f>
        <v>1211</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1211</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3809</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3809</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988</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30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1018</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16666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396988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425062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4842768</v>
      </c>
      <c r="C1093" s="2" t="s">
        <v>569</v>
      </c>
      <c r="D1093" s="2" t="str">
        <f t="shared" si="16"/>
        <v>Error?</v>
      </c>
    </row>
    <row r="1094" spans="1:4" x14ac:dyDescent="0.2">
      <c r="A1094" s="5">
        <v>1033</v>
      </c>
      <c r="B1094" s="1832">
        <f>'Expenditures 15-22'!K16</f>
        <v>114639</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155864</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91481</v>
      </c>
      <c r="C1106" s="2" t="s">
        <v>569</v>
      </c>
      <c r="D1106" s="2" t="str">
        <f t="shared" si="16"/>
        <v>Error?</v>
      </c>
    </row>
    <row r="1107" spans="1:4" x14ac:dyDescent="0.2">
      <c r="A1107" s="5">
        <v>1046</v>
      </c>
      <c r="B1107" s="1832">
        <f>'Expenditures 15-22'!K15</f>
        <v>35855</v>
      </c>
      <c r="C1107" s="2" t="s">
        <v>569</v>
      </c>
      <c r="D1107" s="2" t="str">
        <f t="shared" si="16"/>
        <v>Error?</v>
      </c>
    </row>
    <row r="1108" spans="1:4" x14ac:dyDescent="0.2">
      <c r="A1108" s="5">
        <v>1047</v>
      </c>
      <c r="B1108" s="1832">
        <f>'Expenditures 15-22'!K33</f>
        <v>7662625</v>
      </c>
      <c r="C1108" s="2" t="s">
        <v>569</v>
      </c>
      <c r="D1108" s="2" t="str">
        <f t="shared" si="16"/>
        <v>Error?</v>
      </c>
    </row>
    <row r="1109" spans="1:4" x14ac:dyDescent="0.2">
      <c r="A1109" s="5">
        <v>1048</v>
      </c>
      <c r="B1109" s="1832">
        <f>'Expenditures 15-22'!K36</f>
        <v>282897</v>
      </c>
      <c r="C1109" s="2" t="s">
        <v>569</v>
      </c>
      <c r="D1109" s="2" t="str">
        <f t="shared" si="16"/>
        <v>Error?</v>
      </c>
    </row>
    <row r="1110" spans="1:4" x14ac:dyDescent="0.2">
      <c r="A1110" s="5">
        <v>1049</v>
      </c>
      <c r="B1110" s="1832">
        <f>'Expenditures 15-22'!K37</f>
        <v>56973</v>
      </c>
      <c r="C1110" s="2" t="s">
        <v>569</v>
      </c>
      <c r="D1110" s="2" t="str">
        <f t="shared" si="16"/>
        <v>Error?</v>
      </c>
    </row>
    <row r="1111" spans="1:4" x14ac:dyDescent="0.2">
      <c r="A1111" s="5">
        <v>1050</v>
      </c>
      <c r="B1111" s="1832">
        <f>'Expenditures 15-22'!K38</f>
        <v>231536</v>
      </c>
      <c r="C1111" s="2" t="s">
        <v>569</v>
      </c>
      <c r="D1111" s="2" t="str">
        <f t="shared" si="16"/>
        <v>Error?</v>
      </c>
    </row>
    <row r="1112" spans="1:4" x14ac:dyDescent="0.2">
      <c r="A1112" s="5">
        <v>1051</v>
      </c>
      <c r="B1112" s="1832">
        <f>'Expenditures 15-22'!K39</f>
        <v>79931</v>
      </c>
      <c r="C1112" s="2" t="s">
        <v>569</v>
      </c>
      <c r="D1112" s="2" t="str">
        <f t="shared" si="16"/>
        <v>Error?</v>
      </c>
    </row>
    <row r="1113" spans="1:4" x14ac:dyDescent="0.2">
      <c r="A1113" s="5">
        <v>1052</v>
      </c>
      <c r="B1113" s="1832">
        <f>'Expenditures 15-22'!K40</f>
        <v>337006</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988343</v>
      </c>
      <c r="C1115" s="2" t="s">
        <v>569</v>
      </c>
      <c r="D1115" s="2" t="str">
        <f t="shared" si="16"/>
        <v>Error?</v>
      </c>
    </row>
    <row r="1116" spans="1:4" x14ac:dyDescent="0.2">
      <c r="A1116" s="5">
        <v>1055</v>
      </c>
      <c r="B1116" s="1832">
        <f>'Expenditures 15-22'!K44</f>
        <v>329631</v>
      </c>
      <c r="C1116" s="2" t="s">
        <v>569</v>
      </c>
      <c r="D1116" s="2" t="str">
        <f t="shared" si="16"/>
        <v>Error?</v>
      </c>
    </row>
    <row r="1117" spans="1:4" x14ac:dyDescent="0.2">
      <c r="A1117" s="5">
        <v>1056</v>
      </c>
      <c r="B1117" s="1832">
        <f>'Expenditures 15-22'!K45</f>
        <v>957892</v>
      </c>
      <c r="C1117" s="2" t="s">
        <v>569</v>
      </c>
      <c r="D1117" s="2" t="str">
        <f t="shared" si="16"/>
        <v>Error?</v>
      </c>
    </row>
    <row r="1118" spans="1:4" x14ac:dyDescent="0.2">
      <c r="A1118" s="5">
        <v>1057</v>
      </c>
      <c r="B1118" s="1832">
        <f>'Expenditures 15-22'!K46</f>
        <v>13703</v>
      </c>
      <c r="C1118" s="2" t="s">
        <v>569</v>
      </c>
      <c r="D1118" s="2" t="str">
        <f t="shared" si="16"/>
        <v>Error?</v>
      </c>
    </row>
    <row r="1119" spans="1:4" x14ac:dyDescent="0.2">
      <c r="A1119" s="5">
        <v>1058</v>
      </c>
      <c r="B1119" s="1832">
        <f>'Expenditures 15-22'!K47</f>
        <v>1301226</v>
      </c>
      <c r="C1119" s="2" t="s">
        <v>569</v>
      </c>
      <c r="D1119" s="2" t="str">
        <f t="shared" si="16"/>
        <v>Error?</v>
      </c>
    </row>
    <row r="1120" spans="1:4" x14ac:dyDescent="0.2">
      <c r="A1120" s="5">
        <v>1059</v>
      </c>
      <c r="B1120" s="1832">
        <f>'Expenditures 15-22'!K49</f>
        <v>84352</v>
      </c>
      <c r="C1120" s="2" t="s">
        <v>569</v>
      </c>
      <c r="D1120" s="2" t="str">
        <f t="shared" si="16"/>
        <v>Error?</v>
      </c>
    </row>
    <row r="1121" spans="1:4" x14ac:dyDescent="0.2">
      <c r="A1121" s="5">
        <v>1060</v>
      </c>
      <c r="B1121" s="1832">
        <f>'Expenditures 15-22'!K50</f>
        <v>359106</v>
      </c>
      <c r="C1121" s="2" t="s">
        <v>569</v>
      </c>
      <c r="D1121" s="2" t="str">
        <f t="shared" si="16"/>
        <v>Error?</v>
      </c>
    </row>
    <row r="1122" spans="1:4" x14ac:dyDescent="0.2">
      <c r="A1122" s="5">
        <v>1061</v>
      </c>
      <c r="B1122" s="1832">
        <f>'Expenditures 15-22'!K53</f>
        <v>443458</v>
      </c>
      <c r="C1122" s="2" t="s">
        <v>569</v>
      </c>
      <c r="D1122" s="2" t="str">
        <f t="shared" si="16"/>
        <v>Error?</v>
      </c>
    </row>
    <row r="1123" spans="1:4" x14ac:dyDescent="0.2">
      <c r="A1123" s="5">
        <v>1062</v>
      </c>
      <c r="B1123" s="1832">
        <f>'Expenditures 15-22'!K55</f>
        <v>564788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564788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250461</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236206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486667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3203</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15080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5396</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23679</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3808161</v>
      </c>
      <c r="C1143" s="2" t="s">
        <v>569</v>
      </c>
      <c r="D1143" s="2" t="str">
        <f t="shared" si="16"/>
        <v>Error?</v>
      </c>
    </row>
    <row r="1144" spans="1:4" x14ac:dyDescent="0.2">
      <c r="A1144" s="5">
        <v>1083</v>
      </c>
      <c r="B1144" s="1832">
        <f>'Expenditures 15-22'!K75</f>
        <v>1450</v>
      </c>
      <c r="C1144" s="2" t="s">
        <v>569</v>
      </c>
      <c r="D1144" s="2" t="str">
        <f t="shared" si="16"/>
        <v>Error?</v>
      </c>
    </row>
    <row r="1145" spans="1:4" x14ac:dyDescent="0.2">
      <c r="A1145" s="5">
        <v>1084</v>
      </c>
      <c r="B1145" s="1832">
        <f>'Expenditures 15-22'!K102</f>
        <v>396988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11869224</v>
      </c>
      <c r="C1152" s="2" t="s">
        <v>569</v>
      </c>
      <c r="D1152" s="2" t="str">
        <f t="shared" si="17"/>
        <v>Error?</v>
      </c>
    </row>
    <row r="1153" spans="1:4" x14ac:dyDescent="0.2">
      <c r="A1153" s="5">
        <v>1092</v>
      </c>
      <c r="B1153" s="1832">
        <f>'Expenditures 15-22'!K115</f>
        <v>406686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310051</v>
      </c>
      <c r="D1221" s="2" t="str">
        <f t="shared" si="18"/>
        <v>Error?</v>
      </c>
    </row>
    <row r="1222" spans="1:4" x14ac:dyDescent="0.2">
      <c r="A1222" s="10">
        <v>1161</v>
      </c>
      <c r="B1222" s="1832"/>
      <c r="D1222" s="2" t="str">
        <f t="shared" si="18"/>
        <v>OK</v>
      </c>
    </row>
    <row r="1223" spans="1:4" x14ac:dyDescent="0.2">
      <c r="A1223" s="5">
        <v>1162</v>
      </c>
      <c r="B1223" s="1832">
        <f>'Expenditures 15-22'!C127</f>
        <v>310051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310051</v>
      </c>
      <c r="C1225" s="2" t="s">
        <v>569</v>
      </c>
      <c r="D1225" s="2" t="str">
        <f t="shared" si="18"/>
        <v>Error?</v>
      </c>
    </row>
    <row r="1226" spans="1:4" x14ac:dyDescent="0.2">
      <c r="A1226" s="5">
        <v>1165</v>
      </c>
      <c r="B1226" s="1832">
        <f>'Expenditures 15-22'!C151</f>
        <v>310051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67388</v>
      </c>
      <c r="D1229" s="2" t="str">
        <f t="shared" si="18"/>
        <v>Error?</v>
      </c>
    </row>
    <row r="1230" spans="1:4" x14ac:dyDescent="0.2">
      <c r="A1230" s="10">
        <v>1169</v>
      </c>
      <c r="B1230" s="1832"/>
      <c r="D1230" s="2" t="str">
        <f t="shared" si="18"/>
        <v>OK</v>
      </c>
    </row>
    <row r="1231" spans="1:4" x14ac:dyDescent="0.2">
      <c r="A1231" s="5">
        <v>1170</v>
      </c>
      <c r="B1231" s="1832">
        <f>'Expenditures 15-22'!D127</f>
        <v>67388</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67388</v>
      </c>
      <c r="C1233" s="2" t="s">
        <v>569</v>
      </c>
      <c r="D1233" s="2" t="str">
        <f t="shared" si="18"/>
        <v>Error?</v>
      </c>
    </row>
    <row r="1234" spans="1:4" x14ac:dyDescent="0.2">
      <c r="A1234" s="5">
        <v>1173</v>
      </c>
      <c r="B1234" s="1832">
        <f>'Expenditures 15-22'!D151</f>
        <v>67388</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143123</v>
      </c>
      <c r="D1236" s="2" t="str">
        <f t="shared" si="18"/>
        <v>Error?</v>
      </c>
    </row>
    <row r="1237" spans="1:4" x14ac:dyDescent="0.2">
      <c r="A1237" s="5">
        <v>1176</v>
      </c>
      <c r="B1237" s="1832">
        <f>'Expenditures 15-22'!E124</f>
        <v>207076</v>
      </c>
      <c r="D1237" s="2" t="str">
        <f t="shared" si="18"/>
        <v>Error?</v>
      </c>
    </row>
    <row r="1238" spans="1:4" x14ac:dyDescent="0.2">
      <c r="A1238" s="10">
        <v>1177</v>
      </c>
      <c r="B1238" s="1832"/>
      <c r="D1238" s="2" t="str">
        <f t="shared" si="18"/>
        <v>OK</v>
      </c>
    </row>
    <row r="1239" spans="1:4" x14ac:dyDescent="0.2">
      <c r="A1239" s="5">
        <v>1178</v>
      </c>
      <c r="B1239" s="1832">
        <f>'Expenditures 15-22'!E127</f>
        <v>350199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350199</v>
      </c>
      <c r="C1241" s="2" t="s">
        <v>569</v>
      </c>
      <c r="D1241" s="2" t="str">
        <f t="shared" si="18"/>
        <v>Error?</v>
      </c>
    </row>
    <row r="1242" spans="1:4" x14ac:dyDescent="0.2">
      <c r="A1242" s="5">
        <v>1181</v>
      </c>
      <c r="B1242" s="1832">
        <f>'Expenditures 15-22'!E151</f>
        <v>350199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201506</v>
      </c>
      <c r="D1245" s="2" t="str">
        <f t="shared" si="18"/>
        <v>Error?</v>
      </c>
    </row>
    <row r="1246" spans="1:4" x14ac:dyDescent="0.2">
      <c r="A1246" s="10">
        <v>1185</v>
      </c>
      <c r="B1246" s="1832"/>
      <c r="D1246" s="2" t="str">
        <f t="shared" si="18"/>
        <v>OK</v>
      </c>
    </row>
    <row r="1247" spans="1:4" x14ac:dyDescent="0.2">
      <c r="A1247" s="5">
        <v>1186</v>
      </c>
      <c r="B1247" s="1832">
        <f>'Expenditures 15-22'!F127</f>
        <v>201506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201506</v>
      </c>
      <c r="C1249" s="2" t="s">
        <v>569</v>
      </c>
      <c r="D1249" s="2" t="str">
        <f t="shared" si="18"/>
        <v>Error?</v>
      </c>
    </row>
    <row r="1250" spans="1:4" x14ac:dyDescent="0.2">
      <c r="A1250" s="5">
        <v>1189</v>
      </c>
      <c r="B1250" s="1832">
        <f>'Expenditures 15-22'!F151</f>
        <v>201506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252761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252761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252761</v>
      </c>
      <c r="C1258" s="2" t="s">
        <v>569</v>
      </c>
      <c r="D1258" s="2" t="str">
        <f t="shared" si="18"/>
        <v>Error?</v>
      </c>
    </row>
    <row r="1259" spans="1:4" x14ac:dyDescent="0.2">
      <c r="A1259" s="5">
        <v>1198</v>
      </c>
      <c r="B1259" s="1832">
        <f>'Expenditures 15-22'!G151</f>
        <v>252761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143123</v>
      </c>
      <c r="C1275" s="2" t="s">
        <v>569</v>
      </c>
      <c r="D1275" s="2" t="str">
        <f t="shared" si="18"/>
        <v>Error?</v>
      </c>
    </row>
    <row r="1276" spans="1:4" x14ac:dyDescent="0.2">
      <c r="A1276" s="5">
        <v>1215</v>
      </c>
      <c r="B1276" s="1832">
        <f>'Expenditures 15-22'!K124</f>
        <v>1038782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1181905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1181905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1181905</v>
      </c>
      <c r="C1288" s="2" t="s">
        <v>569</v>
      </c>
      <c r="D1288" s="2" t="str">
        <f t="shared" si="19"/>
        <v>Error?</v>
      </c>
    </row>
    <row r="1289" spans="1:4" x14ac:dyDescent="0.2">
      <c r="A1289" s="5">
        <v>1228</v>
      </c>
      <c r="B1289" s="1832">
        <f>'Expenditures 15-22'!K152</f>
        <v>137034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113400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1025000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1138400</v>
      </c>
      <c r="C1317" s="2" t="s">
        <v>569</v>
      </c>
      <c r="D1317" s="2" t="str">
        <f t="shared" si="19"/>
        <v>Error?</v>
      </c>
    </row>
    <row r="1318" spans="1:4" x14ac:dyDescent="0.2">
      <c r="A1318" s="5">
        <v>1257</v>
      </c>
      <c r="B1318" s="1832">
        <f>'Expenditures 15-22'!H174</f>
        <v>1138400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113400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1025000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1138400</v>
      </c>
      <c r="C1331" s="2" t="s">
        <v>569</v>
      </c>
      <c r="D1331" s="2" t="str">
        <f t="shared" si="19"/>
        <v>Error?</v>
      </c>
    </row>
    <row r="1332" spans="1:4" x14ac:dyDescent="0.2">
      <c r="A1332" s="5">
        <v>1271</v>
      </c>
      <c r="B1332" s="1832">
        <f>'Expenditures 15-22'!K174</f>
        <v>1138400</v>
      </c>
      <c r="C1332" s="2" t="s">
        <v>569</v>
      </c>
      <c r="D1332" s="2" t="str">
        <f t="shared" si="19"/>
        <v>Error?</v>
      </c>
    </row>
    <row r="1333" spans="1:4" x14ac:dyDescent="0.2">
      <c r="A1333" s="5">
        <v>1272</v>
      </c>
      <c r="B1333" s="1832">
        <f>'Expenditures 15-22'!K175</f>
        <v>24463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197778</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197778</v>
      </c>
      <c r="C1339" s="2" t="s">
        <v>569</v>
      </c>
      <c r="D1339" s="2" t="str">
        <f t="shared" si="19"/>
        <v>Error?</v>
      </c>
    </row>
    <row r="1340" spans="1:4" x14ac:dyDescent="0.2">
      <c r="A1340" s="5">
        <v>1279</v>
      </c>
      <c r="B1340" s="1832">
        <f>'Expenditures 15-22'!C210</f>
        <v>197778</v>
      </c>
      <c r="C1340" s="2" t="s">
        <v>569</v>
      </c>
      <c r="D1340" s="2" t="str">
        <f t="shared" si="19"/>
        <v>Error?</v>
      </c>
    </row>
    <row r="1341" spans="1:4" x14ac:dyDescent="0.2">
      <c r="A1341" s="5">
        <v>1280</v>
      </c>
      <c r="B1341" s="1832">
        <f>'Expenditures 15-22'!D182</f>
        <v>16021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16021</v>
      </c>
      <c r="C1345" s="2" t="s">
        <v>569</v>
      </c>
      <c r="D1345" s="2" t="str">
        <f t="shared" si="20"/>
        <v>Error?</v>
      </c>
    </row>
    <row r="1346" spans="1:4" x14ac:dyDescent="0.2">
      <c r="A1346" s="5">
        <v>1285</v>
      </c>
      <c r="B1346" s="1832">
        <f>'Expenditures 15-22'!D210</f>
        <v>16021</v>
      </c>
      <c r="C1346" s="2" t="s">
        <v>569</v>
      </c>
      <c r="D1346" s="2" t="str">
        <f t="shared" si="20"/>
        <v>Error?</v>
      </c>
    </row>
    <row r="1347" spans="1:4" x14ac:dyDescent="0.2">
      <c r="A1347" s="5">
        <v>1286</v>
      </c>
      <c r="B1347" s="1832">
        <f>'Expenditures 15-22'!E182</f>
        <v>370356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370356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370356</v>
      </c>
      <c r="C1353" s="2" t="s">
        <v>569</v>
      </c>
      <c r="D1353" s="2" t="str">
        <f t="shared" si="20"/>
        <v>Error?</v>
      </c>
    </row>
    <row r="1354" spans="1:4" x14ac:dyDescent="0.2">
      <c r="A1354" s="5">
        <v>1293</v>
      </c>
      <c r="B1354" s="1832">
        <f>'Expenditures 15-22'!F182</f>
        <v>30075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30075</v>
      </c>
      <c r="C1358" s="2" t="s">
        <v>569</v>
      </c>
      <c r="D1358" s="2" t="str">
        <f t="shared" si="20"/>
        <v>Error?</v>
      </c>
    </row>
    <row r="1359" spans="1:4" x14ac:dyDescent="0.2">
      <c r="A1359" s="5">
        <v>1298</v>
      </c>
      <c r="B1359" s="1832">
        <f>'Expenditures 15-22'!F210</f>
        <v>30075</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614230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614230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614230</v>
      </c>
      <c r="C1388" s="2" t="s">
        <v>569</v>
      </c>
      <c r="D1388" s="2" t="str">
        <f t="shared" si="20"/>
        <v>Error?</v>
      </c>
    </row>
    <row r="1389" spans="1:4" x14ac:dyDescent="0.2">
      <c r="A1389" s="5">
        <v>1328</v>
      </c>
      <c r="B1389" s="1832">
        <f>'Expenditures 15-22'!K211</f>
        <v>107011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1295</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1791</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2652</v>
      </c>
      <c r="D1408" s="2" t="str">
        <f t="shared" si="21"/>
        <v>Error?</v>
      </c>
    </row>
    <row r="1409" spans="1:4" x14ac:dyDescent="0.2">
      <c r="A1409" s="5">
        <v>1348</v>
      </c>
      <c r="B1409" s="1832">
        <f>'Expenditures 15-22'!D224</f>
        <v>1088</v>
      </c>
      <c r="D1409" s="2" t="str">
        <f t="shared" si="21"/>
        <v>Error?</v>
      </c>
    </row>
    <row r="1410" spans="1:4" x14ac:dyDescent="0.2">
      <c r="A1410" s="5">
        <v>1349</v>
      </c>
      <c r="B1410" s="1832">
        <f>'Expenditures 15-22'!D229</f>
        <v>195565</v>
      </c>
      <c r="C1410" s="2" t="s">
        <v>569</v>
      </c>
      <c r="D1410" s="2" t="str">
        <f t="shared" si="21"/>
        <v>Error?</v>
      </c>
    </row>
    <row r="1411" spans="1:4" x14ac:dyDescent="0.2">
      <c r="A1411" s="5">
        <v>1350</v>
      </c>
      <c r="B1411" s="1832">
        <f>'Expenditures 15-22'!D232</f>
        <v>3356</v>
      </c>
      <c r="D1411" s="2" t="str">
        <f t="shared" si="21"/>
        <v>Error?</v>
      </c>
    </row>
    <row r="1412" spans="1:4" x14ac:dyDescent="0.2">
      <c r="A1412" s="5">
        <v>1351</v>
      </c>
      <c r="B1412" s="1832">
        <f>'Expenditures 15-22'!D233</f>
        <v>2817</v>
      </c>
      <c r="D1412" s="2" t="str">
        <f t="shared" si="21"/>
        <v>Error?</v>
      </c>
    </row>
    <row r="1413" spans="1:4" x14ac:dyDescent="0.2">
      <c r="A1413" s="5">
        <v>1352</v>
      </c>
      <c r="B1413" s="1832">
        <f>'Expenditures 15-22'!D234</f>
        <v>37169</v>
      </c>
      <c r="D1413" s="2" t="str">
        <f t="shared" si="21"/>
        <v>Error?</v>
      </c>
    </row>
    <row r="1414" spans="1:4" x14ac:dyDescent="0.2">
      <c r="A1414" s="5">
        <v>1353</v>
      </c>
      <c r="B1414" s="1832">
        <f>'Expenditures 15-22'!D235</f>
        <v>1119</v>
      </c>
      <c r="D1414" s="2" t="str">
        <f t="shared" si="21"/>
        <v>Error?</v>
      </c>
    </row>
    <row r="1415" spans="1:4" x14ac:dyDescent="0.2">
      <c r="A1415" s="5">
        <v>1354</v>
      </c>
      <c r="B1415" s="1832">
        <f>'Expenditures 15-22'!D236</f>
        <v>3853</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48314</v>
      </c>
      <c r="C1417" s="2" t="s">
        <v>569</v>
      </c>
      <c r="D1417" s="2" t="str">
        <f t="shared" si="21"/>
        <v>Error?</v>
      </c>
    </row>
    <row r="1418" spans="1:4" x14ac:dyDescent="0.2">
      <c r="A1418" s="5">
        <v>1357</v>
      </c>
      <c r="B1418" s="1832">
        <f>'Expenditures 15-22'!D240</f>
        <v>1369</v>
      </c>
      <c r="D1418" s="2" t="str">
        <f t="shared" si="21"/>
        <v>Error?</v>
      </c>
    </row>
    <row r="1419" spans="1:4" x14ac:dyDescent="0.2">
      <c r="A1419" s="5">
        <v>1358</v>
      </c>
      <c r="B1419" s="1832">
        <f>'Expenditures 15-22'!D241</f>
        <v>9300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10669</v>
      </c>
      <c r="C1421" s="2" t="s">
        <v>569</v>
      </c>
      <c r="D1421" s="2" t="str">
        <f t="shared" si="21"/>
        <v>Error?</v>
      </c>
    </row>
    <row r="1422" spans="1:4" x14ac:dyDescent="0.2">
      <c r="A1422" s="5">
        <v>1361</v>
      </c>
      <c r="B1422" s="1832">
        <f>'Expenditures 15-22'!D245</f>
        <v>546</v>
      </c>
      <c r="D1422" s="2" t="str">
        <f t="shared" si="21"/>
        <v>Error?</v>
      </c>
    </row>
    <row r="1423" spans="1:4" x14ac:dyDescent="0.2">
      <c r="A1423" s="5">
        <v>1362</v>
      </c>
      <c r="B1423" s="1832">
        <f>'Expenditures 15-22'!D246</f>
        <v>13397</v>
      </c>
      <c r="D1423" s="2" t="str">
        <f t="shared" si="21"/>
        <v>Error?</v>
      </c>
    </row>
    <row r="1424" spans="1:4" x14ac:dyDescent="0.2">
      <c r="A1424" s="5">
        <v>1363</v>
      </c>
      <c r="B1424" s="1832">
        <f>'Expenditures 15-22'!D257</f>
        <v>13943</v>
      </c>
      <c r="C1424" s="2" t="s">
        <v>569</v>
      </c>
      <c r="D1424" s="2" t="str">
        <f t="shared" si="21"/>
        <v>Error?</v>
      </c>
    </row>
    <row r="1425" spans="1:4" x14ac:dyDescent="0.2">
      <c r="A1425" s="5">
        <v>1364</v>
      </c>
      <c r="B1425" s="1832">
        <f>'Expenditures 15-22'!D259</f>
        <v>30640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30640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32160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50678</v>
      </c>
      <c r="D1431" s="2" t="str">
        <f t="shared" si="21"/>
        <v>Error?</v>
      </c>
    </row>
    <row r="1432" spans="1:4" x14ac:dyDescent="0.2">
      <c r="A1432" s="5">
        <v>1371</v>
      </c>
      <c r="B1432" s="1832">
        <f>'Expenditures 15-22'!D267</f>
        <v>32160</v>
      </c>
      <c r="D1432" s="2" t="str">
        <f t="shared" si="21"/>
        <v>Error?</v>
      </c>
    </row>
    <row r="1433" spans="1:4" x14ac:dyDescent="0.2">
      <c r="A1433" s="5">
        <v>1372</v>
      </c>
      <c r="B1433" s="1832">
        <f>'Expenditures 15-22'!D268</f>
        <v>14114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129112</v>
      </c>
      <c r="C1436" s="2" t="s">
        <v>569</v>
      </c>
      <c r="D1436" s="2" t="str">
        <f t="shared" si="21"/>
        <v>Error?</v>
      </c>
    </row>
    <row r="1437" spans="1:4" x14ac:dyDescent="0.2">
      <c r="A1437" s="5">
        <v>1376</v>
      </c>
      <c r="B1437" s="1832">
        <f>'Expenditures 15-22'!D272</f>
        <v>45</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546</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591</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233269</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428834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1295</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1791</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2652</v>
      </c>
      <c r="C1472" s="2" t="s">
        <v>569</v>
      </c>
      <c r="D1472" s="2" t="str">
        <f t="shared" si="22"/>
        <v>Error?</v>
      </c>
    </row>
    <row r="1473" spans="1:4" x14ac:dyDescent="0.2">
      <c r="A1473" s="5">
        <v>1412</v>
      </c>
      <c r="B1473" s="1832">
        <f>'Expenditures 15-22'!K224</f>
        <v>1088</v>
      </c>
      <c r="C1473" s="2" t="s">
        <v>569</v>
      </c>
      <c r="D1473" s="2" t="str">
        <f t="shared" si="22"/>
        <v>Error?</v>
      </c>
    </row>
    <row r="1474" spans="1:4" x14ac:dyDescent="0.2">
      <c r="A1474" s="5">
        <v>1413</v>
      </c>
      <c r="B1474" s="1832">
        <f>'Expenditures 15-22'!K229</f>
        <v>195565</v>
      </c>
      <c r="C1474" s="2" t="s">
        <v>569</v>
      </c>
      <c r="D1474" s="2" t="str">
        <f t="shared" si="22"/>
        <v>Error?</v>
      </c>
    </row>
    <row r="1475" spans="1:4" x14ac:dyDescent="0.2">
      <c r="A1475" s="5">
        <v>1414</v>
      </c>
      <c r="B1475" s="1832">
        <f>'Expenditures 15-22'!K232</f>
        <v>3356</v>
      </c>
      <c r="C1475" s="2" t="s">
        <v>569</v>
      </c>
      <c r="D1475" s="2" t="str">
        <f t="shared" si="22"/>
        <v>Error?</v>
      </c>
    </row>
    <row r="1476" spans="1:4" x14ac:dyDescent="0.2">
      <c r="A1476" s="5">
        <v>1415</v>
      </c>
      <c r="B1476" s="1832">
        <f>'Expenditures 15-22'!K233</f>
        <v>2817</v>
      </c>
      <c r="C1476" s="2" t="s">
        <v>569</v>
      </c>
      <c r="D1476" s="2" t="str">
        <f t="shared" si="22"/>
        <v>Error?</v>
      </c>
    </row>
    <row r="1477" spans="1:4" x14ac:dyDescent="0.2">
      <c r="A1477" s="5">
        <v>1416</v>
      </c>
      <c r="B1477" s="1832">
        <f>'Expenditures 15-22'!K234</f>
        <v>37169</v>
      </c>
      <c r="C1477" s="2" t="s">
        <v>569</v>
      </c>
      <c r="D1477" s="2" t="str">
        <f t="shared" si="22"/>
        <v>Error?</v>
      </c>
    </row>
    <row r="1478" spans="1:4" x14ac:dyDescent="0.2">
      <c r="A1478" s="5">
        <v>1417</v>
      </c>
      <c r="B1478" s="1832">
        <f>'Expenditures 15-22'!K235</f>
        <v>1119</v>
      </c>
      <c r="C1478" s="2" t="s">
        <v>569</v>
      </c>
      <c r="D1478" s="2" t="str">
        <f t="shared" si="22"/>
        <v>Error?</v>
      </c>
    </row>
    <row r="1479" spans="1:4" x14ac:dyDescent="0.2">
      <c r="A1479" s="5">
        <v>1418</v>
      </c>
      <c r="B1479" s="1832">
        <f>'Expenditures 15-22'!K236</f>
        <v>3853</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48314</v>
      </c>
      <c r="C1481" s="2" t="s">
        <v>569</v>
      </c>
      <c r="D1481" s="2" t="str">
        <f t="shared" si="22"/>
        <v>Error?</v>
      </c>
    </row>
    <row r="1482" spans="1:4" x14ac:dyDescent="0.2">
      <c r="A1482" s="5">
        <v>1421</v>
      </c>
      <c r="B1482" s="1832">
        <f>'Expenditures 15-22'!K240</f>
        <v>1369</v>
      </c>
      <c r="C1482" s="2" t="s">
        <v>569</v>
      </c>
      <c r="D1482" s="2" t="str">
        <f t="shared" si="22"/>
        <v>Error?</v>
      </c>
    </row>
    <row r="1483" spans="1:4" x14ac:dyDescent="0.2">
      <c r="A1483" s="5">
        <v>1422</v>
      </c>
      <c r="B1483" s="1832">
        <f>'Expenditures 15-22'!K241</f>
        <v>9300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10669</v>
      </c>
      <c r="C1485" s="2" t="s">
        <v>569</v>
      </c>
      <c r="D1485" s="2" t="str">
        <f t="shared" si="22"/>
        <v>Error?</v>
      </c>
    </row>
    <row r="1486" spans="1:4" x14ac:dyDescent="0.2">
      <c r="A1486" s="5">
        <v>1425</v>
      </c>
      <c r="B1486" s="1832">
        <f>'Expenditures 15-22'!K245</f>
        <v>546</v>
      </c>
      <c r="C1486" s="2" t="s">
        <v>569</v>
      </c>
      <c r="D1486" s="2" t="str">
        <f t="shared" si="22"/>
        <v>Error?</v>
      </c>
    </row>
    <row r="1487" spans="1:4" x14ac:dyDescent="0.2">
      <c r="A1487" s="5">
        <v>1426</v>
      </c>
      <c r="B1487" s="1832">
        <f>'Expenditures 15-22'!K246</f>
        <v>13397</v>
      </c>
      <c r="C1487" s="2" t="s">
        <v>569</v>
      </c>
      <c r="D1487" s="2" t="str">
        <f t="shared" si="22"/>
        <v>Error?</v>
      </c>
    </row>
    <row r="1488" spans="1:4" x14ac:dyDescent="0.2">
      <c r="A1488" s="5">
        <v>1427</v>
      </c>
      <c r="B1488" s="1832">
        <f>'Expenditures 15-22'!K257</f>
        <v>13943</v>
      </c>
      <c r="C1488" s="2" t="s">
        <v>569</v>
      </c>
      <c r="D1488" s="2" t="str">
        <f t="shared" si="22"/>
        <v>Error?</v>
      </c>
    </row>
    <row r="1489" spans="1:4" x14ac:dyDescent="0.2">
      <c r="A1489" s="5">
        <v>1428</v>
      </c>
      <c r="B1489" s="1832">
        <f>'Expenditures 15-22'!K259</f>
        <v>30640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30640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32160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50678</v>
      </c>
      <c r="C1495" s="2" t="s">
        <v>569</v>
      </c>
      <c r="D1495" s="2" t="str">
        <f t="shared" si="22"/>
        <v>Error?</v>
      </c>
    </row>
    <row r="1496" spans="1:4" x14ac:dyDescent="0.2">
      <c r="A1496" s="5">
        <v>1435</v>
      </c>
      <c r="B1496" s="1832">
        <f>'Expenditures 15-22'!K267</f>
        <v>32160</v>
      </c>
      <c r="C1496" s="2" t="s">
        <v>569</v>
      </c>
      <c r="D1496" s="2" t="str">
        <f t="shared" si="22"/>
        <v>Error?</v>
      </c>
    </row>
    <row r="1497" spans="1:4" x14ac:dyDescent="0.2">
      <c r="A1497" s="5">
        <v>1436</v>
      </c>
      <c r="B1497" s="1832">
        <f>'Expenditures 15-22'!K268</f>
        <v>14114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129112</v>
      </c>
      <c r="C1500" s="2" t="s">
        <v>569</v>
      </c>
      <c r="D1500" s="2" t="str">
        <f t="shared" si="22"/>
        <v>Error?</v>
      </c>
    </row>
    <row r="1501" spans="1:4" x14ac:dyDescent="0.2">
      <c r="A1501" s="5">
        <v>1440</v>
      </c>
      <c r="B1501" s="1832">
        <f>'Expenditures 15-22'!K272</f>
        <v>45</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546</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591</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233269</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428834</v>
      </c>
      <c r="C1517" s="2" t="s">
        <v>569</v>
      </c>
      <c r="D1517" s="2" t="str">
        <f t="shared" si="22"/>
        <v>Error?</v>
      </c>
    </row>
    <row r="1518" spans="1:4" x14ac:dyDescent="0.2">
      <c r="A1518" s="5">
        <v>1457</v>
      </c>
      <c r="B1518" s="1832">
        <f>'Expenditures 15-22'!K296</f>
        <v>44526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10498129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10904815</v>
      </c>
      <c r="C1630" s="2" t="s">
        <v>569</v>
      </c>
      <c r="D1630" s="2" t="str">
        <f t="shared" si="24"/>
        <v>Error?</v>
      </c>
    </row>
    <row r="1631" spans="1:4" x14ac:dyDescent="0.2">
      <c r="A1631" s="5">
        <v>1570</v>
      </c>
      <c r="B1631" s="1832">
        <f>'Acct Summary 7-8'!D79</f>
        <v>885322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1022356</v>
      </c>
      <c r="C1644" s="2" t="s">
        <v>569</v>
      </c>
      <c r="D1644" s="2" t="str">
        <f t="shared" si="24"/>
        <v>Error?</v>
      </c>
    </row>
    <row r="1645" spans="1:4" x14ac:dyDescent="0.2">
      <c r="A1645" s="5">
        <v>1584</v>
      </c>
      <c r="B1645" s="1832">
        <f>'Acct Summary 7-8'!E79</f>
        <v>962532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986995</v>
      </c>
      <c r="C1658" s="2" t="s">
        <v>569</v>
      </c>
      <c r="D1658" s="2" t="str">
        <f t="shared" si="24"/>
        <v>Error?</v>
      </c>
    </row>
    <row r="1659" spans="1:4" x14ac:dyDescent="0.2">
      <c r="A1659" s="5">
        <v>1598</v>
      </c>
      <c r="B1659" s="1832">
        <f>'Acct Summary 7-8'!F79</f>
        <v>501485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608496</v>
      </c>
      <c r="C1672" s="2" t="s">
        <v>569</v>
      </c>
      <c r="D1672" s="2" t="str">
        <f t="shared" si="25"/>
        <v>Error?</v>
      </c>
    </row>
    <row r="1673" spans="1:4" x14ac:dyDescent="0.2">
      <c r="A1673" s="5">
        <v>1612</v>
      </c>
      <c r="B1673" s="1832">
        <f>'Acct Summary 7-8'!G79</f>
        <v>487607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532133</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10194760</v>
      </c>
      <c r="C1744" s="2" t="s">
        <v>569</v>
      </c>
      <c r="D1744" s="2" t="str">
        <f t="shared" si="26"/>
        <v>Error?</v>
      </c>
    </row>
    <row r="1745" spans="1:5" x14ac:dyDescent="0.2">
      <c r="A1745" s="5">
        <v>1684</v>
      </c>
      <c r="B1745" s="1832">
        <f>'Tax Sched 23'!B5</f>
        <v>1252765</v>
      </c>
      <c r="C1745" s="2" t="s">
        <v>569</v>
      </c>
      <c r="D1745" s="2" t="str">
        <f t="shared" si="26"/>
        <v>Error?</v>
      </c>
    </row>
    <row r="1746" spans="1:5" x14ac:dyDescent="0.2">
      <c r="A1746" s="5">
        <v>1685</v>
      </c>
      <c r="B1746" s="1832">
        <f>'Tax Sched 23'!B6</f>
        <v>1152116</v>
      </c>
      <c r="C1746" s="2" t="s">
        <v>569</v>
      </c>
      <c r="D1746" s="2" t="str">
        <f t="shared" si="26"/>
        <v>Error?</v>
      </c>
    </row>
    <row r="1747" spans="1:5" x14ac:dyDescent="0.2">
      <c r="A1747" s="5">
        <v>1686</v>
      </c>
      <c r="B1747" s="1832">
        <f>'Tax Sched 23'!B7</f>
        <v>513855</v>
      </c>
      <c r="C1747" s="2" t="s">
        <v>569</v>
      </c>
      <c r="D1747" s="2" t="str">
        <f t="shared" si="26"/>
        <v>Error?</v>
      </c>
    </row>
    <row r="1748" spans="1:5" x14ac:dyDescent="0.2">
      <c r="A1748" s="5">
        <v>1687</v>
      </c>
      <c r="B1748" s="1832">
        <f>'Tax Sched 23'!B8</f>
        <v>222025</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19919</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13577473</v>
      </c>
      <c r="C1759" s="2" t="s">
        <v>569</v>
      </c>
      <c r="D1759" s="2" t="str">
        <f t="shared" si="26"/>
        <v>Error?</v>
      </c>
    </row>
    <row r="1760" spans="1:5" x14ac:dyDescent="0.2">
      <c r="A1760" s="5">
        <v>1699</v>
      </c>
      <c r="B1760" s="1832">
        <f>'Tax Sched 23'!D4</f>
        <v>4852836</v>
      </c>
      <c r="C1760" s="2" t="s">
        <v>569</v>
      </c>
      <c r="D1760" s="2" t="str">
        <f t="shared" si="26"/>
        <v>Error?</v>
      </c>
    </row>
    <row r="1761" spans="1:7" x14ac:dyDescent="0.2">
      <c r="A1761" s="5">
        <v>1700</v>
      </c>
      <c r="B1761" s="1832">
        <f>'Tax Sched 23'!D5</f>
        <v>575727</v>
      </c>
      <c r="C1761" s="2" t="s">
        <v>569</v>
      </c>
      <c r="D1761" s="2" t="str">
        <f t="shared" si="26"/>
        <v>Error?</v>
      </c>
    </row>
    <row r="1762" spans="1:7" s="8" customFormat="1" x14ac:dyDescent="0.2">
      <c r="A1762" s="5">
        <v>1701</v>
      </c>
      <c r="B1762" s="1832">
        <f>'Tax Sched 23'!D6</f>
        <v>554661</v>
      </c>
      <c r="C1762" s="2" t="s">
        <v>569</v>
      </c>
      <c r="D1762" s="2" t="str">
        <f t="shared" si="26"/>
        <v>Error?</v>
      </c>
      <c r="E1762" s="9"/>
      <c r="G1762"/>
    </row>
    <row r="1763" spans="1:7" x14ac:dyDescent="0.2">
      <c r="A1763" s="5">
        <v>1702</v>
      </c>
      <c r="B1763" s="1832">
        <f>'Tax Sched 23'!D7</f>
        <v>237921</v>
      </c>
      <c r="C1763" s="2" t="s">
        <v>569</v>
      </c>
      <c r="D1763" s="2" t="str">
        <f t="shared" si="26"/>
        <v>Error?</v>
      </c>
    </row>
    <row r="1764" spans="1:7" x14ac:dyDescent="0.2">
      <c r="A1764" s="5">
        <v>1703</v>
      </c>
      <c r="B1764" s="1832">
        <f>'Tax Sched 23'!D8</f>
        <v>114051</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4723</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6453978</v>
      </c>
      <c r="C1775" s="2" t="s">
        <v>569</v>
      </c>
      <c r="D1775" s="2" t="str">
        <f t="shared" si="26"/>
        <v>Error?</v>
      </c>
    </row>
    <row r="1776" spans="1:7" x14ac:dyDescent="0.2">
      <c r="A1776" s="5">
        <v>1715</v>
      </c>
      <c r="B1776" s="1832">
        <f>'Tax Sched 23'!C4</f>
        <v>5341924</v>
      </c>
      <c r="D1776" s="2" t="str">
        <f t="shared" si="26"/>
        <v>Error?</v>
      </c>
    </row>
    <row r="1777" spans="1:4" x14ac:dyDescent="0.2">
      <c r="A1777" s="5">
        <v>1716</v>
      </c>
      <c r="B1777" s="1832">
        <f>'Tax Sched 23'!C5</f>
        <v>677038</v>
      </c>
      <c r="D1777" s="2" t="str">
        <f t="shared" si="26"/>
        <v>Error?</v>
      </c>
    </row>
    <row r="1778" spans="1:4" x14ac:dyDescent="0.2">
      <c r="A1778" s="5">
        <v>1717</v>
      </c>
      <c r="B1778" s="1832">
        <f>'Tax Sched 23'!C6</f>
        <v>597455</v>
      </c>
      <c r="D1778" s="2" t="str">
        <f t="shared" si="26"/>
        <v>Error?</v>
      </c>
    </row>
    <row r="1779" spans="1:4" x14ac:dyDescent="0.2">
      <c r="A1779" s="5">
        <v>1718</v>
      </c>
      <c r="B1779" s="1832">
        <f>'Tax Sched 23'!C7</f>
        <v>275934</v>
      </c>
      <c r="D1779" s="2" t="str">
        <f t="shared" si="26"/>
        <v>Error?</v>
      </c>
    </row>
    <row r="1780" spans="1:4" x14ac:dyDescent="0.2">
      <c r="A1780" s="5">
        <v>1719</v>
      </c>
      <c r="B1780" s="1832">
        <f>'Tax Sched 23'!C8</f>
        <v>107974</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15196</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7123495</v>
      </c>
      <c r="C1791" s="2" t="s">
        <v>569</v>
      </c>
      <c r="D1791" s="2" t="str">
        <f t="shared" ref="D1791:D1854" si="27">IF(ISBLANK(B1791),"OK",IF(A1791-B1791=0,"OK","Error?"))</f>
        <v>Error?</v>
      </c>
    </row>
    <row r="1792" spans="1:4" x14ac:dyDescent="0.2">
      <c r="A1792" s="5">
        <v>1731</v>
      </c>
      <c r="B1792" s="1832">
        <f>'Tax Sched 23'!F4</f>
        <v>5065832</v>
      </c>
      <c r="C1792" s="2" t="s">
        <v>569</v>
      </c>
      <c r="D1792" s="2" t="str">
        <f t="shared" si="27"/>
        <v>Error?</v>
      </c>
    </row>
    <row r="1793" spans="1:4" x14ac:dyDescent="0.2">
      <c r="A1793" s="5">
        <v>1732</v>
      </c>
      <c r="B1793" s="1832">
        <f>'Tax Sched 23'!F5</f>
        <v>642047</v>
      </c>
      <c r="C1793" s="2" t="s">
        <v>569</v>
      </c>
      <c r="D1793" s="2" t="str">
        <f t="shared" si="27"/>
        <v>Error?</v>
      </c>
    </row>
    <row r="1794" spans="1:4" x14ac:dyDescent="0.2">
      <c r="A1794" s="5">
        <v>1733</v>
      </c>
      <c r="B1794" s="1832">
        <f>'Tax Sched 23'!F6</f>
        <v>566581</v>
      </c>
      <c r="C1794" s="2" t="s">
        <v>569</v>
      </c>
      <c r="D1794" s="2" t="str">
        <f t="shared" si="27"/>
        <v>Error?</v>
      </c>
    </row>
    <row r="1795" spans="1:4" x14ac:dyDescent="0.2">
      <c r="A1795" s="5">
        <v>1734</v>
      </c>
      <c r="B1795" s="1832">
        <f>'Tax Sched 23'!F7</f>
        <v>261673</v>
      </c>
      <c r="C1795" s="2" t="s">
        <v>569</v>
      </c>
      <c r="D1795" s="2" t="str">
        <f t="shared" si="27"/>
        <v>Error?</v>
      </c>
    </row>
    <row r="1796" spans="1:4" x14ac:dyDescent="0.2">
      <c r="A1796" s="5">
        <v>1735</v>
      </c>
      <c r="B1796" s="1832">
        <f>'Tax Sched 23'!F8</f>
        <v>102394</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14411</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6755332</v>
      </c>
      <c r="C1807" s="2" t="s">
        <v>569</v>
      </c>
      <c r="D1807" s="2" t="str">
        <f t="shared" si="27"/>
        <v>Error?</v>
      </c>
    </row>
    <row r="1808" spans="1:4" x14ac:dyDescent="0.2">
      <c r="A1808" s="5">
        <v>1747</v>
      </c>
      <c r="B1808" s="1832">
        <f>'Tax Sched 23'!E4</f>
        <v>10407756</v>
      </c>
      <c r="D1808" s="2" t="str">
        <f t="shared" si="27"/>
        <v>Error?</v>
      </c>
    </row>
    <row r="1809" spans="1:4" x14ac:dyDescent="0.2">
      <c r="A1809" s="5">
        <v>1748</v>
      </c>
      <c r="B1809" s="1832">
        <f>'Tax Sched 23'!E5</f>
        <v>1319085</v>
      </c>
      <c r="D1809" s="2" t="str">
        <f t="shared" si="27"/>
        <v>Error?</v>
      </c>
    </row>
    <row r="1810" spans="1:4" x14ac:dyDescent="0.2">
      <c r="A1810" s="5">
        <v>1749</v>
      </c>
      <c r="B1810" s="1832">
        <f>'Tax Sched 23'!E6</f>
        <v>1164036</v>
      </c>
      <c r="D1810" s="2" t="str">
        <f t="shared" si="27"/>
        <v>Error?</v>
      </c>
    </row>
    <row r="1811" spans="1:4" x14ac:dyDescent="0.2">
      <c r="A1811" s="5">
        <v>1750</v>
      </c>
      <c r="B1811" s="1832">
        <f>'Tax Sched 23'!E7</f>
        <v>537607</v>
      </c>
      <c r="D1811" s="2" t="str">
        <f t="shared" si="27"/>
        <v>Error?</v>
      </c>
    </row>
    <row r="1812" spans="1:4" x14ac:dyDescent="0.2">
      <c r="A1812" s="5">
        <v>1751</v>
      </c>
      <c r="B1812" s="1832">
        <f>'Tax Sched 23'!E8</f>
        <v>210368</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29607</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13878827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4275000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951820</v>
      </c>
      <c r="D2008" s="2" t="str">
        <f t="shared" si="30"/>
        <v>Error?</v>
      </c>
    </row>
    <row r="2009" spans="1:4" x14ac:dyDescent="0.2">
      <c r="A2009" s="5">
        <v>1948</v>
      </c>
      <c r="B2009" s="1832">
        <f>'Cap Outlay Deprec 26'!C8</f>
        <v>20495747</v>
      </c>
      <c r="D2009" s="2" t="str">
        <f t="shared" si="30"/>
        <v>Error?</v>
      </c>
    </row>
    <row r="2010" spans="1:4" x14ac:dyDescent="0.2">
      <c r="A2010" s="5">
        <v>1949</v>
      </c>
      <c r="B2010" s="1832">
        <f>'Cap Outlay Deprec 26'!C10</f>
        <v>1670308</v>
      </c>
      <c r="D2010" s="2" t="str">
        <f t="shared" si="30"/>
        <v>Error?</v>
      </c>
    </row>
    <row r="2011" spans="1:4" x14ac:dyDescent="0.2">
      <c r="A2011" s="5">
        <v>1950</v>
      </c>
      <c r="B2011" s="1832">
        <f>'Cap Outlay Deprec 26'!C12</f>
        <v>5468846</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28586721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22353</v>
      </c>
      <c r="D2015" s="2" t="str">
        <f t="shared" si="30"/>
        <v>Error?</v>
      </c>
    </row>
    <row r="2016" spans="1:4" x14ac:dyDescent="0.2">
      <c r="A2016" s="5">
        <v>1955</v>
      </c>
      <c r="B2016" s="1832">
        <f>'Cap Outlay Deprec 26'!D10</f>
        <v>113195</v>
      </c>
      <c r="D2016" s="2" t="str">
        <f t="shared" si="30"/>
        <v>Error?</v>
      </c>
    </row>
    <row r="2017" spans="1:4" x14ac:dyDescent="0.2">
      <c r="A2017" s="5">
        <v>1956</v>
      </c>
      <c r="B2017" s="1832">
        <f>'Cap Outlay Deprec 26'!D12</f>
        <v>231531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367079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26057</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26057</v>
      </c>
      <c r="C2025" s="2" t="s">
        <v>569</v>
      </c>
      <c r="D2025" s="2" t="str">
        <f t="shared" si="30"/>
        <v>Error?</v>
      </c>
    </row>
    <row r="2026" spans="1:4" x14ac:dyDescent="0.2">
      <c r="A2026" s="5">
        <v>1965</v>
      </c>
      <c r="B2026" s="1832">
        <f>'Cap Outlay Deprec 26'!F5</f>
        <v>951820</v>
      </c>
      <c r="C2026" s="2" t="s">
        <v>569</v>
      </c>
      <c r="D2026" s="2" t="str">
        <f t="shared" si="30"/>
        <v>Error?</v>
      </c>
    </row>
    <row r="2027" spans="1:4" x14ac:dyDescent="0.2">
      <c r="A2027" s="5">
        <v>1966</v>
      </c>
      <c r="B2027" s="1832">
        <f>'Cap Outlay Deprec 26'!F8</f>
        <v>20518100</v>
      </c>
      <c r="C2027" s="2" t="s">
        <v>569</v>
      </c>
      <c r="D2027" s="2" t="str">
        <f t="shared" si="30"/>
        <v>Error?</v>
      </c>
    </row>
    <row r="2028" spans="1:4" x14ac:dyDescent="0.2">
      <c r="A2028" s="5">
        <v>1967</v>
      </c>
      <c r="B2028" s="1832">
        <f>'Cap Outlay Deprec 26'!F10</f>
        <v>1783503</v>
      </c>
      <c r="C2028" s="2" t="s">
        <v>569</v>
      </c>
      <c r="D2028" s="2" t="str">
        <f t="shared" si="30"/>
        <v>Error?</v>
      </c>
    </row>
    <row r="2029" spans="1:4" x14ac:dyDescent="0.2">
      <c r="A2029" s="5">
        <v>1968</v>
      </c>
      <c r="B2029" s="1832">
        <f>'Cap Outlay Deprec 26'!F12</f>
        <v>5674320</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28927743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0</v>
      </c>
      <c r="C2055" s="2" t="s">
        <v>569</v>
      </c>
      <c r="D2055" s="2" t="str">
        <f t="shared" si="31"/>
        <v>Error?</v>
      </c>
    </row>
    <row r="2056" spans="1:4" x14ac:dyDescent="0.2">
      <c r="A2056" s="5">
        <v>1995</v>
      </c>
      <c r="B2056" s="1832">
        <f>'Cap Outlay Deprec 26'!L5</f>
        <v>951820</v>
      </c>
      <c r="C2056" s="2" t="s">
        <v>569</v>
      </c>
      <c r="D2056" s="2" t="str">
        <f t="shared" si="31"/>
        <v>Error?</v>
      </c>
    </row>
    <row r="2057" spans="1:4" x14ac:dyDescent="0.2">
      <c r="A2057" s="5">
        <v>1996</v>
      </c>
      <c r="B2057" s="1832">
        <f>'Cap Outlay Deprec 26'!L8</f>
        <v>20518100</v>
      </c>
      <c r="C2057" s="2" t="s">
        <v>569</v>
      </c>
      <c r="D2057" s="2" t="str">
        <f t="shared" si="31"/>
        <v>Error?</v>
      </c>
    </row>
    <row r="2058" spans="1:4" x14ac:dyDescent="0.2">
      <c r="A2058" s="5">
        <v>1997</v>
      </c>
      <c r="B2058" s="1832">
        <f>'Cap Outlay Deprec 26'!L10</f>
        <v>1783503</v>
      </c>
      <c r="C2058" s="2" t="s">
        <v>569</v>
      </c>
      <c r="D2058" s="2" t="str">
        <f t="shared" si="31"/>
        <v>Error?</v>
      </c>
    </row>
    <row r="2059" spans="1:4" x14ac:dyDescent="0.2">
      <c r="A2059" s="5">
        <v>1998</v>
      </c>
      <c r="B2059" s="1832">
        <f>'Cap Outlay Deprec 26'!L12</f>
        <v>5674320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28927743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2325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2325</v>
      </c>
      <c r="C2088" s="2" t="s">
        <v>569</v>
      </c>
      <c r="D2088" s="2" t="str">
        <f t="shared" si="31"/>
        <v>Error?</v>
      </c>
    </row>
    <row r="2089" spans="1:4" x14ac:dyDescent="0.2">
      <c r="A2089" s="5">
        <v>2028</v>
      </c>
      <c r="B2089" s="1832">
        <f>'Expenditures 15-22'!K92</f>
        <v>394663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1022356</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608496</v>
      </c>
      <c r="D2475" s="2" t="str">
        <f t="shared" si="37"/>
        <v>Error?</v>
      </c>
    </row>
    <row r="2476" spans="1:4" x14ac:dyDescent="0.2">
      <c r="A2476" s="10">
        <v>2415</v>
      </c>
      <c r="B2476" s="1832"/>
      <c r="D2476" s="2" t="str">
        <f t="shared" si="37"/>
        <v>OK</v>
      </c>
    </row>
    <row r="2477" spans="1:4" x14ac:dyDescent="0.2">
      <c r="A2477" s="5">
        <v>2416</v>
      </c>
      <c r="B2477" s="1832">
        <f>'Assets-Liab 5-6'!G38</f>
        <v>532133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986995</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11132604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670965</v>
      </c>
      <c r="C2553" s="2" t="s">
        <v>569</v>
      </c>
      <c r="D2553" s="2" t="str">
        <f t="shared" si="38"/>
        <v>Error?</v>
      </c>
    </row>
    <row r="2554" spans="1:4" x14ac:dyDescent="0.2">
      <c r="A2554" s="5">
        <v>2493</v>
      </c>
      <c r="B2554" s="1832">
        <f>'Acct Summary 7-8'!C7</f>
        <v>472341</v>
      </c>
      <c r="C2554" s="2" t="s">
        <v>569</v>
      </c>
      <c r="D2554" s="2" t="str">
        <f t="shared" si="38"/>
        <v>Error?</v>
      </c>
    </row>
    <row r="2555" spans="1:4" x14ac:dyDescent="0.2">
      <c r="A2555" s="5">
        <v>2494</v>
      </c>
      <c r="B2555" s="1832">
        <f>'Acct Summary 7-8'!C8</f>
        <v>12275910</v>
      </c>
      <c r="C2555" s="2" t="s">
        <v>569</v>
      </c>
      <c r="D2555" s="2" t="str">
        <f t="shared" si="38"/>
        <v>Error?</v>
      </c>
    </row>
    <row r="2556" spans="1:4" x14ac:dyDescent="0.2">
      <c r="A2556" s="5">
        <v>2495</v>
      </c>
      <c r="B2556" s="1832">
        <f>'Acct Summary 7-8'!C12</f>
        <v>7662625</v>
      </c>
      <c r="C2556" s="2" t="s">
        <v>569</v>
      </c>
      <c r="D2556" s="2" t="str">
        <f t="shared" si="38"/>
        <v>Error?</v>
      </c>
    </row>
    <row r="2557" spans="1:4" x14ac:dyDescent="0.2">
      <c r="A2557" s="5">
        <v>2496</v>
      </c>
      <c r="B2557" s="1832">
        <f>'Acct Summary 7-8'!C13</f>
        <v>3808161</v>
      </c>
      <c r="C2557" s="2" t="s">
        <v>569</v>
      </c>
      <c r="D2557" s="2" t="str">
        <f t="shared" si="38"/>
        <v>Error?</v>
      </c>
    </row>
    <row r="2558" spans="1:4" x14ac:dyDescent="0.2">
      <c r="A2558" s="5">
        <v>2497</v>
      </c>
      <c r="B2558" s="1832">
        <f>'Acct Summary 7-8'!C14</f>
        <v>1450</v>
      </c>
      <c r="C2558" s="2" t="s">
        <v>569</v>
      </c>
      <c r="D2558" s="2" t="str">
        <f t="shared" si="38"/>
        <v>Error?</v>
      </c>
    </row>
    <row r="2559" spans="1:4" x14ac:dyDescent="0.2">
      <c r="A2559" s="5">
        <v>2498</v>
      </c>
      <c r="B2559" s="1832">
        <f>'Acct Summary 7-8'!C15</f>
        <v>396988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11869224</v>
      </c>
      <c r="C2561" s="2" t="s">
        <v>569</v>
      </c>
      <c r="D2561" s="2" t="str">
        <f t="shared" si="39"/>
        <v>Error?</v>
      </c>
    </row>
    <row r="2562" spans="1:4" x14ac:dyDescent="0.2">
      <c r="A2562" s="5">
        <v>2501</v>
      </c>
      <c r="B2562" s="1832">
        <f>'Acct Summary 7-8'!C20</f>
        <v>406686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1318939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1318939</v>
      </c>
      <c r="C2568" s="2" t="s">
        <v>569</v>
      </c>
      <c r="D2568" s="2" t="str">
        <f t="shared" si="39"/>
        <v>Error?</v>
      </c>
    </row>
    <row r="2569" spans="1:4" x14ac:dyDescent="0.2">
      <c r="A2569" s="5">
        <v>2508</v>
      </c>
      <c r="B2569" s="1832">
        <f>'Acct Summary 7-8'!D13</f>
        <v>1181905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1181905</v>
      </c>
      <c r="C2573" s="2" t="s">
        <v>569</v>
      </c>
      <c r="D2573" s="2" t="str">
        <f t="shared" si="39"/>
        <v>Error?</v>
      </c>
    </row>
    <row r="2574" spans="1:4" x14ac:dyDescent="0.2">
      <c r="A2574" s="5">
        <v>2513</v>
      </c>
      <c r="B2574" s="1832">
        <f>'Acct Summary 7-8'!D20</f>
        <v>137034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534372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186869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721241</v>
      </c>
      <c r="C2595" s="2" t="s">
        <v>569</v>
      </c>
      <c r="D2595" s="2" t="str">
        <f t="shared" si="39"/>
        <v>Error?</v>
      </c>
    </row>
    <row r="2596" spans="1:4" x14ac:dyDescent="0.2">
      <c r="A2596" s="5">
        <v>2535</v>
      </c>
      <c r="B2596" s="1832">
        <f>'Acct Summary 7-8'!F13</f>
        <v>614230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614230</v>
      </c>
      <c r="C2600" s="2" t="s">
        <v>569</v>
      </c>
      <c r="D2600" s="2" t="str">
        <f t="shared" si="39"/>
        <v>Error?</v>
      </c>
    </row>
    <row r="2601" spans="1:4" x14ac:dyDescent="0.2">
      <c r="A2601" s="5">
        <v>2540</v>
      </c>
      <c r="B2601" s="1832">
        <f>'Acct Summary 7-8'!F20</f>
        <v>107011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473360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473360</v>
      </c>
      <c r="C2606" s="2" t="s">
        <v>569</v>
      </c>
      <c r="D2606" s="2" t="str">
        <f t="shared" si="39"/>
        <v>Error?</v>
      </c>
    </row>
    <row r="2607" spans="1:4" x14ac:dyDescent="0.2">
      <c r="A2607" s="5">
        <v>2546</v>
      </c>
      <c r="B2607" s="1832">
        <f>'Acct Summary 7-8'!G12</f>
        <v>195565</v>
      </c>
      <c r="C2607" s="2" t="s">
        <v>569</v>
      </c>
      <c r="D2607" s="2" t="str">
        <f t="shared" si="39"/>
        <v>Error?</v>
      </c>
    </row>
    <row r="2608" spans="1:4" x14ac:dyDescent="0.2">
      <c r="A2608" s="5">
        <v>2547</v>
      </c>
      <c r="B2608" s="1832">
        <f>'Acct Summary 7-8'!G13</f>
        <v>233269</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428834</v>
      </c>
      <c r="C2612" s="2" t="s">
        <v>569</v>
      </c>
      <c r="D2612" s="2" t="str">
        <f t="shared" si="39"/>
        <v>Error?</v>
      </c>
    </row>
    <row r="2613" spans="1:4" x14ac:dyDescent="0.2">
      <c r="A2613" s="5">
        <v>2552</v>
      </c>
      <c r="B2613" s="1832">
        <f>'Acct Summary 7-8'!G20</f>
        <v>44526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1162863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1162863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1138400</v>
      </c>
      <c r="C2634" s="2" t="s">
        <v>569</v>
      </c>
      <c r="D2634" s="2" t="str">
        <f t="shared" si="40"/>
        <v>Error?</v>
      </c>
    </row>
    <row r="2635" spans="1:4" x14ac:dyDescent="0.2">
      <c r="A2635" s="5">
        <v>2574</v>
      </c>
      <c r="B2635" s="1832">
        <f>'Acct Summary 7-8'!E17</f>
        <v>1138400</v>
      </c>
      <c r="C2635" s="2" t="s">
        <v>569</v>
      </c>
      <c r="D2635" s="2" t="str">
        <f t="shared" si="40"/>
        <v>Error?</v>
      </c>
    </row>
    <row r="2636" spans="1:4" x14ac:dyDescent="0.2">
      <c r="A2636" s="5">
        <v>2575</v>
      </c>
      <c r="B2636" s="1832">
        <f>'Acct Summary 7-8'!E20</f>
        <v>24463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44744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44744</v>
      </c>
      <c r="D2914" s="2" t="str">
        <f t="shared" si="44"/>
        <v>Error?</v>
      </c>
    </row>
    <row r="2915" spans="1:4" x14ac:dyDescent="0.2">
      <c r="A2915" s="10">
        <v>2854</v>
      </c>
      <c r="B2915" s="1832"/>
      <c r="D2915" s="2" t="str">
        <f t="shared" si="44"/>
        <v>OK</v>
      </c>
    </row>
    <row r="2916" spans="1:4" x14ac:dyDescent="0.2">
      <c r="A2916" s="5">
        <v>2855</v>
      </c>
      <c r="B2916" s="1832">
        <f>'Assets-Liab 5-6'!L34</f>
        <v>44744</v>
      </c>
      <c r="C2916" s="2" t="s">
        <v>569</v>
      </c>
      <c r="D2916" s="2" t="str">
        <f t="shared" si="44"/>
        <v>Error?</v>
      </c>
    </row>
    <row r="2917" spans="1:4" x14ac:dyDescent="0.2">
      <c r="A2917" s="5">
        <v>2856</v>
      </c>
      <c r="B2917" s="1832">
        <f>'Assets-Liab 5-6'!L41</f>
        <v>44744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2325</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2325</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222388</v>
      </c>
      <c r="D3055" s="2" t="str">
        <f t="shared" si="46"/>
        <v>Error?</v>
      </c>
    </row>
    <row r="3056" spans="1:4" x14ac:dyDescent="0.2">
      <c r="A3056" s="5">
        <v>2995</v>
      </c>
      <c r="B3056" s="1832">
        <f>'Expenditures 15-22'!D10</f>
        <v>38088</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24149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284625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9234</v>
      </c>
      <c r="D3064" s="2" t="str">
        <f t="shared" si="46"/>
        <v>Error?</v>
      </c>
    </row>
    <row r="3065" spans="1:4" x14ac:dyDescent="0.2">
      <c r="A3065" s="5">
        <v>3004</v>
      </c>
      <c r="B3065" s="1832">
        <f>'Expenditures 15-22'!K219</f>
        <v>9234</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406686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137034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107011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44526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24463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1539571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262383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318938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7808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1079</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2129779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59256</v>
      </c>
      <c r="D3387" s="2" t="str">
        <f t="shared" si="51"/>
        <v>Error?</v>
      </c>
    </row>
    <row r="3388" spans="1:4" x14ac:dyDescent="0.2">
      <c r="A3388" s="5">
        <v>3327</v>
      </c>
      <c r="B3388" s="1832">
        <f>'Expenditures 15-22'!D217</f>
        <v>120249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59256</v>
      </c>
      <c r="C3390" s="2" t="s">
        <v>569</v>
      </c>
      <c r="D3390" s="2" t="str">
        <f t="shared" si="51"/>
        <v>Error?</v>
      </c>
    </row>
    <row r="3391" spans="1:4" x14ac:dyDescent="0.2">
      <c r="A3391" s="5">
        <v>3330</v>
      </c>
      <c r="B3391" s="1832">
        <f>'Expenditures 15-22'!K217</f>
        <v>120249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10904815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1022356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986995</v>
      </c>
      <c r="D3417" s="2" t="str">
        <f t="shared" si="52"/>
        <v>Error?</v>
      </c>
    </row>
    <row r="3418" spans="1:4" x14ac:dyDescent="0.2">
      <c r="A3418" s="10">
        <v>3357</v>
      </c>
      <c r="B3418" s="1832"/>
      <c r="D3418" s="2" t="str">
        <f t="shared" si="52"/>
        <v>OK</v>
      </c>
    </row>
    <row r="3419" spans="1:4" x14ac:dyDescent="0.2">
      <c r="A3419" s="5">
        <v>3358</v>
      </c>
      <c r="B3419" s="1832">
        <f>'Assets-Liab 5-6'!F4</f>
        <v>608496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532133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44744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222033</v>
      </c>
      <c r="C3446" s="2" t="s">
        <v>569</v>
      </c>
      <c r="D3446" s="2" t="str">
        <f t="shared" si="52"/>
        <v>Error?</v>
      </c>
    </row>
    <row r="3447" spans="1:4" x14ac:dyDescent="0.2">
      <c r="A3447" s="5">
        <v>3386</v>
      </c>
      <c r="B3447" s="1832">
        <f>'Tax Sched 23'!D16</f>
        <v>114059</v>
      </c>
      <c r="C3447" s="2" t="s">
        <v>569</v>
      </c>
      <c r="D3447" s="2" t="str">
        <f t="shared" si="52"/>
        <v>Error?</v>
      </c>
    </row>
    <row r="3448" spans="1:4" x14ac:dyDescent="0.2">
      <c r="A3448" s="5">
        <v>3387</v>
      </c>
      <c r="B3448" s="1832">
        <f>'Tax Sched 23'!C16</f>
        <v>107974</v>
      </c>
      <c r="D3448" s="2" t="str">
        <f t="shared" si="52"/>
        <v>Error?</v>
      </c>
    </row>
    <row r="3449" spans="1:4" x14ac:dyDescent="0.2">
      <c r="A3449" s="5">
        <v>3388</v>
      </c>
      <c r="B3449" s="1832">
        <f>'Tax Sched 23'!F16</f>
        <v>102394</v>
      </c>
      <c r="C3449" s="2" t="s">
        <v>569</v>
      </c>
      <c r="D3449" s="2" t="str">
        <f t="shared" si="52"/>
        <v>Error?</v>
      </c>
    </row>
    <row r="3450" spans="1:4" x14ac:dyDescent="0.2">
      <c r="A3450" s="5">
        <v>3389</v>
      </c>
      <c r="B3450" s="1832">
        <f>'Tax Sched 23'!E16</f>
        <v>210368</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6764567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19040477</v>
      </c>
      <c r="C4122" s="2" t="s">
        <v>569</v>
      </c>
      <c r="D4122" s="2" t="str">
        <f t="shared" si="63"/>
        <v>Error?</v>
      </c>
    </row>
    <row r="4123" spans="1:4" x14ac:dyDescent="0.2">
      <c r="A4123" s="5">
        <v>4062</v>
      </c>
      <c r="B4123" s="1832">
        <f>'Acct Summary 7-8'!D10</f>
        <v>1318939</v>
      </c>
      <c r="C4123" s="2" t="s">
        <v>569</v>
      </c>
      <c r="D4123" s="2" t="str">
        <f t="shared" si="63"/>
        <v>Error?</v>
      </c>
    </row>
    <row r="4124" spans="1:4" x14ac:dyDescent="0.2">
      <c r="A4124" s="5">
        <v>4063</v>
      </c>
      <c r="B4124" s="1832">
        <f>'Acct Summary 7-8'!E10</f>
        <v>1162863</v>
      </c>
      <c r="C4124" s="2" t="s">
        <v>569</v>
      </c>
      <c r="D4124" s="2" t="str">
        <f t="shared" si="63"/>
        <v>Error?</v>
      </c>
    </row>
    <row r="4125" spans="1:4" x14ac:dyDescent="0.2">
      <c r="A4125" s="5">
        <v>4064</v>
      </c>
      <c r="B4125" s="1832">
        <f>'Acct Summary 7-8'!F10</f>
        <v>721241</v>
      </c>
      <c r="C4125" s="2" t="s">
        <v>569</v>
      </c>
      <c r="D4125" s="2" t="str">
        <f t="shared" si="63"/>
        <v>Error?</v>
      </c>
    </row>
    <row r="4126" spans="1:4" x14ac:dyDescent="0.2">
      <c r="A4126" s="5">
        <v>4065</v>
      </c>
      <c r="B4126" s="1832">
        <f>'Acct Summary 7-8'!G10</f>
        <v>473360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6764567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18633791</v>
      </c>
      <c r="C4136" s="2" t="s">
        <v>569</v>
      </c>
      <c r="D4136" s="2" t="str">
        <f t="shared" si="63"/>
        <v>Error?</v>
      </c>
    </row>
    <row r="4137" spans="1:4" x14ac:dyDescent="0.2">
      <c r="A4137" s="5">
        <v>4076</v>
      </c>
      <c r="B4137" s="1832">
        <f>'Acct Summary 7-8'!D19</f>
        <v>1181905</v>
      </c>
      <c r="C4137" s="2" t="s">
        <v>569</v>
      </c>
      <c r="D4137" s="2" t="str">
        <f t="shared" si="63"/>
        <v>Error?</v>
      </c>
    </row>
    <row r="4138" spans="1:4" x14ac:dyDescent="0.2">
      <c r="A4138" s="5">
        <v>4077</v>
      </c>
      <c r="B4138" s="1832">
        <f>'Acct Summary 7-8'!E19</f>
        <v>1138400</v>
      </c>
      <c r="C4138" s="2" t="s">
        <v>569</v>
      </c>
      <c r="D4138" s="2" t="str">
        <f t="shared" si="63"/>
        <v>Error?</v>
      </c>
    </row>
    <row r="4139" spans="1:4" x14ac:dyDescent="0.2">
      <c r="A4139" s="5">
        <v>4078</v>
      </c>
      <c r="B4139" s="1832">
        <f>'Acct Summary 7-8'!F19</f>
        <v>614230</v>
      </c>
      <c r="C4139" s="2" t="s">
        <v>569</v>
      </c>
      <c r="D4139" s="2" t="str">
        <f t="shared" si="63"/>
        <v>Error?</v>
      </c>
    </row>
    <row r="4140" spans="1:4" x14ac:dyDescent="0.2">
      <c r="A4140" s="5">
        <v>4079</v>
      </c>
      <c r="B4140" s="1832">
        <f>'Acct Summary 7-8'!G19</f>
        <v>428834</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3250000</v>
      </c>
      <c r="C4171" s="2" t="s">
        <v>569</v>
      </c>
      <c r="D4171" s="2" t="str">
        <f t="shared" si="64"/>
        <v>Error?</v>
      </c>
    </row>
    <row r="4172" spans="1:4" x14ac:dyDescent="0.2">
      <c r="A4172" s="5">
        <v>4111</v>
      </c>
      <c r="B4172" s="1832">
        <f>'Short-Term Long-Term Debt 24'!J49</f>
        <v>2263005</v>
      </c>
      <c r="C4172" s="2" t="s">
        <v>569</v>
      </c>
      <c r="D4172" s="2" t="str">
        <f t="shared" si="64"/>
        <v>Error?</v>
      </c>
    </row>
    <row r="4173" spans="1:4" x14ac:dyDescent="0.2">
      <c r="A4173" s="5">
        <v>4112</v>
      </c>
      <c r="B4173" s="1832">
        <f>'Short-Term Long-Term Debt 24'!H49</f>
        <v>1025000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1335.8</v>
      </c>
      <c r="C4265" s="2" t="s">
        <v>569</v>
      </c>
      <c r="D4265" s="2" t="str">
        <f t="shared" si="65"/>
        <v>Error?</v>
      </c>
      <c r="E4265" s="125"/>
    </row>
    <row r="4266" spans="1:5" x14ac:dyDescent="0.2">
      <c r="A4266" s="12">
        <v>4205</v>
      </c>
      <c r="B4266" s="1832">
        <f>('FP Info 3'!F10)*100000</f>
        <v>169.3</v>
      </c>
      <c r="C4266" s="2" t="s">
        <v>569</v>
      </c>
      <c r="D4266" s="2" t="str">
        <f t="shared" si="65"/>
        <v>Error?</v>
      </c>
      <c r="E4266" s="125"/>
    </row>
    <row r="4267" spans="1:5" x14ac:dyDescent="0.2">
      <c r="A4267" s="12">
        <v>4206</v>
      </c>
      <c r="B4267" s="1832">
        <f>('FP Info 3'!H10)*100000</f>
        <v>69</v>
      </c>
      <c r="C4267" s="2" t="s">
        <v>569</v>
      </c>
      <c r="D4267" s="2" t="str">
        <f t="shared" si="65"/>
        <v>Error?</v>
      </c>
      <c r="E4267" s="125"/>
    </row>
    <row r="4268" spans="1:5" x14ac:dyDescent="0.2">
      <c r="A4268" s="12">
        <v>4207</v>
      </c>
      <c r="B4268" s="1832">
        <f>('FP Info 3'!J10)*100000</f>
        <v>1574</v>
      </c>
      <c r="C4268" s="2" t="s">
        <v>569</v>
      </c>
      <c r="D4268" s="2" t="str">
        <f t="shared" si="65"/>
        <v>Error?</v>
      </c>
    </row>
    <row r="4269" spans="1:5" x14ac:dyDescent="0.2">
      <c r="A4269" s="12">
        <v>4208</v>
      </c>
      <c r="B4269" s="1832">
        <f>'FP Info 3'!J16</f>
        <v>12535667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17476</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102938</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29904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130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779140316</v>
      </c>
      <c r="D4995" s="2" t="str">
        <f t="shared" si="77"/>
        <v>Error?</v>
      </c>
    </row>
    <row r="4996" spans="1:4" x14ac:dyDescent="0.2">
      <c r="A4996" s="12">
        <v>4935</v>
      </c>
      <c r="B4996" s="1832">
        <f>'FP Info 3'!H31</f>
        <v>53760681.804000005</v>
      </c>
      <c r="D4996" s="2" t="str">
        <f t="shared" si="77"/>
        <v>Error?</v>
      </c>
    </row>
    <row r="4997" spans="1:4" x14ac:dyDescent="0.2">
      <c r="A4997" s="12">
        <v>4936</v>
      </c>
      <c r="B4997" s="1832">
        <f>'FP Info 3'!H37</f>
        <v>3250000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10194760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10194760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380648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380648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900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134781</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135681</v>
      </c>
      <c r="C5087" s="2" t="s">
        <v>569</v>
      </c>
      <c r="D5087" s="2" t="str">
        <f t="shared" si="78"/>
        <v>Error?</v>
      </c>
    </row>
    <row r="5088" spans="1:4" x14ac:dyDescent="0.2">
      <c r="A5088" s="5">
        <v>5027</v>
      </c>
      <c r="B5088" s="1832">
        <f>'Revenues 9-14'!C65</f>
        <v>156918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156918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189085</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3470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3470</v>
      </c>
      <c r="C5102" s="2" t="s">
        <v>569</v>
      </c>
      <c r="D5102" s="2" t="str">
        <f t="shared" si="78"/>
        <v>Error?</v>
      </c>
    </row>
    <row r="5103" spans="1:4" x14ac:dyDescent="0.2">
      <c r="A5103" s="5">
        <v>5042</v>
      </c>
      <c r="B5103" s="1832">
        <f>'Revenues 9-14'!C84</f>
        <v>36791</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36791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16659</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3102</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15360</v>
      </c>
      <c r="D5119" s="2" t="str">
        <f t="shared" ref="D5119:D5182" si="79">IF(ISBLANK(B5119),"OK",IF(A5119-B5119=0,"OK","Error?"))</f>
        <v>Error?</v>
      </c>
    </row>
    <row r="5120" spans="1:4" x14ac:dyDescent="0.2">
      <c r="A5120" s="5">
        <v>5059</v>
      </c>
      <c r="B5120" s="1832">
        <f>'Revenues 9-14'!C108</f>
        <v>35251</v>
      </c>
      <c r="C5120" s="2" t="s">
        <v>569</v>
      </c>
      <c r="D5120" s="2" t="str">
        <f t="shared" si="79"/>
        <v>Error?</v>
      </c>
    </row>
    <row r="5121" spans="1:4" x14ac:dyDescent="0.2">
      <c r="A5121" s="5">
        <v>5060</v>
      </c>
      <c r="B5121" s="1832">
        <f>'Revenues 9-14'!C109</f>
        <v>11132604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598426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598426</v>
      </c>
      <c r="C5132" s="2" t="s">
        <v>569</v>
      </c>
      <c r="D5132" s="2" t="str">
        <f t="shared" si="79"/>
        <v>Error?</v>
      </c>
    </row>
    <row r="5133" spans="1:4" x14ac:dyDescent="0.2">
      <c r="A5133" s="5">
        <v>5072</v>
      </c>
      <c r="B5133" s="1832">
        <f>'Revenues 9-14'!C125</f>
        <v>71789</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71789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72539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670965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103280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17476</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103280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2125</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182530</v>
      </c>
      <c r="D5278" s="2" t="str">
        <f t="shared" si="81"/>
        <v>Error?</v>
      </c>
    </row>
    <row r="5279" spans="1:4" x14ac:dyDescent="0.2">
      <c r="A5279" s="5">
        <v>5218</v>
      </c>
      <c r="B5279" s="1832">
        <f>'Revenues 9-14'!C214</f>
        <v>34088</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218743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472341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472341</v>
      </c>
      <c r="C5326" s="2" t="s">
        <v>569</v>
      </c>
      <c r="D5326" s="2" t="str">
        <f t="shared" si="82"/>
        <v>Error?</v>
      </c>
    </row>
    <row r="5327" spans="1:5" x14ac:dyDescent="0.2">
      <c r="A5327" s="5">
        <v>5266</v>
      </c>
      <c r="B5327" s="1832">
        <f>'Revenues 9-14'!C268</f>
        <v>12275910</v>
      </c>
      <c r="C5327" s="2" t="s">
        <v>569</v>
      </c>
      <c r="D5327" s="2" t="str">
        <f t="shared" si="82"/>
        <v>Error?</v>
      </c>
    </row>
    <row r="5328" spans="1:5" x14ac:dyDescent="0.2">
      <c r="A5328" s="5">
        <v>5267</v>
      </c>
      <c r="B5328" s="1832">
        <f>'Revenues 9-14'!D5</f>
        <v>1252765</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1252765</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11439</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11439</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4735</v>
      </c>
      <c r="D5349" s="2" t="str">
        <f t="shared" si="82"/>
        <v>Error?</v>
      </c>
    </row>
    <row r="5350" spans="1:4" x14ac:dyDescent="0.2">
      <c r="A5350" s="5">
        <v>5289</v>
      </c>
      <c r="B5350" s="1832">
        <f>'Revenues 9-14'!D96</f>
        <v>50000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54735</v>
      </c>
      <c r="C5355" s="2" t="s">
        <v>569</v>
      </c>
      <c r="D5355" s="2" t="str">
        <f t="shared" si="82"/>
        <v>Error?</v>
      </c>
    </row>
    <row r="5356" spans="1:4" x14ac:dyDescent="0.2">
      <c r="A5356" s="5">
        <v>5295</v>
      </c>
      <c r="B5356" s="1832">
        <f>'Revenues 9-14'!D109</f>
        <v>1318939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1318939</v>
      </c>
      <c r="C5508" s="2" t="s">
        <v>569</v>
      </c>
      <c r="D5508" s="2" t="str">
        <f t="shared" si="85"/>
        <v>Error?</v>
      </c>
    </row>
    <row r="5509" spans="1:4" x14ac:dyDescent="0.2">
      <c r="A5509" s="5">
        <v>5448</v>
      </c>
      <c r="B5509" s="1832">
        <f>'Revenues 9-14'!E5</f>
        <v>1152116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1152116</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10747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10747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1162863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1162863</v>
      </c>
      <c r="C5552" s="2" t="s">
        <v>569</v>
      </c>
      <c r="D5552" s="2" t="str">
        <f t="shared" si="85"/>
        <v>Error?</v>
      </c>
    </row>
    <row r="5553" spans="1:4" x14ac:dyDescent="0.2">
      <c r="A5553" s="5">
        <v>5492</v>
      </c>
      <c r="B5553" s="1832">
        <f>'Revenues 9-14'!F5</f>
        <v>513855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513855</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13899</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13899</v>
      </c>
      <c r="C5579" s="2" t="s">
        <v>569</v>
      </c>
      <c r="D5579" s="2" t="str">
        <f t="shared" si="86"/>
        <v>Error?</v>
      </c>
    </row>
    <row r="5580" spans="1:4" x14ac:dyDescent="0.2">
      <c r="A5580" s="5">
        <v>5519</v>
      </c>
      <c r="B5580" s="1832">
        <f>'Revenues 9-14'!F65</f>
        <v>6618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6618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534372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6796</v>
      </c>
      <c r="D5615" s="2" t="str">
        <f t="shared" si="86"/>
        <v>Error?</v>
      </c>
    </row>
    <row r="5616" spans="1:4" x14ac:dyDescent="0.2">
      <c r="A5616" s="10">
        <v>5555</v>
      </c>
      <c r="B5616" s="1832"/>
      <c r="D5616" s="2" t="str">
        <f t="shared" si="86"/>
        <v>OK</v>
      </c>
    </row>
    <row r="5617" spans="1:5" x14ac:dyDescent="0.2">
      <c r="A5617" s="5">
        <v>5556</v>
      </c>
      <c r="B5617" s="1832">
        <f>'Revenues 9-14'!F153</f>
        <v>180073</v>
      </c>
      <c r="D5617" s="2" t="str">
        <f t="shared" si="86"/>
        <v>Error?</v>
      </c>
    </row>
    <row r="5618" spans="1:5" x14ac:dyDescent="0.2">
      <c r="A5618" s="5">
        <v>5557</v>
      </c>
      <c r="B5618" s="1832">
        <f>'Revenues 9-14'!F155</f>
        <v>186869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186869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186869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721241</v>
      </c>
      <c r="C5720" s="2" t="s">
        <v>569</v>
      </c>
      <c r="D5720" s="2" t="str">
        <f t="shared" si="88"/>
        <v>Error?</v>
      </c>
    </row>
    <row r="5721" spans="1:4" x14ac:dyDescent="0.2">
      <c r="A5721" s="5">
        <v>5660</v>
      </c>
      <c r="B5721" s="1832">
        <f>'Revenues 9-14'!G5</f>
        <v>222025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222033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444058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23000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23000</v>
      </c>
      <c r="C5730" s="2" t="s">
        <v>569</v>
      </c>
      <c r="D5730" s="2" t="str">
        <f t="shared" si="88"/>
        <v>Error?</v>
      </c>
    </row>
    <row r="5731" spans="1:4" x14ac:dyDescent="0.2">
      <c r="A5731" s="5">
        <v>5670</v>
      </c>
      <c r="B5731" s="1832">
        <f>'Revenues 9-14'!G65</f>
        <v>6302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6302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473360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473360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189085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876.2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89494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89494</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89494</v>
      </c>
      <c r="D6216" s="2" t="str">
        <f t="shared" si="96"/>
        <v>Error?</v>
      </c>
      <c r="E6216" s="2" t="s">
        <v>189</v>
      </c>
    </row>
    <row r="6217" spans="1:5" x14ac:dyDescent="0.2">
      <c r="A6217">
        <v>6156</v>
      </c>
      <c r="B6217" s="1832">
        <f>'Assets-Liab 5-6'!J4</f>
        <v>89494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20672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20672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20672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39058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39058</v>
      </c>
      <c r="D6229" s="2" t="str">
        <f t="shared" si="96"/>
        <v>Error?</v>
      </c>
      <c r="E6229" s="2" t="s">
        <v>189</v>
      </c>
    </row>
    <row r="6230" spans="1:5" x14ac:dyDescent="0.2">
      <c r="A6230">
        <v>6169</v>
      </c>
      <c r="B6230" s="1832">
        <f>'Acct Summary 7-8'!J20</f>
        <v>-18386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-18386</v>
      </c>
      <c r="D6263" s="2" t="str">
        <f t="shared" si="96"/>
        <v>Error?</v>
      </c>
      <c r="E6263" s="2" t="s">
        <v>189</v>
      </c>
    </row>
    <row r="6264" spans="1:5" x14ac:dyDescent="0.2">
      <c r="A6264">
        <v>6203</v>
      </c>
      <c r="B6264" s="1832">
        <f>'Acct Summary 7-8'!J79</f>
        <v>107880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89494</v>
      </c>
      <c r="D6266" s="2" t="str">
        <f t="shared" si="96"/>
        <v>Error?</v>
      </c>
      <c r="E6266" s="2" t="s">
        <v>189</v>
      </c>
    </row>
    <row r="6267" spans="1:5" x14ac:dyDescent="0.2">
      <c r="A6267">
        <v>6206</v>
      </c>
      <c r="B6267" s="1832">
        <f>'Acct Summary 7-8'!C82</f>
        <v>406686</v>
      </c>
      <c r="D6267" s="2" t="str">
        <f t="shared" si="96"/>
        <v>Error?</v>
      </c>
      <c r="E6267" s="2" t="s">
        <v>189</v>
      </c>
    </row>
    <row r="6268" spans="1:5" x14ac:dyDescent="0.2">
      <c r="A6268">
        <v>6207</v>
      </c>
      <c r="B6268" s="1832">
        <f>'Acct Summary 7-8'!D82</f>
        <v>137034</v>
      </c>
      <c r="D6268" s="2" t="str">
        <f t="shared" si="96"/>
        <v>Error?</v>
      </c>
      <c r="E6268" s="2" t="s">
        <v>189</v>
      </c>
    </row>
    <row r="6269" spans="1:5" x14ac:dyDescent="0.2">
      <c r="A6269">
        <v>6208</v>
      </c>
      <c r="B6269" s="1832">
        <f>'Acct Summary 7-8'!E82</f>
        <v>24463</v>
      </c>
      <c r="D6269" s="2" t="str">
        <f t="shared" si="96"/>
        <v>Error?</v>
      </c>
      <c r="E6269" s="2" t="s">
        <v>189</v>
      </c>
    </row>
    <row r="6270" spans="1:5" x14ac:dyDescent="0.2">
      <c r="A6270">
        <v>6209</v>
      </c>
      <c r="B6270" s="1832">
        <f>'Acct Summary 7-8'!F82</f>
        <v>107011</v>
      </c>
      <c r="D6270" s="2" t="str">
        <f t="shared" si="96"/>
        <v>Error?</v>
      </c>
      <c r="E6270" s="2" t="s">
        <v>189</v>
      </c>
    </row>
    <row r="6271" spans="1:5" x14ac:dyDescent="0.2">
      <c r="A6271">
        <v>6210</v>
      </c>
      <c r="B6271" s="1832">
        <f>'Acct Summary 7-8'!G82</f>
        <v>44526</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-18386</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3.7294167759838202E-2</v>
      </c>
      <c r="D6276" s="2" t="str">
        <f t="shared" si="97"/>
        <v>Error?</v>
      </c>
      <c r="E6276" s="2" t="s">
        <v>189</v>
      </c>
    </row>
    <row r="6277" spans="1:5" x14ac:dyDescent="0.2">
      <c r="A6277">
        <v>6216</v>
      </c>
      <c r="B6277" s="1832">
        <f>'Acct Summary 7-8'!D83</f>
        <v>0.1340374585760733</v>
      </c>
      <c r="D6277" s="2" t="str">
        <f t="shared" si="97"/>
        <v>Error?</v>
      </c>
      <c r="E6277" s="2" t="s">
        <v>189</v>
      </c>
    </row>
    <row r="6278" spans="1:5" x14ac:dyDescent="0.2">
      <c r="A6278">
        <v>6217</v>
      </c>
      <c r="B6278" s="1832">
        <f>'Acct Summary 7-8'!E83</f>
        <v>2.4785333259033735E-2</v>
      </c>
      <c r="D6278" s="2" t="str">
        <f t="shared" si="97"/>
        <v>Error?</v>
      </c>
      <c r="E6278" s="2" t="s">
        <v>189</v>
      </c>
    </row>
    <row r="6279" spans="1:5" x14ac:dyDescent="0.2">
      <c r="A6279">
        <v>6218</v>
      </c>
      <c r="B6279" s="1832">
        <f>'Acct Summary 7-8'!F83</f>
        <v>0.1758614682758802</v>
      </c>
      <c r="D6279" s="2" t="str">
        <f t="shared" si="97"/>
        <v>Error?</v>
      </c>
      <c r="E6279" s="2" t="s">
        <v>189</v>
      </c>
    </row>
    <row r="6280" spans="1:5" x14ac:dyDescent="0.2">
      <c r="A6280">
        <v>6219</v>
      </c>
      <c r="B6280" s="1832">
        <f>'Acct Summary 7-8'!G83</f>
        <v>8.3674570079284694E-2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f>'Acct Summary 7-8'!J83</f>
        <v>-0.20544394037589112</v>
      </c>
      <c r="D6283" s="2" t="str">
        <f t="shared" si="97"/>
        <v>Error?</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19919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19919</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753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753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20672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394663</v>
      </c>
      <c r="D6983" s="2" t="str">
        <f t="shared" si="108"/>
        <v>Error?</v>
      </c>
    </row>
    <row r="6984" spans="1:4" x14ac:dyDescent="0.2">
      <c r="A6984">
        <v>6923</v>
      </c>
      <c r="B6984" s="1832">
        <f>'Expenditures 15-22'!K86</f>
        <v>394663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394663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39058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20672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716</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716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38342</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38342</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39058</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39058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39058</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39058</v>
      </c>
      <c r="D7224" s="2" t="str">
        <f t="shared" si="111"/>
        <v>Error?</v>
      </c>
    </row>
    <row r="7225" spans="1:4" x14ac:dyDescent="0.2">
      <c r="A7225">
        <v>7164</v>
      </c>
      <c r="B7225" s="1832">
        <f>'Expenditures 15-22'!K343</f>
        <v>-18386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7614</v>
      </c>
      <c r="D7762" s="2" t="str">
        <f t="shared" si="127"/>
        <v>Error?</v>
      </c>
      <c r="E7762" s="4" t="s">
        <v>1415</v>
      </c>
    </row>
    <row r="7763" spans="1:5" x14ac:dyDescent="0.2">
      <c r="A7763">
        <v>7702</v>
      </c>
      <c r="B7763" s="1832">
        <f>'Expenditures 15-22'!K6</f>
        <v>7614</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9100000</v>
      </c>
      <c r="D7817" s="2" t="str">
        <f t="shared" si="128"/>
        <v>Error?</v>
      </c>
      <c r="E7817" s="4" t="s">
        <v>1966</v>
      </c>
    </row>
    <row r="7818" spans="1:5" x14ac:dyDescent="0.2">
      <c r="A7818">
        <v>7757</v>
      </c>
      <c r="B7818" s="1832">
        <f>'PCTC-OEPP 27-28'!F172</f>
        <v>300799.78999999998</v>
      </c>
      <c r="D7818" s="2" t="str">
        <f t="shared" si="128"/>
        <v>Error?</v>
      </c>
      <c r="E7818" s="4" t="s">
        <v>1980</v>
      </c>
    </row>
    <row r="7819" spans="1:5" x14ac:dyDescent="0.2">
      <c r="A7819">
        <v>7758</v>
      </c>
      <c r="B7819" s="1832">
        <f>'PCTC-OEPP 27-28'!F173</f>
        <v>10193.57</v>
      </c>
      <c r="D7819" s="2" t="str">
        <f t="shared" si="128"/>
        <v>Error?</v>
      </c>
      <c r="E7819" s="4" t="s">
        <v>1980</v>
      </c>
    </row>
    <row r="7820" spans="1:5" x14ac:dyDescent="0.2">
      <c r="A7820">
        <v>7759</v>
      </c>
      <c r="B7820" s="1832">
        <f>'ICR Computation 30'!E40</f>
        <v>-372393</v>
      </c>
      <c r="D7820" s="2" t="str">
        <f t="shared" si="128"/>
        <v>Error?</v>
      </c>
    </row>
    <row r="7821" spans="1:5" x14ac:dyDescent="0.2">
      <c r="A7821">
        <v>7760</v>
      </c>
      <c r="B7821" s="1832">
        <f>'ICR Computation 30'!G40</f>
        <v>-372393</v>
      </c>
      <c r="D7821" s="2" t="str">
        <f t="shared" si="128"/>
        <v>Error?</v>
      </c>
    </row>
    <row r="7822" spans="1:5" x14ac:dyDescent="0.2">
      <c r="A7822" s="1">
        <v>7761</v>
      </c>
      <c r="B7822" s="1832">
        <f>'PCTC-OEPP 27-28'!F14</f>
        <v>15271651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35855</v>
      </c>
      <c r="D7830" s="2" t="str">
        <f t="shared" si="129"/>
        <v>Error?</v>
      </c>
      <c r="E7830" s="4" t="s">
        <v>1998</v>
      </c>
    </row>
    <row r="7831" spans="1:5" x14ac:dyDescent="0.2">
      <c r="A7831">
        <v>7770</v>
      </c>
      <c r="B7831" s="1832">
        <f>'PCTC-OEPP 27-28'!F52</f>
        <v>1450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2121771</v>
      </c>
      <c r="D7834" s="2" t="str">
        <f t="shared" si="129"/>
        <v>Error?</v>
      </c>
      <c r="E7834" s="4" t="s">
        <v>1998</v>
      </c>
    </row>
    <row r="7835" spans="1:5" x14ac:dyDescent="0.2">
      <c r="A7835">
        <v>7774</v>
      </c>
      <c r="B7835" s="1832">
        <f>'PCTC-OEPP 27-28'!F78</f>
        <v>13149880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15007.852088564254</v>
      </c>
      <c r="D7837" s="2" t="str">
        <f t="shared" si="129"/>
        <v>Error?</v>
      </c>
      <c r="E7837" s="4" t="s">
        <v>1998</v>
      </c>
    </row>
    <row r="7838" spans="1:5" x14ac:dyDescent="0.2">
      <c r="A7838">
        <v>7777</v>
      </c>
      <c r="B7838" s="1832">
        <f>'PCTC-OEPP 27-28'!F96</f>
        <v>3470</v>
      </c>
      <c r="D7838" s="2" t="str">
        <f t="shared" si="129"/>
        <v>Error?</v>
      </c>
      <c r="E7838" s="4" t="s">
        <v>1998</v>
      </c>
    </row>
    <row r="7839" spans="1:5" x14ac:dyDescent="0.2">
      <c r="A7839">
        <v>7778</v>
      </c>
      <c r="B7839" s="1832">
        <f>'PCTC-OEPP 27-28'!F102</f>
        <v>4735</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130</v>
      </c>
      <c r="D7841" s="2" t="str">
        <f t="shared" si="129"/>
        <v>Error?</v>
      </c>
      <c r="E7841" s="4" t="s">
        <v>1998</v>
      </c>
    </row>
    <row r="7842" spans="1:5" x14ac:dyDescent="0.2">
      <c r="A7842">
        <v>7781</v>
      </c>
      <c r="B7842" s="1832">
        <f>'PCTC-OEPP 27-28'!F106</f>
        <v>71789</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186869</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103280</v>
      </c>
      <c r="D7859" s="2" t="str">
        <f t="shared" si="129"/>
        <v>Error?</v>
      </c>
      <c r="E7859" s="4" t="s">
        <v>1998</v>
      </c>
    </row>
    <row r="7860" spans="1:5" x14ac:dyDescent="0.2">
      <c r="A7860">
        <v>7799</v>
      </c>
      <c r="B7860" s="1832">
        <f>'PCTC-OEPP 27-28'!F128</f>
        <v>17476</v>
      </c>
      <c r="D7860" s="2" t="str">
        <f t="shared" si="129"/>
        <v>Error?</v>
      </c>
      <c r="E7860" s="4" t="s">
        <v>1998</v>
      </c>
    </row>
    <row r="7861" spans="1:5" x14ac:dyDescent="0.2">
      <c r="A7861">
        <v>7800</v>
      </c>
      <c r="B7861" s="1832">
        <f>'PCTC-OEPP 27-28'!F129</f>
        <v>182530</v>
      </c>
      <c r="D7861" s="2" t="str">
        <f t="shared" si="129"/>
        <v>Error?</v>
      </c>
      <c r="E7861" s="4" t="s">
        <v>1998</v>
      </c>
    </row>
    <row r="7862" spans="1:5" x14ac:dyDescent="0.2">
      <c r="A7862">
        <v>7801</v>
      </c>
      <c r="B7862" s="1832">
        <f>'PCTC-OEPP 27-28'!F130</f>
        <v>34088</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102938</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29904</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1288727.3600000001</v>
      </c>
      <c r="D7877" s="2" t="str">
        <f t="shared" si="129"/>
        <v>Error?</v>
      </c>
      <c r="E7877" s="4" t="s">
        <v>1998</v>
      </c>
    </row>
    <row r="7878" spans="1:5" x14ac:dyDescent="0.2">
      <c r="A7878">
        <v>7817</v>
      </c>
      <c r="B7878" s="1832">
        <f>'PCTC-OEPP 27-28'!F176</f>
        <v>11861152.640000001</v>
      </c>
      <c r="D7878" s="2" t="str">
        <f t="shared" si="129"/>
        <v>Error?</v>
      </c>
      <c r="E7878" s="4" t="s">
        <v>1998</v>
      </c>
    </row>
    <row r="7879" spans="1:5" x14ac:dyDescent="0.2">
      <c r="A7879">
        <v>7818</v>
      </c>
      <c r="B7879" s="1832">
        <f>'PCTC-OEPP 27-28'!F178</f>
        <v>11861152.640000001</v>
      </c>
      <c r="D7879" s="2" t="str">
        <f t="shared" si="129"/>
        <v>Error?</v>
      </c>
      <c r="E7879" s="4" t="s">
        <v>1998</v>
      </c>
    </row>
    <row r="7880" spans="1:5" x14ac:dyDescent="0.2">
      <c r="A7880">
        <v>7819</v>
      </c>
      <c r="B7880" s="1832">
        <f>'PCTC-OEPP 27-28'!F180</f>
        <v>13537.037936544168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 xml:space="preserve">  Gower SD 62</v>
      </c>
      <c r="B7" s="2537"/>
      <c r="C7" s="2537"/>
      <c r="D7" s="2538"/>
      <c r="E7" s="2539">
        <f>COVER!A13</f>
        <v>19022062002</v>
      </c>
      <c r="F7" s="2540"/>
      <c r="G7" s="2546" t="str">
        <f>COVER!T23</f>
        <v>066-003284</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Sikich LLP</v>
      </c>
      <c r="H9" s="2552"/>
      <c r="I9" s="2552"/>
      <c r="J9" s="2552"/>
      <c r="K9" s="2552"/>
      <c r="L9" s="2553"/>
    </row>
    <row r="10" spans="1:29" ht="13.5" customHeight="1" x14ac:dyDescent="0.2">
      <c r="A10" s="2525" t="str">
        <f>COVER!A38</f>
        <v>Victor Simon III, Ed. D.</v>
      </c>
      <c r="B10" s="2526"/>
      <c r="C10" s="2526"/>
      <c r="D10" s="2526"/>
      <c r="E10" s="2526"/>
      <c r="F10" s="2527"/>
      <c r="G10" s="2519" t="str">
        <f>COVER!T17</f>
        <v>1415 W. Diehl Road, Suite 400</v>
      </c>
      <c r="H10" s="2520"/>
      <c r="I10" s="2520"/>
      <c r="J10" s="2520"/>
      <c r="K10" s="2520"/>
      <c r="L10" s="2521"/>
    </row>
    <row r="11" spans="1:29" ht="13.5" customHeight="1" x14ac:dyDescent="0.2">
      <c r="A11" s="963" t="s">
        <v>1502</v>
      </c>
      <c r="B11" s="964"/>
      <c r="C11" s="965"/>
      <c r="D11" s="970"/>
      <c r="E11" s="965"/>
      <c r="F11" s="969"/>
      <c r="G11" s="2519" t="str">
        <f>COVER!T19</f>
        <v xml:space="preserve">Naperville </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anthony.cervini@sikich.com</v>
      </c>
      <c r="J13" s="2532"/>
      <c r="K13" s="2532"/>
      <c r="L13" s="2533"/>
    </row>
    <row r="14" spans="1:29" ht="13.5" customHeight="1" x14ac:dyDescent="0.2">
      <c r="A14" s="2519" t="str">
        <f>COVER!A19</f>
        <v xml:space="preserve">7700 Clarendon Hills Road </v>
      </c>
      <c r="B14" s="2520"/>
      <c r="C14" s="2520"/>
      <c r="D14" s="2520"/>
      <c r="E14" s="2520"/>
      <c r="F14" s="2521"/>
      <c r="G14" s="974" t="s">
        <v>1175</v>
      </c>
      <c r="H14" s="972"/>
      <c r="I14" s="972"/>
      <c r="J14" s="972"/>
      <c r="K14" s="972"/>
      <c r="L14" s="973"/>
    </row>
    <row r="15" spans="1:29" ht="13.5" customHeight="1" x14ac:dyDescent="0.2">
      <c r="A15" s="2519" t="str">
        <f>COVER!A21</f>
        <v xml:space="preserve">Willowbrook </v>
      </c>
      <c r="B15" s="2520"/>
      <c r="C15" s="2520"/>
      <c r="D15" s="2520"/>
      <c r="E15" s="2520"/>
      <c r="F15" s="2521"/>
      <c r="G15" s="2516" t="str">
        <f>COVER!T15</f>
        <v xml:space="preserve">Anthony Cervini </v>
      </c>
      <c r="H15" s="2517"/>
      <c r="I15" s="2517"/>
      <c r="J15" s="2517"/>
      <c r="K15" s="2517"/>
      <c r="L15" s="2518"/>
    </row>
    <row r="16" spans="1:29" ht="12.2" customHeight="1" x14ac:dyDescent="0.2">
      <c r="A16" s="2542">
        <f>COVER!A25</f>
        <v>60527</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630.566.8400</v>
      </c>
      <c r="H18" s="2537"/>
      <c r="I18" s="2537"/>
      <c r="J18" s="2537"/>
      <c r="K18" s="2536" t="str">
        <f>COVER!X21</f>
        <v>630.566.8458</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Gower SD 62</v>
      </c>
      <c r="B1" s="2559"/>
      <c r="C1" s="2559"/>
      <c r="D1" s="2559"/>
    </row>
    <row r="2" spans="1:11" s="991" customFormat="1" ht="12.75" x14ac:dyDescent="0.2">
      <c r="A2" s="2560">
        <f>'Single Audit Cover'!E7</f>
        <v>19022062002</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Gower SD 62</v>
      </c>
      <c r="B1" s="2563"/>
      <c r="C1" s="2563"/>
      <c r="D1" s="2563"/>
      <c r="E1" s="2563"/>
    </row>
    <row r="2" spans="1:5" x14ac:dyDescent="0.2">
      <c r="A2" s="2564">
        <f>'Single Audit Cover'!E7</f>
        <v>19022062002</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472341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472341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472341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472341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Gower SD 62</v>
      </c>
      <c r="C1" s="2567"/>
      <c r="D1" s="2567"/>
      <c r="E1" s="2567"/>
      <c r="F1" s="2567"/>
      <c r="G1" s="2567"/>
      <c r="H1" s="2567"/>
      <c r="I1" s="2567"/>
      <c r="J1" s="2567"/>
      <c r="K1" s="2567"/>
      <c r="L1" s="2567"/>
      <c r="M1" s="2567"/>
    </row>
    <row r="2" spans="2:14" ht="15" x14ac:dyDescent="0.2">
      <c r="B2" s="2568">
        <f>'Single Audit Cover'!E7</f>
        <v>19022062002</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Gower SD 62</v>
      </c>
      <c r="B1" s="2580"/>
      <c r="C1" s="2580"/>
      <c r="D1" s="2580"/>
      <c r="E1" s="2580"/>
      <c r="F1" s="2580"/>
    </row>
    <row r="2" spans="1:7" ht="13.5" customHeight="1" x14ac:dyDescent="0.2">
      <c r="A2" s="2568">
        <f>'Single Audit Cover'!E7</f>
        <v>19022062002</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32" colorId="8" zoomScaleNormal="100" workbookViewId="0">
      <selection activeCell="D125" sqref="D12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33239</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2060</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t="s">
        <v>2069</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Gower SD 62</v>
      </c>
      <c r="C1" s="2595"/>
      <c r="D1" s="2595"/>
      <c r="E1" s="2595"/>
      <c r="F1" s="2595"/>
      <c r="G1" s="2595"/>
      <c r="H1" s="2595"/>
      <c r="I1" s="2595"/>
      <c r="J1" s="1178"/>
    </row>
    <row r="2" spans="2:10" s="295" customFormat="1" ht="12.75" customHeight="1" x14ac:dyDescent="0.2">
      <c r="B2" s="2596">
        <f>'Single Audit Cover'!E7</f>
        <v>19022062002</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7" t="str">
        <f>"Total Federal Expenditures for 7/1/"&amp;MID('AFR20'!E2,3,2)-1&amp;"-6/30/"&amp;MID('AFR20'!E2,3,2)</f>
        <v>Total Federal Expenditures for 7/1/19-6/30/20</v>
      </c>
      <c r="C45" s="1918"/>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Gower SD 62</v>
      </c>
      <c r="C1" s="2594"/>
      <c r="D1" s="2594"/>
      <c r="E1" s="2594"/>
      <c r="F1" s="2594"/>
      <c r="G1" s="2594"/>
      <c r="H1" s="2594"/>
      <c r="I1" s="2594"/>
      <c r="J1" s="2594"/>
      <c r="K1" s="2594"/>
      <c r="L1" s="1144"/>
      <c r="M1" s="1144"/>
    </row>
    <row r="2" spans="1:13" ht="12" customHeight="1" x14ac:dyDescent="0.2">
      <c r="B2" s="2596">
        <f>'Single Audit Cover'!E7</f>
        <v>19022062002</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Gower SD 62</v>
      </c>
      <c r="C1" s="2617"/>
      <c r="D1" s="2617"/>
      <c r="E1" s="2617"/>
      <c r="F1" s="2617"/>
      <c r="G1" s="2617"/>
      <c r="H1" s="2617"/>
      <c r="I1" s="2617"/>
      <c r="J1" s="2617"/>
      <c r="K1" s="2617"/>
      <c r="L1" s="1221"/>
    </row>
    <row r="2" spans="1:12" ht="12.75" customHeight="1" x14ac:dyDescent="0.2">
      <c r="B2" s="2618">
        <f>'Single Audit Cover'!E7</f>
        <v>19022062002</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Gower SD 62</v>
      </c>
      <c r="C1" s="2594"/>
      <c r="D1" s="2594"/>
      <c r="E1" s="1240"/>
    </row>
    <row r="2" spans="2:5" s="1058" customFormat="1" ht="12.75" customHeight="1" x14ac:dyDescent="0.2">
      <c r="B2" s="2596">
        <f>'Single Audit Cover'!E7</f>
        <v>19022062002</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779140316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1.3358E-2</v>
      </c>
      <c r="E10" s="333" t="s">
        <v>998</v>
      </c>
      <c r="F10" s="332">
        <v>1.6930000000000001E-3</v>
      </c>
      <c r="G10" s="333" t="s">
        <v>998</v>
      </c>
      <c r="H10" s="332">
        <v>6.8999999999999997E-4</v>
      </c>
      <c r="I10" s="333" t="s">
        <v>999</v>
      </c>
      <c r="J10" s="1424">
        <f>ROUND(D10+F10+H10,5)</f>
        <v>1.5740000000000001E-2</v>
      </c>
      <c r="K10" s="217"/>
      <c r="L10" s="332"/>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14316090</v>
      </c>
      <c r="E16" s="1547"/>
      <c r="F16" s="1546">
        <f>SUM('Acct Summary 7-8'!C17,'Acct Summary 7-8'!D17,'Acct Summary 7-8'!F17)</f>
        <v>13665359</v>
      </c>
      <c r="G16" s="1547"/>
      <c r="H16" s="1546">
        <f>SUM(D16-F16)</f>
        <v>650731</v>
      </c>
      <c r="I16" s="1548"/>
      <c r="J16" s="1546">
        <f>SUM('Acct Summary 7-8'!C81,'Acct Summary 7-8'!D81,'Acct Summary 7-8'!F81,'Acct Summary 7-8'!I81)</f>
        <v>12535667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53760681.804000005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3250000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22"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Gower SD 62</v>
      </c>
      <c r="E7" s="368"/>
      <c r="G7" s="247"/>
      <c r="H7" s="364"/>
      <c r="I7" s="364"/>
      <c r="J7" s="364"/>
      <c r="K7" s="364"/>
      <c r="L7" s="307"/>
      <c r="M7" s="307"/>
      <c r="N7" s="307"/>
      <c r="O7" s="307"/>
      <c r="P7" s="307"/>
    </row>
    <row r="8" spans="1:18" ht="12.75" x14ac:dyDescent="0.2">
      <c r="A8" s="307"/>
      <c r="B8" s="307"/>
      <c r="C8" s="366" t="s">
        <v>1115</v>
      </c>
      <c r="D8" s="369">
        <f>COVER!A13</f>
        <v>19022062002</v>
      </c>
      <c r="E8" s="370"/>
      <c r="G8" s="307"/>
      <c r="H8" s="307"/>
      <c r="I8" s="307"/>
      <c r="J8" s="307"/>
      <c r="K8" s="307"/>
      <c r="L8" s="307"/>
      <c r="M8" s="307"/>
      <c r="N8" s="307"/>
      <c r="O8" s="307"/>
      <c r="P8" s="307"/>
    </row>
    <row r="9" spans="1:18" ht="12.75" x14ac:dyDescent="0.2">
      <c r="A9" s="307"/>
      <c r="B9" s="307"/>
      <c r="C9" s="366" t="s">
        <v>708</v>
      </c>
      <c r="D9" s="371" t="str">
        <f>COVER!A15</f>
        <v>DuPage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12535667</v>
      </c>
      <c r="I12" s="380"/>
      <c r="J12" s="380"/>
      <c r="K12" s="1559">
        <f>TRUNC((H12/H13*100000),5)/100000</f>
        <v>0.8756348276</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14316090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13665359</v>
      </c>
      <c r="I17" s="380"/>
      <c r="J17" s="389"/>
      <c r="K17" s="1559">
        <f>TRUNC((H17/H18*100000),5)/100000</f>
        <v>0.95454547990000005</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14316090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12535667</v>
      </c>
      <c r="I24" s="394"/>
      <c r="J24" s="394"/>
      <c r="K24" s="1555">
        <f>TRUNC(((H24/H25*100000)/100000),2)</f>
        <v>330.23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37959.330560000002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10424118.287760001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3250000</v>
      </c>
      <c r="I32" s="392"/>
      <c r="J32" s="392"/>
      <c r="K32" s="1555">
        <f>TRUNC(100-((((H32/H33*100))*100)/100),2)</f>
        <v>93.95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53760681.804000005</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topLeftCell="C1" colorId="8" zoomScale="110" zoomScaleNormal="110" workbookViewId="0">
      <pane ySplit="2" topLeftCell="A30" activePane="bottomLeft" state="frozen"/>
      <selection pane="bottomLeft" activeCell="L34" sqref="L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10904815</v>
      </c>
      <c r="D4" s="1573">
        <v>1022356</v>
      </c>
      <c r="E4" s="1573">
        <v>986995</v>
      </c>
      <c r="F4" s="1573">
        <v>608496</v>
      </c>
      <c r="G4" s="1573">
        <v>532133</v>
      </c>
      <c r="H4" s="1573"/>
      <c r="I4" s="1573"/>
      <c r="J4" s="1574">
        <v>89494</v>
      </c>
      <c r="K4" s="1573"/>
      <c r="L4" s="1573">
        <v>44744</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10904815</v>
      </c>
      <c r="D13" s="1587">
        <f t="shared" ref="D13:L13" si="0">SUM(D4:D12)</f>
        <v>1022356</v>
      </c>
      <c r="E13" s="1587">
        <f t="shared" si="0"/>
        <v>986995</v>
      </c>
      <c r="F13" s="1587">
        <f t="shared" si="0"/>
        <v>608496</v>
      </c>
      <c r="G13" s="1587">
        <f t="shared" si="0"/>
        <v>532133</v>
      </c>
      <c r="H13" s="1587">
        <f t="shared" si="0"/>
        <v>0</v>
      </c>
      <c r="I13" s="1587">
        <f t="shared" si="0"/>
        <v>0</v>
      </c>
      <c r="J13" s="1587">
        <f t="shared" si="0"/>
        <v>89494</v>
      </c>
      <c r="K13" s="1587">
        <f t="shared" si="0"/>
        <v>0</v>
      </c>
      <c r="L13" s="1587">
        <f t="shared" si="0"/>
        <v>44744</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951820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20518100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1783503</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5674320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986995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2263005</v>
      </c>
    </row>
    <row r="23" spans="1:14" ht="13.5" customHeight="1" thickBot="1" x14ac:dyDescent="0.25">
      <c r="A23" s="1426" t="s">
        <v>638</v>
      </c>
      <c r="B23" s="1429"/>
      <c r="C23" s="1575"/>
      <c r="D23" s="1575"/>
      <c r="E23" s="1575"/>
      <c r="F23" s="1575"/>
      <c r="G23" s="1575"/>
      <c r="H23" s="1575"/>
      <c r="I23" s="1575"/>
      <c r="J23" s="1575"/>
      <c r="K23" s="1575"/>
      <c r="L23" s="1575"/>
      <c r="M23" s="1594">
        <f>SUM(M15:M22)</f>
        <v>28927743</v>
      </c>
      <c r="N23" s="1594">
        <f>SUM(N21:N22)</f>
        <v>3250000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44744</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44744</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3250000</v>
      </c>
    </row>
    <row r="37" spans="1:14" ht="13.5" thickBot="1" x14ac:dyDescent="0.25">
      <c r="A37" s="1426" t="s">
        <v>648</v>
      </c>
      <c r="B37" s="1429"/>
      <c r="C37" s="1582"/>
      <c r="D37" s="1582"/>
      <c r="E37" s="1582"/>
      <c r="F37" s="1582"/>
      <c r="G37" s="1582"/>
      <c r="H37" s="1582"/>
      <c r="I37" s="1582"/>
      <c r="J37" s="1582"/>
      <c r="K37" s="1582"/>
      <c r="L37" s="1585"/>
      <c r="M37" s="1575"/>
      <c r="N37" s="1594">
        <f>SUM(N36:N36)</f>
        <v>3250000</v>
      </c>
    </row>
    <row r="38" spans="1:14" s="307" customFormat="1" ht="13.5" customHeight="1" thickTop="1" x14ac:dyDescent="0.2">
      <c r="A38" s="438" t="s">
        <v>417</v>
      </c>
      <c r="B38" s="432">
        <v>714</v>
      </c>
      <c r="C38" s="1573"/>
      <c r="D38" s="1573">
        <v>1022356</v>
      </c>
      <c r="E38" s="1573">
        <v>986995</v>
      </c>
      <c r="F38" s="1573">
        <v>608496</v>
      </c>
      <c r="G38" s="1573">
        <v>532133</v>
      </c>
      <c r="H38" s="1573"/>
      <c r="I38" s="1573"/>
      <c r="J38" s="1574">
        <v>89494</v>
      </c>
      <c r="K38" s="1573"/>
      <c r="L38" s="1586"/>
      <c r="M38" s="1604"/>
      <c r="N38" s="1604"/>
    </row>
    <row r="39" spans="1:14" s="307" customFormat="1" ht="13.5" customHeight="1" x14ac:dyDescent="0.2">
      <c r="A39" s="438" t="s">
        <v>339</v>
      </c>
      <c r="B39" s="432">
        <v>730</v>
      </c>
      <c r="C39" s="1573">
        <v>10904815</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28927743</v>
      </c>
      <c r="N40" s="1604"/>
    </row>
    <row r="41" spans="1:14" ht="13.5" customHeight="1" thickBot="1" x14ac:dyDescent="0.25">
      <c r="A41" s="1426" t="s">
        <v>650</v>
      </c>
      <c r="B41" s="1405"/>
      <c r="C41" s="1594">
        <f>(SUM(C34,C37,C38,C39))</f>
        <v>10904815</v>
      </c>
      <c r="D41" s="1594">
        <f t="shared" ref="D41:L41" si="2">SUM(D34,D37,D38:D39)</f>
        <v>1022356</v>
      </c>
      <c r="E41" s="1594">
        <f t="shared" si="2"/>
        <v>986995</v>
      </c>
      <c r="F41" s="1594">
        <f t="shared" si="2"/>
        <v>608496</v>
      </c>
      <c r="G41" s="1594">
        <f t="shared" si="2"/>
        <v>532133</v>
      </c>
      <c r="H41" s="1594">
        <f t="shared" si="2"/>
        <v>0</v>
      </c>
      <c r="I41" s="1594">
        <f t="shared" si="2"/>
        <v>0</v>
      </c>
      <c r="J41" s="1594">
        <f t="shared" si="2"/>
        <v>89494</v>
      </c>
      <c r="K41" s="1594">
        <f t="shared" si="2"/>
        <v>0</v>
      </c>
      <c r="L41" s="1594">
        <f t="shared" si="2"/>
        <v>44744</v>
      </c>
      <c r="M41" s="1594">
        <f>SUM(M40)</f>
        <v>28927743</v>
      </c>
      <c r="N41" s="1594">
        <f>SUM(N37)</f>
        <v>3250000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topLeftCell="C1" colorId="8" zoomScale="110" zoomScaleNormal="110" zoomScaleSheetLayoutView="100" workbookViewId="0">
      <pane ySplit="2" topLeftCell="A75" activePane="bottomLeft" state="frozen"/>
      <selection pane="bottomLeft" activeCell="F80" sqref="F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11132604</v>
      </c>
      <c r="D4" s="1606">
        <f>'Revenues 9-14'!D109</f>
        <v>1318939</v>
      </c>
      <c r="E4" s="1606">
        <f>'Revenues 9-14'!E109</f>
        <v>1162863</v>
      </c>
      <c r="F4" s="1606">
        <f>'Revenues 9-14'!F109</f>
        <v>534372</v>
      </c>
      <c r="G4" s="1606">
        <f>'Revenues 9-14'!G109</f>
        <v>473360</v>
      </c>
      <c r="H4" s="1606">
        <f>'Revenues 9-14'!H109</f>
        <v>0</v>
      </c>
      <c r="I4" s="1606">
        <f>'Revenues 9-14'!I109</f>
        <v>0</v>
      </c>
      <c r="J4" s="1606">
        <f>'Revenues 9-14'!J109</f>
        <v>20672</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670965</v>
      </c>
      <c r="D6" s="1607">
        <f>'Revenues 9-14'!D170</f>
        <v>0</v>
      </c>
      <c r="E6" s="1607">
        <f>'Revenues 9-14'!E170</f>
        <v>0</v>
      </c>
      <c r="F6" s="1607">
        <f>'Revenues 9-14'!F170</f>
        <v>186869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472341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12275910</v>
      </c>
      <c r="D8" s="1594">
        <f t="shared" ref="D8:K8" si="0">SUM(D4:D7)</f>
        <v>1318939</v>
      </c>
      <c r="E8" s="1594">
        <f t="shared" si="0"/>
        <v>1162863</v>
      </c>
      <c r="F8" s="1594">
        <f t="shared" si="0"/>
        <v>721241</v>
      </c>
      <c r="G8" s="1594">
        <f t="shared" si="0"/>
        <v>473360</v>
      </c>
      <c r="H8" s="1594">
        <f t="shared" si="0"/>
        <v>0</v>
      </c>
      <c r="I8" s="1594">
        <f t="shared" si="0"/>
        <v>0</v>
      </c>
      <c r="J8" s="1594">
        <f t="shared" si="0"/>
        <v>20672</v>
      </c>
      <c r="K8" s="1594">
        <f t="shared" si="0"/>
        <v>0</v>
      </c>
      <c r="L8" s="325"/>
    </row>
    <row r="9" spans="1:13" ht="15.75" thickTop="1" x14ac:dyDescent="0.2">
      <c r="A9" s="449" t="s">
        <v>1634</v>
      </c>
      <c r="B9" s="450">
        <v>3998</v>
      </c>
      <c r="C9" s="1586">
        <v>6764567</v>
      </c>
      <c r="D9" s="1613"/>
      <c r="E9" s="1586"/>
      <c r="F9" s="1586"/>
      <c r="G9" s="1614"/>
      <c r="H9" s="1586"/>
      <c r="I9" s="1609" t="s">
        <v>1159</v>
      </c>
      <c r="J9" s="1583"/>
      <c r="K9" s="1586"/>
      <c r="L9" s="325"/>
    </row>
    <row r="10" spans="1:13" s="452" customFormat="1" ht="13.5" thickBot="1" x14ac:dyDescent="0.25">
      <c r="A10" s="1426" t="s">
        <v>1163</v>
      </c>
      <c r="B10" s="1407"/>
      <c r="C10" s="1594">
        <f>SUM(C8:C9)</f>
        <v>19040477</v>
      </c>
      <c r="D10" s="1594">
        <f t="shared" ref="D10:K10" si="1">SUM(D8:D9)</f>
        <v>1318939</v>
      </c>
      <c r="E10" s="1594">
        <f t="shared" si="1"/>
        <v>1162863</v>
      </c>
      <c r="F10" s="1594">
        <f t="shared" si="1"/>
        <v>721241</v>
      </c>
      <c r="G10" s="1594">
        <f t="shared" si="1"/>
        <v>473360</v>
      </c>
      <c r="H10" s="1594">
        <f t="shared" si="1"/>
        <v>0</v>
      </c>
      <c r="I10" s="1594">
        <f t="shared" si="1"/>
        <v>0</v>
      </c>
      <c r="J10" s="1594">
        <f t="shared" si="1"/>
        <v>20672</v>
      </c>
      <c r="K10" s="1594">
        <f t="shared" si="1"/>
        <v>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7662625</v>
      </c>
      <c r="D12" s="1616" t="s">
        <v>1159</v>
      </c>
      <c r="E12" s="1575" t="s">
        <v>1159</v>
      </c>
      <c r="F12" s="1575" t="s">
        <v>1159</v>
      </c>
      <c r="G12" s="1606">
        <f>'Expenditures 15-22'!K229</f>
        <v>195565</v>
      </c>
      <c r="H12" s="1617"/>
      <c r="I12" s="1575" t="s">
        <v>1159</v>
      </c>
      <c r="J12" s="1575" t="s">
        <v>1159</v>
      </c>
      <c r="K12" s="1617" t="s">
        <v>1159</v>
      </c>
      <c r="L12" s="325"/>
    </row>
    <row r="13" spans="1:13" ht="15.75" customHeight="1" x14ac:dyDescent="0.2">
      <c r="A13" s="1314" t="s">
        <v>454</v>
      </c>
      <c r="B13" s="1316">
        <v>2000</v>
      </c>
      <c r="C13" s="1607">
        <f>'Expenditures 15-22'!K74</f>
        <v>3808161</v>
      </c>
      <c r="D13" s="1607">
        <f>'Expenditures 15-22'!K129</f>
        <v>1181905</v>
      </c>
      <c r="E13" s="1576" t="s">
        <v>1159</v>
      </c>
      <c r="F13" s="1607">
        <f>'Expenditures 15-22'!K184</f>
        <v>614230</v>
      </c>
      <c r="G13" s="1607">
        <f>'Expenditures 15-22'!K279</f>
        <v>233269</v>
      </c>
      <c r="H13" s="1607">
        <f>'Expenditures 15-22'!K303</f>
        <v>0</v>
      </c>
      <c r="I13" s="1575" t="s">
        <v>1159</v>
      </c>
      <c r="J13" s="1607">
        <f>'Expenditures 15-22'!K330</f>
        <v>39058</v>
      </c>
      <c r="K13" s="1618">
        <f>'Expenditures 15-22'!K352</f>
        <v>0</v>
      </c>
      <c r="L13" s="325"/>
    </row>
    <row r="14" spans="1:13" ht="15.75" customHeight="1" x14ac:dyDescent="0.2">
      <c r="A14" s="1314" t="s">
        <v>446</v>
      </c>
      <c r="B14" s="1316">
        <v>3000</v>
      </c>
      <c r="C14" s="1607">
        <f>'Expenditures 15-22'!K75</f>
        <v>1450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396988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1138400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11869224</v>
      </c>
      <c r="D17" s="1594">
        <f t="shared" si="2"/>
        <v>1181905</v>
      </c>
      <c r="E17" s="1594">
        <f t="shared" si="2"/>
        <v>1138400</v>
      </c>
      <c r="F17" s="1594">
        <f t="shared" si="2"/>
        <v>614230</v>
      </c>
      <c r="G17" s="1594">
        <f t="shared" si="2"/>
        <v>428834</v>
      </c>
      <c r="H17" s="1594">
        <f t="shared" si="2"/>
        <v>0</v>
      </c>
      <c r="I17" s="1575"/>
      <c r="J17" s="1594">
        <f>SUM(J12:J16)</f>
        <v>39058</v>
      </c>
      <c r="K17" s="1594">
        <f>SUM(K12:K16)</f>
        <v>0</v>
      </c>
      <c r="L17" s="325"/>
    </row>
    <row r="18" spans="1:12" ht="15" customHeight="1" thickTop="1" x14ac:dyDescent="0.2">
      <c r="A18" s="1430" t="s">
        <v>1635</v>
      </c>
      <c r="B18" s="1431">
        <v>4180</v>
      </c>
      <c r="C18" s="1606">
        <f t="shared" ref="C18:H18" si="3">C9</f>
        <v>6764567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18633791</v>
      </c>
      <c r="D19" s="1594">
        <f t="shared" si="4"/>
        <v>1181905</v>
      </c>
      <c r="E19" s="1594">
        <f t="shared" si="4"/>
        <v>1138400</v>
      </c>
      <c r="F19" s="1594">
        <f t="shared" si="4"/>
        <v>614230</v>
      </c>
      <c r="G19" s="1594">
        <f t="shared" si="4"/>
        <v>428834</v>
      </c>
      <c r="H19" s="1594">
        <f t="shared" si="4"/>
        <v>0</v>
      </c>
      <c r="I19" s="1575"/>
      <c r="J19" s="1594">
        <f>SUM(J17:J18)</f>
        <v>39058</v>
      </c>
      <c r="K19" s="1594">
        <f>SUM(K17:K18)</f>
        <v>0</v>
      </c>
      <c r="L19" s="325"/>
    </row>
    <row r="20" spans="1:12" ht="16.5" thickTop="1" thickBot="1" x14ac:dyDescent="0.25">
      <c r="A20" s="2232" t="s">
        <v>1636</v>
      </c>
      <c r="B20" s="2233"/>
      <c r="C20" s="1622">
        <f>C8-C17</f>
        <v>406686</v>
      </c>
      <c r="D20" s="1622">
        <f t="shared" ref="D20:K20" si="5">D8-D17</f>
        <v>137034</v>
      </c>
      <c r="E20" s="1622">
        <f t="shared" si="5"/>
        <v>24463</v>
      </c>
      <c r="F20" s="1622">
        <f t="shared" si="5"/>
        <v>107011</v>
      </c>
      <c r="G20" s="1622">
        <f t="shared" si="5"/>
        <v>44526</v>
      </c>
      <c r="H20" s="1622">
        <f t="shared" si="5"/>
        <v>0</v>
      </c>
      <c r="I20" s="1622">
        <f t="shared" si="5"/>
        <v>0</v>
      </c>
      <c r="J20" s="1622">
        <f t="shared" si="5"/>
        <v>-18386</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406686</v>
      </c>
      <c r="D78" s="1629">
        <f t="shared" si="9"/>
        <v>137034</v>
      </c>
      <c r="E78" s="1629">
        <f t="shared" si="9"/>
        <v>24463</v>
      </c>
      <c r="F78" s="1629">
        <f t="shared" si="9"/>
        <v>107011</v>
      </c>
      <c r="G78" s="1629">
        <f t="shared" si="9"/>
        <v>44526</v>
      </c>
      <c r="H78" s="1629">
        <f t="shared" si="9"/>
        <v>0</v>
      </c>
      <c r="I78" s="1629">
        <f t="shared" si="9"/>
        <v>0</v>
      </c>
      <c r="J78" s="1629">
        <f t="shared" si="9"/>
        <v>-18386</v>
      </c>
      <c r="K78" s="1629">
        <f t="shared" si="9"/>
        <v>0</v>
      </c>
      <c r="L78" s="457"/>
    </row>
    <row r="79" spans="1:12" ht="13.5" thickTop="1" x14ac:dyDescent="0.2">
      <c r="A79" s="1844" t="str">
        <f>"Fund Balances - July 1, "&amp;'AFR20'!E2-1</f>
        <v>Fund Balances - July 1, 2019</v>
      </c>
      <c r="B79" s="458"/>
      <c r="C79" s="1583">
        <v>10498129</v>
      </c>
      <c r="D79" s="1630">
        <v>885322</v>
      </c>
      <c r="E79" s="1630">
        <v>962532</v>
      </c>
      <c r="F79" s="1630">
        <v>501485</v>
      </c>
      <c r="G79" s="1630">
        <v>487607</v>
      </c>
      <c r="H79" s="1630"/>
      <c r="I79" s="1630"/>
      <c r="J79" s="1630">
        <v>107880</v>
      </c>
      <c r="K79" s="1630"/>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10904815</v>
      </c>
      <c r="D81" s="1594">
        <f>SUM(D78:D80)</f>
        <v>1022356</v>
      </c>
      <c r="E81" s="1594">
        <f t="shared" ref="E81:K81" si="10">SUM(E78:E80)</f>
        <v>986995</v>
      </c>
      <c r="F81" s="1594">
        <f t="shared" si="10"/>
        <v>608496</v>
      </c>
      <c r="G81" s="1594">
        <f t="shared" si="10"/>
        <v>532133</v>
      </c>
      <c r="H81" s="1594">
        <f t="shared" si="10"/>
        <v>0</v>
      </c>
      <c r="I81" s="1594">
        <f t="shared" si="10"/>
        <v>0</v>
      </c>
      <c r="J81" s="1594">
        <f t="shared" si="10"/>
        <v>89494</v>
      </c>
      <c r="K81" s="1594">
        <f t="shared" si="10"/>
        <v>0</v>
      </c>
      <c r="L81" s="325"/>
    </row>
    <row r="82" spans="1:12" ht="0.75" customHeight="1" thickTop="1" thickBot="1" x14ac:dyDescent="0.25">
      <c r="A82" s="459" t="s">
        <v>340</v>
      </c>
      <c r="B82" s="460"/>
      <c r="C82" s="461">
        <f>(C81-C79)</f>
        <v>406686</v>
      </c>
      <c r="D82" s="461">
        <f t="shared" ref="D82:K82" si="11">(D81-D79)</f>
        <v>137034</v>
      </c>
      <c r="E82" s="461">
        <f t="shared" si="11"/>
        <v>24463</v>
      </c>
      <c r="F82" s="461">
        <f t="shared" si="11"/>
        <v>107011</v>
      </c>
      <c r="G82" s="461">
        <f t="shared" si="11"/>
        <v>44526</v>
      </c>
      <c r="H82" s="461">
        <f t="shared" si="11"/>
        <v>0</v>
      </c>
      <c r="I82" s="461">
        <f t="shared" si="11"/>
        <v>0</v>
      </c>
      <c r="J82" s="461">
        <f t="shared" si="11"/>
        <v>-18386</v>
      </c>
      <c r="K82" s="461">
        <f t="shared" si="11"/>
        <v>0</v>
      </c>
    </row>
    <row r="83" spans="1:12" ht="14.25" hidden="1" thickTop="1" thickBot="1" x14ac:dyDescent="0.25">
      <c r="A83" s="462" t="s">
        <v>341</v>
      </c>
      <c r="B83" s="428"/>
      <c r="C83" s="463">
        <f>C82/C81</f>
        <v>3.7294167759838202E-2</v>
      </c>
      <c r="D83" s="463">
        <f t="shared" ref="D83:K83" si="12">D82/D81</f>
        <v>0.1340374585760733</v>
      </c>
      <c r="E83" s="463">
        <f t="shared" si="12"/>
        <v>2.4785333259033735E-2</v>
      </c>
      <c r="F83" s="463">
        <f t="shared" si="12"/>
        <v>0.1758614682758802</v>
      </c>
      <c r="G83" s="463">
        <f t="shared" si="12"/>
        <v>8.3674570079284694E-2</v>
      </c>
      <c r="H83" s="463" t="e">
        <f t="shared" si="12"/>
        <v>#DIV/0!</v>
      </c>
      <c r="I83" s="463" t="e">
        <f t="shared" si="12"/>
        <v>#DIV/0!</v>
      </c>
      <c r="J83" s="463">
        <f t="shared" si="12"/>
        <v>-0.20544394037589112</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10194760</v>
      </c>
      <c r="D5" s="1586">
        <v>1252765</v>
      </c>
      <c r="E5" s="1573">
        <v>1152116</v>
      </c>
      <c r="F5" s="1631">
        <v>513855</v>
      </c>
      <c r="G5" s="1573">
        <f>444058-G8</f>
        <v>222025</v>
      </c>
      <c r="H5" s="1573"/>
      <c r="I5" s="1573"/>
      <c r="J5" s="1574">
        <v>19919</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v>222033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10194760</v>
      </c>
      <c r="D12" s="1633">
        <f t="shared" si="0"/>
        <v>1252765</v>
      </c>
      <c r="E12" s="1633">
        <f t="shared" si="0"/>
        <v>1152116</v>
      </c>
      <c r="F12" s="1633">
        <f t="shared" si="0"/>
        <v>513855</v>
      </c>
      <c r="G12" s="1633">
        <f t="shared" si="0"/>
        <v>444058</v>
      </c>
      <c r="H12" s="1633">
        <f t="shared" si="0"/>
        <v>0</v>
      </c>
      <c r="I12" s="1633">
        <f t="shared" si="0"/>
        <v>0</v>
      </c>
      <c r="J12" s="1633">
        <f t="shared" si="0"/>
        <v>19919</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380648</v>
      </c>
      <c r="D16" s="1573"/>
      <c r="E16" s="1573"/>
      <c r="F16" s="1573"/>
      <c r="G16" s="1573">
        <v>23000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380648</v>
      </c>
      <c r="D18" s="1635">
        <f t="shared" ref="D18:K18" si="1">SUM(D14:D17)</f>
        <v>0</v>
      </c>
      <c r="E18" s="1635">
        <f t="shared" si="1"/>
        <v>0</v>
      </c>
      <c r="F18" s="1635">
        <f t="shared" si="1"/>
        <v>0</v>
      </c>
      <c r="G18" s="1635">
        <f t="shared" si="1"/>
        <v>23000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v>900</v>
      </c>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134781</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135681</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13899</v>
      </c>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13899</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156918</v>
      </c>
      <c r="D65" s="1573">
        <v>11439</v>
      </c>
      <c r="E65" s="1573">
        <v>10747</v>
      </c>
      <c r="F65" s="1574">
        <v>6618</v>
      </c>
      <c r="G65" s="1573">
        <v>6302</v>
      </c>
      <c r="H65" s="1573"/>
      <c r="I65" s="1573"/>
      <c r="J65" s="1574">
        <v>753</v>
      </c>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156918</v>
      </c>
      <c r="D67" s="1594">
        <f t="shared" ref="D67:K67" si="2">SUM(D65:D66)</f>
        <v>11439</v>
      </c>
      <c r="E67" s="1594">
        <f t="shared" si="2"/>
        <v>10747</v>
      </c>
      <c r="F67" s="1594">
        <f t="shared" si="2"/>
        <v>6618</v>
      </c>
      <c r="G67" s="1594">
        <f t="shared" si="2"/>
        <v>6302</v>
      </c>
      <c r="H67" s="1594">
        <f t="shared" si="2"/>
        <v>0</v>
      </c>
      <c r="I67" s="1594">
        <f t="shared" si="2"/>
        <v>0</v>
      </c>
      <c r="J67" s="1594">
        <f t="shared" si="2"/>
        <v>753</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189085</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189085</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3470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3470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36791</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36791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4735</v>
      </c>
      <c r="E95" s="1617"/>
      <c r="F95" s="1617"/>
      <c r="G95" s="1617"/>
      <c r="H95" s="1617"/>
      <c r="I95" s="1617"/>
      <c r="J95" s="1617"/>
      <c r="K95" s="1617"/>
    </row>
    <row r="96" spans="1:11" ht="12.75" customHeight="1" x14ac:dyDescent="0.2">
      <c r="A96" s="427" t="s">
        <v>388</v>
      </c>
      <c r="B96" s="429">
        <v>1920</v>
      </c>
      <c r="C96" s="1632">
        <v>16659</v>
      </c>
      <c r="D96" s="1632">
        <v>50000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3102</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130</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15360</v>
      </c>
      <c r="D107" s="1573"/>
      <c r="E107" s="1573"/>
      <c r="F107" s="1573"/>
      <c r="G107" s="1573"/>
      <c r="H107" s="1573"/>
      <c r="I107" s="1573"/>
      <c r="J107" s="1574"/>
      <c r="K107" s="1573"/>
    </row>
    <row r="108" spans="1:12" ht="12.75" customHeight="1" thickBot="1" x14ac:dyDescent="0.25">
      <c r="A108" s="1406" t="s">
        <v>484</v>
      </c>
      <c r="B108" s="1408"/>
      <c r="C108" s="1633">
        <f>SUM(C95:C107)</f>
        <v>35251</v>
      </c>
      <c r="D108" s="1633">
        <f t="shared" ref="D108:K108" si="3">SUM(D95:D107)</f>
        <v>54735</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11132604</v>
      </c>
      <c r="D109" s="1641">
        <f t="shared" si="4"/>
        <v>1318939</v>
      </c>
      <c r="E109" s="1641">
        <f t="shared" si="4"/>
        <v>1162863</v>
      </c>
      <c r="F109" s="1641">
        <f t="shared" si="4"/>
        <v>534372</v>
      </c>
      <c r="G109" s="1641">
        <f t="shared" si="4"/>
        <v>473360</v>
      </c>
      <c r="H109" s="1641">
        <f t="shared" si="4"/>
        <v>0</v>
      </c>
      <c r="I109" s="1641">
        <f t="shared" si="4"/>
        <v>0</v>
      </c>
      <c r="J109" s="1641">
        <f t="shared" si="4"/>
        <v>20672</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598426</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598426</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71789</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71789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6796</v>
      </c>
      <c r="G152" s="1574"/>
      <c r="H152" s="1575"/>
      <c r="I152" s="1575"/>
      <c r="J152" s="1575"/>
      <c r="K152" s="1575"/>
    </row>
    <row r="153" spans="1:11" ht="12.75" customHeight="1" x14ac:dyDescent="0.2">
      <c r="A153" s="427" t="s">
        <v>1048</v>
      </c>
      <c r="B153" s="478">
        <v>3510</v>
      </c>
      <c r="C153" s="1632"/>
      <c r="D153" s="1573"/>
      <c r="E153" s="1640"/>
      <c r="F153" s="1573">
        <v>180073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186869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72539</v>
      </c>
      <c r="D169" s="1658">
        <f t="shared" si="6"/>
        <v>0</v>
      </c>
      <c r="E169" s="1658">
        <f t="shared" si="6"/>
        <v>0</v>
      </c>
      <c r="F169" s="1658">
        <f t="shared" si="6"/>
        <v>186869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670965</v>
      </c>
      <c r="D170" s="1641">
        <f t="shared" si="7"/>
        <v>0</v>
      </c>
      <c r="E170" s="1641">
        <f t="shared" si="7"/>
        <v>0</v>
      </c>
      <c r="F170" s="1641">
        <f t="shared" si="7"/>
        <v>186869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103280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103280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17476</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17476</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2125</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182530</v>
      </c>
      <c r="D213" s="1573"/>
      <c r="E213" s="1575"/>
      <c r="F213" s="1573"/>
      <c r="G213" s="1573"/>
      <c r="H213" s="1575"/>
      <c r="I213" s="1575"/>
      <c r="J213" s="1575"/>
      <c r="K213" s="1575"/>
    </row>
    <row r="214" spans="1:11" ht="12.75" customHeight="1" x14ac:dyDescent="0.2">
      <c r="A214" s="427" t="s">
        <v>1045</v>
      </c>
      <c r="B214" s="429">
        <v>4625</v>
      </c>
      <c r="C214" s="1632">
        <v>34088</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218743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v>102938</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29904</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472341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472341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12275910</v>
      </c>
      <c r="D268" s="1641">
        <f t="shared" si="12"/>
        <v>1318939</v>
      </c>
      <c r="E268" s="1641">
        <f t="shared" si="12"/>
        <v>1162863</v>
      </c>
      <c r="F268" s="1641">
        <f t="shared" si="12"/>
        <v>721241</v>
      </c>
      <c r="G268" s="1641">
        <f t="shared" si="12"/>
        <v>473360</v>
      </c>
      <c r="H268" s="1641">
        <f t="shared" si="12"/>
        <v>0</v>
      </c>
      <c r="I268" s="1641">
        <f t="shared" si="12"/>
        <v>0</v>
      </c>
      <c r="J268" s="1641">
        <f t="shared" si="12"/>
        <v>20672</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297" activePane="bottomLeft" state="frozen"/>
      <selection pane="bottomLeft" activeCell="F167" sqref="F16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4106132</v>
      </c>
      <c r="D5" s="1573">
        <v>545139</v>
      </c>
      <c r="E5" s="1573">
        <v>2277</v>
      </c>
      <c r="F5" s="1573">
        <v>170916</v>
      </c>
      <c r="G5" s="1573">
        <v>17884</v>
      </c>
      <c r="H5" s="1573">
        <v>420</v>
      </c>
      <c r="I5" s="1574"/>
      <c r="J5" s="1574"/>
      <c r="K5" s="1672">
        <f>SUM(C5:J5)</f>
        <v>4842768</v>
      </c>
      <c r="L5" s="1573">
        <v>4916991</v>
      </c>
    </row>
    <row r="6" spans="1:14" x14ac:dyDescent="0.2">
      <c r="A6" s="1274" t="s">
        <v>1416</v>
      </c>
      <c r="B6" s="503" t="s">
        <v>1414</v>
      </c>
      <c r="C6" s="1582"/>
      <c r="D6" s="1582"/>
      <c r="E6" s="1573">
        <v>7614</v>
      </c>
      <c r="F6" s="1582"/>
      <c r="G6" s="1582"/>
      <c r="H6" s="1582"/>
      <c r="I6" s="1582"/>
      <c r="J6" s="1582"/>
      <c r="K6" s="1672">
        <f>SUM(C6,E6)</f>
        <v>7614</v>
      </c>
      <c r="L6" s="1573">
        <v>8635</v>
      </c>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1539571</v>
      </c>
      <c r="D8" s="1573">
        <v>262383</v>
      </c>
      <c r="E8" s="1573">
        <v>318938</v>
      </c>
      <c r="F8" s="1573">
        <v>7808</v>
      </c>
      <c r="G8" s="1573">
        <v>1079</v>
      </c>
      <c r="H8" s="1573"/>
      <c r="I8" s="1574"/>
      <c r="J8" s="1574"/>
      <c r="K8" s="1672">
        <f t="shared" si="0"/>
        <v>2129779</v>
      </c>
      <c r="L8" s="1573">
        <v>2139264</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222388</v>
      </c>
      <c r="D10" s="1573">
        <v>38088</v>
      </c>
      <c r="E10" s="1573"/>
      <c r="F10" s="1573">
        <v>24149</v>
      </c>
      <c r="G10" s="1573"/>
      <c r="H10" s="1573"/>
      <c r="I10" s="1574"/>
      <c r="J10" s="1574"/>
      <c r="K10" s="1672">
        <f t="shared" si="0"/>
        <v>284625</v>
      </c>
      <c r="L10" s="1573">
        <v>347839</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69281</v>
      </c>
      <c r="D14" s="1573">
        <v>817</v>
      </c>
      <c r="E14" s="1573">
        <v>180</v>
      </c>
      <c r="F14" s="1573">
        <v>8442</v>
      </c>
      <c r="G14" s="1573">
        <v>1773</v>
      </c>
      <c r="H14" s="1573">
        <v>10988</v>
      </c>
      <c r="I14" s="1574"/>
      <c r="J14" s="1574"/>
      <c r="K14" s="1672">
        <f t="shared" si="0"/>
        <v>91481</v>
      </c>
      <c r="L14" s="1573">
        <v>125680</v>
      </c>
    </row>
    <row r="15" spans="1:14" x14ac:dyDescent="0.2">
      <c r="A15" s="1274" t="s">
        <v>958</v>
      </c>
      <c r="B15" s="503">
        <v>1600</v>
      </c>
      <c r="C15" s="1573">
        <v>34926</v>
      </c>
      <c r="D15" s="1573">
        <v>988</v>
      </c>
      <c r="E15" s="1573"/>
      <c r="F15" s="1573">
        <v>-59</v>
      </c>
      <c r="G15" s="1573"/>
      <c r="H15" s="1573"/>
      <c r="I15" s="1574"/>
      <c r="J15" s="1574"/>
      <c r="K15" s="1672">
        <f t="shared" si="0"/>
        <v>35855</v>
      </c>
      <c r="L15" s="1573">
        <v>11150</v>
      </c>
    </row>
    <row r="16" spans="1:14" x14ac:dyDescent="0.2">
      <c r="A16" s="1274" t="s">
        <v>980</v>
      </c>
      <c r="B16" s="503" t="s">
        <v>421</v>
      </c>
      <c r="C16" s="1573">
        <v>97197</v>
      </c>
      <c r="D16" s="1573">
        <v>17377</v>
      </c>
      <c r="E16" s="1573"/>
      <c r="F16" s="1573">
        <v>65</v>
      </c>
      <c r="G16" s="1573"/>
      <c r="H16" s="1573"/>
      <c r="I16" s="1574"/>
      <c r="J16" s="1574"/>
      <c r="K16" s="1672">
        <f t="shared" si="0"/>
        <v>114639</v>
      </c>
      <c r="L16" s="1573">
        <v>116041</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v>132387</v>
      </c>
      <c r="D18" s="1573">
        <v>23171</v>
      </c>
      <c r="E18" s="1573">
        <v>107</v>
      </c>
      <c r="F18" s="1573">
        <v>199</v>
      </c>
      <c r="G18" s="1573"/>
      <c r="H18" s="1573"/>
      <c r="I18" s="1574"/>
      <c r="J18" s="1574"/>
      <c r="K18" s="1672">
        <f t="shared" si="0"/>
        <v>155864</v>
      </c>
      <c r="L18" s="1573">
        <v>169402</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6201882</v>
      </c>
      <c r="D33" s="1674">
        <f t="shared" ref="D33:L33" si="1">SUM(D5:D32)</f>
        <v>887963</v>
      </c>
      <c r="E33" s="1674">
        <f t="shared" si="1"/>
        <v>329116</v>
      </c>
      <c r="F33" s="1674">
        <f t="shared" si="1"/>
        <v>211520</v>
      </c>
      <c r="G33" s="1674">
        <f t="shared" si="1"/>
        <v>20736</v>
      </c>
      <c r="H33" s="1674">
        <f t="shared" si="1"/>
        <v>11408</v>
      </c>
      <c r="I33" s="1674">
        <f t="shared" si="1"/>
        <v>0</v>
      </c>
      <c r="J33" s="1674">
        <f t="shared" si="1"/>
        <v>0</v>
      </c>
      <c r="K33" s="1674">
        <f t="shared" si="1"/>
        <v>7662625</v>
      </c>
      <c r="L33" s="1674">
        <f t="shared" si="1"/>
        <v>7835002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233364</v>
      </c>
      <c r="D36" s="1586">
        <v>21145</v>
      </c>
      <c r="E36" s="1586"/>
      <c r="F36" s="1586">
        <v>28388</v>
      </c>
      <c r="G36" s="1586"/>
      <c r="H36" s="1586"/>
      <c r="I36" s="1574"/>
      <c r="J36" s="1574"/>
      <c r="K36" s="1672">
        <f t="shared" ref="K36:K41" si="2">SUM(C36:J36)</f>
        <v>282897</v>
      </c>
      <c r="L36" s="1573">
        <v>262523</v>
      </c>
    </row>
    <row r="37" spans="1:14" x14ac:dyDescent="0.2">
      <c r="A37" s="1274" t="s">
        <v>1081</v>
      </c>
      <c r="B37" s="503">
        <v>2120</v>
      </c>
      <c r="C37" s="1573">
        <v>47439</v>
      </c>
      <c r="D37" s="1573">
        <v>9534</v>
      </c>
      <c r="E37" s="1573"/>
      <c r="F37" s="1573"/>
      <c r="G37" s="1573"/>
      <c r="H37" s="1573"/>
      <c r="I37" s="1574"/>
      <c r="J37" s="1574"/>
      <c r="K37" s="1672">
        <f t="shared" si="2"/>
        <v>56973</v>
      </c>
      <c r="L37" s="1573">
        <v>56801</v>
      </c>
    </row>
    <row r="38" spans="1:14" x14ac:dyDescent="0.2">
      <c r="A38" s="1274" t="s">
        <v>196</v>
      </c>
      <c r="B38" s="503">
        <v>2130</v>
      </c>
      <c r="C38" s="1573">
        <v>210743</v>
      </c>
      <c r="D38" s="1573">
        <v>16939</v>
      </c>
      <c r="E38" s="1573">
        <v>25</v>
      </c>
      <c r="F38" s="1573">
        <v>3603</v>
      </c>
      <c r="G38" s="1573">
        <v>226</v>
      </c>
      <c r="H38" s="1573"/>
      <c r="I38" s="1574"/>
      <c r="J38" s="1574"/>
      <c r="K38" s="1672">
        <f t="shared" si="2"/>
        <v>231536</v>
      </c>
      <c r="L38" s="1573">
        <v>238052</v>
      </c>
    </row>
    <row r="39" spans="1:14" x14ac:dyDescent="0.2">
      <c r="A39" s="1274" t="s">
        <v>197</v>
      </c>
      <c r="B39" s="503">
        <v>2140</v>
      </c>
      <c r="C39" s="1573">
        <v>78738</v>
      </c>
      <c r="D39" s="1573">
        <v>1193</v>
      </c>
      <c r="E39" s="1573"/>
      <c r="F39" s="1573"/>
      <c r="G39" s="1573"/>
      <c r="H39" s="1573"/>
      <c r="I39" s="1574"/>
      <c r="J39" s="1574"/>
      <c r="K39" s="1672">
        <f t="shared" si="2"/>
        <v>79931</v>
      </c>
      <c r="L39" s="1573">
        <v>80382</v>
      </c>
    </row>
    <row r="40" spans="1:14" x14ac:dyDescent="0.2">
      <c r="A40" s="1274" t="s">
        <v>198</v>
      </c>
      <c r="B40" s="503">
        <v>2150</v>
      </c>
      <c r="C40" s="1573">
        <v>291711</v>
      </c>
      <c r="D40" s="1573">
        <v>44931</v>
      </c>
      <c r="E40" s="1573"/>
      <c r="F40" s="1573">
        <v>364</v>
      </c>
      <c r="G40" s="1573"/>
      <c r="H40" s="1573"/>
      <c r="I40" s="1574"/>
      <c r="J40" s="1574"/>
      <c r="K40" s="1672">
        <f t="shared" si="2"/>
        <v>337006</v>
      </c>
      <c r="L40" s="1573">
        <v>337004</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861995</v>
      </c>
      <c r="D42" s="1674">
        <f t="shared" ref="D42:L42" si="3">SUM(D36:D41)</f>
        <v>93742</v>
      </c>
      <c r="E42" s="1674">
        <f t="shared" si="3"/>
        <v>25</v>
      </c>
      <c r="F42" s="1674">
        <f t="shared" si="3"/>
        <v>32355</v>
      </c>
      <c r="G42" s="1674">
        <f t="shared" si="3"/>
        <v>226</v>
      </c>
      <c r="H42" s="1674">
        <f t="shared" si="3"/>
        <v>0</v>
      </c>
      <c r="I42" s="1674">
        <f t="shared" si="3"/>
        <v>0</v>
      </c>
      <c r="J42" s="1674">
        <f t="shared" si="3"/>
        <v>0</v>
      </c>
      <c r="K42" s="1674">
        <f t="shared" si="3"/>
        <v>988343</v>
      </c>
      <c r="L42" s="1674">
        <f t="shared" si="3"/>
        <v>974762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246701</v>
      </c>
      <c r="D44" s="1586">
        <v>39465</v>
      </c>
      <c r="E44" s="1586">
        <v>39940</v>
      </c>
      <c r="F44" s="1586">
        <v>2981</v>
      </c>
      <c r="G44" s="1586"/>
      <c r="H44" s="1586">
        <v>544</v>
      </c>
      <c r="I44" s="1574"/>
      <c r="J44" s="1574"/>
      <c r="K44" s="1678">
        <f>SUM(C44:J44)</f>
        <v>329631</v>
      </c>
      <c r="L44" s="1586">
        <v>351996</v>
      </c>
    </row>
    <row r="45" spans="1:14" x14ac:dyDescent="0.2">
      <c r="A45" s="1274" t="s">
        <v>810</v>
      </c>
      <c r="B45" s="503">
        <v>2220</v>
      </c>
      <c r="C45" s="1573">
        <v>277940</v>
      </c>
      <c r="D45" s="1573">
        <v>26062</v>
      </c>
      <c r="E45" s="1573">
        <v>174827</v>
      </c>
      <c r="F45" s="1573">
        <v>94835</v>
      </c>
      <c r="G45" s="1573">
        <v>384228</v>
      </c>
      <c r="H45" s="1573"/>
      <c r="I45" s="1574"/>
      <c r="J45" s="1574"/>
      <c r="K45" s="1678">
        <f>SUM(C45:J45)</f>
        <v>957892</v>
      </c>
      <c r="L45" s="1573">
        <v>1002930</v>
      </c>
    </row>
    <row r="46" spans="1:14" x14ac:dyDescent="0.2">
      <c r="A46" s="1274" t="s">
        <v>811</v>
      </c>
      <c r="B46" s="503">
        <v>2230</v>
      </c>
      <c r="C46" s="1573"/>
      <c r="D46" s="1573"/>
      <c r="E46" s="1573"/>
      <c r="F46" s="1573">
        <v>13703</v>
      </c>
      <c r="G46" s="1573"/>
      <c r="H46" s="1573"/>
      <c r="I46" s="1574"/>
      <c r="J46" s="1574"/>
      <c r="K46" s="1678">
        <f>SUM(C46:J46)</f>
        <v>13703</v>
      </c>
      <c r="L46" s="1573">
        <v>20508</v>
      </c>
    </row>
    <row r="47" spans="1:14" ht="12.75" customHeight="1" thickBot="1" x14ac:dyDescent="0.25">
      <c r="A47" s="1380" t="s">
        <v>557</v>
      </c>
      <c r="B47" s="1381" t="s">
        <v>32</v>
      </c>
      <c r="C47" s="1674">
        <f>SUM(C44:C46)</f>
        <v>524641</v>
      </c>
      <c r="D47" s="1674">
        <f t="shared" ref="D47:K47" si="4">SUM(D44:D46)</f>
        <v>65527</v>
      </c>
      <c r="E47" s="1674">
        <f t="shared" si="4"/>
        <v>214767</v>
      </c>
      <c r="F47" s="1674">
        <f t="shared" si="4"/>
        <v>111519</v>
      </c>
      <c r="G47" s="1674">
        <f t="shared" si="4"/>
        <v>384228</v>
      </c>
      <c r="H47" s="1674">
        <f t="shared" si="4"/>
        <v>544</v>
      </c>
      <c r="I47" s="1674">
        <f t="shared" si="4"/>
        <v>0</v>
      </c>
      <c r="J47" s="1674">
        <f t="shared" si="4"/>
        <v>0</v>
      </c>
      <c r="K47" s="1674">
        <f t="shared" si="4"/>
        <v>1301226</v>
      </c>
      <c r="L47" s="1674">
        <f>SUM(L44:L46)</f>
        <v>1375434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3000</v>
      </c>
      <c r="D49" s="1586"/>
      <c r="E49" s="1586">
        <v>69383</v>
      </c>
      <c r="F49" s="1586">
        <v>4419</v>
      </c>
      <c r="G49" s="1586"/>
      <c r="H49" s="1586">
        <v>7550</v>
      </c>
      <c r="I49" s="1574"/>
      <c r="J49" s="1574"/>
      <c r="K49" s="1678">
        <f>SUM(C49:J49)</f>
        <v>84352</v>
      </c>
      <c r="L49" s="1586">
        <v>100666</v>
      </c>
    </row>
    <row r="50" spans="1:14" x14ac:dyDescent="0.2">
      <c r="A50" s="1274" t="s">
        <v>813</v>
      </c>
      <c r="B50" s="503">
        <v>2320</v>
      </c>
      <c r="C50" s="1573">
        <v>269208</v>
      </c>
      <c r="D50" s="1573">
        <v>78993</v>
      </c>
      <c r="E50" s="1573">
        <v>5379</v>
      </c>
      <c r="F50" s="1573">
        <v>2585</v>
      </c>
      <c r="G50" s="1573">
        <v>407</v>
      </c>
      <c r="H50" s="1573">
        <v>2534</v>
      </c>
      <c r="I50" s="1574"/>
      <c r="J50" s="1574"/>
      <c r="K50" s="1678">
        <f>SUM(C50:J50)</f>
        <v>359106</v>
      </c>
      <c r="L50" s="1573">
        <v>373138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272208</v>
      </c>
      <c r="D53" s="1674">
        <f t="shared" ref="D53:L53" si="5">SUM(D49:D52)</f>
        <v>78993</v>
      </c>
      <c r="E53" s="1674">
        <f t="shared" si="5"/>
        <v>74762</v>
      </c>
      <c r="F53" s="1674">
        <f t="shared" si="5"/>
        <v>7004</v>
      </c>
      <c r="G53" s="1674">
        <f t="shared" si="5"/>
        <v>407</v>
      </c>
      <c r="H53" s="1674">
        <f t="shared" si="5"/>
        <v>10084</v>
      </c>
      <c r="I53" s="1674">
        <f t="shared" si="5"/>
        <v>0</v>
      </c>
      <c r="J53" s="1674">
        <f t="shared" si="5"/>
        <v>0</v>
      </c>
      <c r="K53" s="1674">
        <f t="shared" si="5"/>
        <v>443458</v>
      </c>
      <c r="L53" s="1674">
        <f t="shared" si="5"/>
        <v>473804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436938</v>
      </c>
      <c r="D55" s="1586">
        <v>124539</v>
      </c>
      <c r="E55" s="1586">
        <v>1143</v>
      </c>
      <c r="F55" s="1586">
        <v>957</v>
      </c>
      <c r="G55" s="1586"/>
      <c r="H55" s="1586">
        <v>1211</v>
      </c>
      <c r="I55" s="1574"/>
      <c r="J55" s="1574"/>
      <c r="K55" s="1678">
        <f>SUM(C55:J55)</f>
        <v>564788</v>
      </c>
      <c r="L55" s="1586">
        <v>570787</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436938</v>
      </c>
      <c r="D57" s="1679">
        <f t="shared" ref="D57:K57" si="6">SUM(D55:D56)</f>
        <v>124539</v>
      </c>
      <c r="E57" s="1679">
        <f t="shared" si="6"/>
        <v>1143</v>
      </c>
      <c r="F57" s="1679">
        <f t="shared" si="6"/>
        <v>957</v>
      </c>
      <c r="G57" s="1679">
        <f t="shared" si="6"/>
        <v>0</v>
      </c>
      <c r="H57" s="1679">
        <f t="shared" si="6"/>
        <v>1211</v>
      </c>
      <c r="I57" s="1679">
        <f t="shared" si="6"/>
        <v>0</v>
      </c>
      <c r="J57" s="1679">
        <f t="shared" si="6"/>
        <v>0</v>
      </c>
      <c r="K57" s="1679">
        <f t="shared" si="6"/>
        <v>564788</v>
      </c>
      <c r="L57" s="1674">
        <f>SUM(L55:L56)</f>
        <v>570787</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199502</v>
      </c>
      <c r="D60" s="1573">
        <v>26578</v>
      </c>
      <c r="E60" s="1573">
        <v>15542</v>
      </c>
      <c r="F60" s="1573">
        <v>1998</v>
      </c>
      <c r="G60" s="1573">
        <v>3032</v>
      </c>
      <c r="H60" s="1573">
        <v>3809</v>
      </c>
      <c r="I60" s="1574"/>
      <c r="J60" s="1574"/>
      <c r="K60" s="1678">
        <f t="shared" si="7"/>
        <v>250461</v>
      </c>
      <c r="L60" s="1573">
        <v>249683</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91452</v>
      </c>
      <c r="D63" s="1573">
        <v>9428</v>
      </c>
      <c r="E63" s="1573">
        <v>20083</v>
      </c>
      <c r="F63" s="1573">
        <v>115243</v>
      </c>
      <c r="G63" s="1573"/>
      <c r="H63" s="1573"/>
      <c r="I63" s="1574"/>
      <c r="J63" s="1574"/>
      <c r="K63" s="1678">
        <f t="shared" si="7"/>
        <v>236206</v>
      </c>
      <c r="L63" s="1573">
        <v>282095</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290954</v>
      </c>
      <c r="D65" s="1674">
        <f t="shared" ref="D65:L65" si="8">SUM(D59:D64)</f>
        <v>36006</v>
      </c>
      <c r="E65" s="1674">
        <f t="shared" si="8"/>
        <v>35625</v>
      </c>
      <c r="F65" s="1674">
        <f t="shared" si="8"/>
        <v>117241</v>
      </c>
      <c r="G65" s="1674">
        <f t="shared" si="8"/>
        <v>3032</v>
      </c>
      <c r="H65" s="1674">
        <f t="shared" si="8"/>
        <v>3809</v>
      </c>
      <c r="I65" s="1674">
        <f t="shared" si="8"/>
        <v>0</v>
      </c>
      <c r="J65" s="1674">
        <f t="shared" si="8"/>
        <v>0</v>
      </c>
      <c r="K65" s="1674">
        <f t="shared" si="8"/>
        <v>486667</v>
      </c>
      <c r="L65" s="1674">
        <f t="shared" si="8"/>
        <v>531778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v>2201</v>
      </c>
      <c r="D68" s="1573">
        <v>14</v>
      </c>
      <c r="E68" s="1573"/>
      <c r="F68" s="1573"/>
      <c r="G68" s="1573"/>
      <c r="H68" s="1573">
        <v>988</v>
      </c>
      <c r="I68" s="1574"/>
      <c r="J68" s="1574"/>
      <c r="K68" s="1678">
        <f>SUM(C68:J68)</f>
        <v>3203</v>
      </c>
      <c r="L68" s="1573">
        <v>5552</v>
      </c>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v>3000</v>
      </c>
      <c r="D70" s="1573"/>
      <c r="E70" s="1573">
        <v>11826</v>
      </c>
      <c r="F70" s="1573">
        <v>224</v>
      </c>
      <c r="G70" s="1573"/>
      <c r="H70" s="1573">
        <v>30</v>
      </c>
      <c r="I70" s="1574"/>
      <c r="J70" s="1574"/>
      <c r="K70" s="1678">
        <f>SUM(C70:J70)</f>
        <v>15080</v>
      </c>
      <c r="L70" s="1573">
        <v>17320</v>
      </c>
      <c r="M70" s="501"/>
      <c r="N70" s="501"/>
    </row>
    <row r="71" spans="1:14" s="321" customFormat="1" x14ac:dyDescent="0.2">
      <c r="A71" s="1274" t="s">
        <v>401</v>
      </c>
      <c r="B71" s="503">
        <v>2660</v>
      </c>
      <c r="C71" s="1573"/>
      <c r="D71" s="1573"/>
      <c r="E71" s="1573">
        <v>5396</v>
      </c>
      <c r="F71" s="1573"/>
      <c r="G71" s="1573"/>
      <c r="H71" s="1573"/>
      <c r="I71" s="1574"/>
      <c r="J71" s="1574"/>
      <c r="K71" s="1678">
        <f>SUM(C71:J71)</f>
        <v>5396</v>
      </c>
      <c r="L71" s="1573">
        <v>6600</v>
      </c>
      <c r="M71" s="501"/>
      <c r="N71" s="501"/>
    </row>
    <row r="72" spans="1:14" s="321" customFormat="1" ht="12.75" customHeight="1" thickBot="1" x14ac:dyDescent="0.25">
      <c r="A72" s="1380" t="s">
        <v>37</v>
      </c>
      <c r="B72" s="1383" t="s">
        <v>36</v>
      </c>
      <c r="C72" s="1674">
        <f>SUM(C67:C71)</f>
        <v>5201</v>
      </c>
      <c r="D72" s="1674">
        <f t="shared" ref="D72:K72" si="9">SUM(D67:D71)</f>
        <v>14</v>
      </c>
      <c r="E72" s="1674">
        <f t="shared" si="9"/>
        <v>17222</v>
      </c>
      <c r="F72" s="1674">
        <f t="shared" si="9"/>
        <v>224</v>
      </c>
      <c r="G72" s="1674">
        <f t="shared" si="9"/>
        <v>0</v>
      </c>
      <c r="H72" s="1674">
        <f t="shared" si="9"/>
        <v>1018</v>
      </c>
      <c r="I72" s="1674">
        <f t="shared" si="9"/>
        <v>0</v>
      </c>
      <c r="J72" s="1674">
        <f t="shared" si="9"/>
        <v>0</v>
      </c>
      <c r="K72" s="1674">
        <f t="shared" si="9"/>
        <v>23679</v>
      </c>
      <c r="L72" s="1674">
        <f>SUM(L67:L71)</f>
        <v>29472</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2391937</v>
      </c>
      <c r="D74" s="1681">
        <f t="shared" ref="D74:K74" si="10">SUM(D42,D47,D53,D57,D65,D72,D73)</f>
        <v>398821</v>
      </c>
      <c r="E74" s="1681">
        <f t="shared" si="10"/>
        <v>343544</v>
      </c>
      <c r="F74" s="1681">
        <f t="shared" si="10"/>
        <v>269300</v>
      </c>
      <c r="G74" s="1681">
        <f t="shared" si="10"/>
        <v>387893</v>
      </c>
      <c r="H74" s="1681">
        <f t="shared" si="10"/>
        <v>16666</v>
      </c>
      <c r="I74" s="1681">
        <f t="shared" si="10"/>
        <v>0</v>
      </c>
      <c r="J74" s="1681">
        <f t="shared" si="10"/>
        <v>0</v>
      </c>
      <c r="K74" s="1681">
        <f t="shared" si="10"/>
        <v>3808161</v>
      </c>
      <c r="L74" s="1681">
        <f>SUM(L42,L47,L53,L57,L65,L72,L73)</f>
        <v>3956037</v>
      </c>
    </row>
    <row r="75" spans="1:14" s="254" customFormat="1" ht="15.75" customHeight="1" thickTop="1" thickBot="1" x14ac:dyDescent="0.25">
      <c r="A75" s="1348" t="s">
        <v>47</v>
      </c>
      <c r="B75" s="1349" t="s">
        <v>571</v>
      </c>
      <c r="C75" s="1649"/>
      <c r="D75" s="1649"/>
      <c r="E75" s="1649">
        <v>650</v>
      </c>
      <c r="F75" s="1649">
        <v>800</v>
      </c>
      <c r="G75" s="1649"/>
      <c r="H75" s="1649"/>
      <c r="I75" s="1627"/>
      <c r="J75" s="1627"/>
      <c r="K75" s="1674">
        <f>SUM(C75:J75)</f>
        <v>1450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2325</v>
      </c>
      <c r="I78" s="1582"/>
      <c r="J78" s="1582"/>
      <c r="K78" s="1672">
        <f t="shared" ref="K78:K83" si="11">SUM(C78:J78)</f>
        <v>2325</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2325</v>
      </c>
      <c r="I84" s="1582"/>
      <c r="J84" s="1582"/>
      <c r="K84" s="1674">
        <f>SUM(K78:K83)</f>
        <v>2325</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394663</v>
      </c>
      <c r="I86" s="1582"/>
      <c r="J86" s="1582"/>
      <c r="K86" s="1681">
        <f t="shared" ref="K86:K98" si="12">H86</f>
        <v>394663</v>
      </c>
      <c r="L86" s="1626">
        <v>401000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394663</v>
      </c>
      <c r="I92" s="1582"/>
      <c r="J92" s="1582"/>
      <c r="K92" s="1681">
        <f t="shared" si="12"/>
        <v>394663</v>
      </c>
      <c r="L92" s="1674">
        <f>SUM(L85:L91)</f>
        <v>401000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396988</v>
      </c>
      <c r="I102" s="1582"/>
      <c r="J102" s="1582"/>
      <c r="K102" s="1681">
        <f>SUM(K84,K92,K100,K101)</f>
        <v>396988</v>
      </c>
      <c r="L102" s="1681">
        <f>SUM(L84,L92,L100,L101)</f>
        <v>401000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50000</v>
      </c>
      <c r="M113" s="502"/>
      <c r="N113" s="502"/>
    </row>
    <row r="114" spans="1:14" ht="12.75" customHeight="1" thickTop="1" thickBot="1" x14ac:dyDescent="0.25">
      <c r="A114" s="1380" t="s">
        <v>48</v>
      </c>
      <c r="B114" s="1388"/>
      <c r="C114" s="1674">
        <f>SUM(C33,C74,C75,C102,C112,C113)</f>
        <v>8593819</v>
      </c>
      <c r="D114" s="1674">
        <f t="shared" ref="D114:K114" si="13">SUM(D33,D74,D75,D102,D112,D113)</f>
        <v>1286784</v>
      </c>
      <c r="E114" s="1674">
        <f t="shared" si="13"/>
        <v>673310</v>
      </c>
      <c r="F114" s="1674">
        <f t="shared" si="13"/>
        <v>481620</v>
      </c>
      <c r="G114" s="1674">
        <f t="shared" si="13"/>
        <v>408629</v>
      </c>
      <c r="H114" s="1674">
        <f>SUM(H33,H74,H75,H102,H112,H113)</f>
        <v>425062</v>
      </c>
      <c r="I114" s="1674">
        <f t="shared" si="13"/>
        <v>0</v>
      </c>
      <c r="J114" s="1674">
        <f t="shared" si="13"/>
        <v>0</v>
      </c>
      <c r="K114" s="1674">
        <f t="shared" si="13"/>
        <v>11869224</v>
      </c>
      <c r="L114" s="1674">
        <f>SUM(L33,L74,L75,L102,L112,L113)</f>
        <v>12242039</v>
      </c>
    </row>
    <row r="115" spans="1:14" ht="13.5" thickTop="1" x14ac:dyDescent="0.2">
      <c r="A115" s="2287" t="s">
        <v>989</v>
      </c>
      <c r="B115" s="2288"/>
      <c r="C115" s="1675"/>
      <c r="D115" s="1675"/>
      <c r="E115" s="1675"/>
      <c r="F115" s="1675"/>
      <c r="G115" s="1675"/>
      <c r="H115" s="1675"/>
      <c r="I115" s="1675"/>
      <c r="J115" s="1675"/>
      <c r="K115" s="1689">
        <f>'Revenues 9-14'!C268-'Expenditures 15-22'!K114</f>
        <v>406686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143123</v>
      </c>
      <c r="F123" s="1573"/>
      <c r="G123" s="1573"/>
      <c r="H123" s="1573"/>
      <c r="I123" s="1574"/>
      <c r="J123" s="1574"/>
      <c r="K123" s="1674">
        <f>SUM(C123:J123)</f>
        <v>143123</v>
      </c>
      <c r="L123" s="1573">
        <v>30000</v>
      </c>
    </row>
    <row r="124" spans="1:14" ht="14.25" thickTop="1" thickBot="1" x14ac:dyDescent="0.25">
      <c r="A124" s="1274" t="s">
        <v>195</v>
      </c>
      <c r="B124" s="503">
        <v>2540</v>
      </c>
      <c r="C124" s="1573">
        <v>310051</v>
      </c>
      <c r="D124" s="1573">
        <v>67388</v>
      </c>
      <c r="E124" s="1573">
        <v>207076</v>
      </c>
      <c r="F124" s="1573">
        <v>201506</v>
      </c>
      <c r="G124" s="1573">
        <v>252761</v>
      </c>
      <c r="H124" s="1573"/>
      <c r="I124" s="1574"/>
      <c r="J124" s="1574"/>
      <c r="K124" s="1674">
        <f>SUM(C124:J124)</f>
        <v>1038782</v>
      </c>
      <c r="L124" s="1573">
        <v>1194100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310051</v>
      </c>
      <c r="D127" s="1674">
        <f t="shared" ref="D127:L127" si="14">SUM(D122:D126)</f>
        <v>67388</v>
      </c>
      <c r="E127" s="1674">
        <f t="shared" si="14"/>
        <v>350199</v>
      </c>
      <c r="F127" s="1674">
        <f t="shared" si="14"/>
        <v>201506</v>
      </c>
      <c r="G127" s="1674">
        <f t="shared" si="14"/>
        <v>252761</v>
      </c>
      <c r="H127" s="1674">
        <f t="shared" si="14"/>
        <v>0</v>
      </c>
      <c r="I127" s="1674">
        <f t="shared" si="14"/>
        <v>0</v>
      </c>
      <c r="J127" s="1674">
        <f t="shared" si="14"/>
        <v>0</v>
      </c>
      <c r="K127" s="1674">
        <f t="shared" si="14"/>
        <v>1181905</v>
      </c>
      <c r="L127" s="1674">
        <f t="shared" si="14"/>
        <v>1224100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310051</v>
      </c>
      <c r="D129" s="1681">
        <f t="shared" ref="D129:L129" si="15">SUM(D120,D127,D128)</f>
        <v>67388</v>
      </c>
      <c r="E129" s="1681">
        <f t="shared" si="15"/>
        <v>350199</v>
      </c>
      <c r="F129" s="1681">
        <f t="shared" si="15"/>
        <v>201506</v>
      </c>
      <c r="G129" s="1681">
        <f t="shared" si="15"/>
        <v>252761</v>
      </c>
      <c r="H129" s="1681">
        <f t="shared" si="15"/>
        <v>0</v>
      </c>
      <c r="I129" s="1681">
        <f t="shared" si="15"/>
        <v>0</v>
      </c>
      <c r="J129" s="1681">
        <f t="shared" si="15"/>
        <v>0</v>
      </c>
      <c r="K129" s="1681">
        <f t="shared" si="15"/>
        <v>1181905</v>
      </c>
      <c r="L129" s="1681">
        <f t="shared" si="15"/>
        <v>1224100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50000</v>
      </c>
    </row>
    <row r="151" spans="1:14" ht="12.75" customHeight="1" thickTop="1" thickBot="1" x14ac:dyDescent="0.25">
      <c r="A151" s="2277" t="s">
        <v>616</v>
      </c>
      <c r="B151" s="2259"/>
      <c r="C151" s="1674">
        <f>SUM(C129,C130,C139,C149,C150)</f>
        <v>310051</v>
      </c>
      <c r="D151" s="1674">
        <f t="shared" ref="D151:K151" si="16">SUM(D129,D130,D139,D149,D150)</f>
        <v>67388</v>
      </c>
      <c r="E151" s="1674">
        <f t="shared" si="16"/>
        <v>350199</v>
      </c>
      <c r="F151" s="1674">
        <f t="shared" si="16"/>
        <v>201506</v>
      </c>
      <c r="G151" s="1674">
        <f t="shared" si="16"/>
        <v>252761</v>
      </c>
      <c r="H151" s="1674">
        <f t="shared" si="16"/>
        <v>0</v>
      </c>
      <c r="I151" s="1674">
        <f t="shared" si="16"/>
        <v>0</v>
      </c>
      <c r="J151" s="1674">
        <f t="shared" si="16"/>
        <v>0</v>
      </c>
      <c r="K151" s="1674">
        <f t="shared" si="16"/>
        <v>1181905</v>
      </c>
      <c r="L151" s="1674">
        <f>SUM(L129,L130,L139,L149,L150)</f>
        <v>1274100</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137034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113400</v>
      </c>
      <c r="I169" s="1673"/>
      <c r="J169" s="1673"/>
      <c r="K169" s="1672">
        <f>SUM(C169:H169)</f>
        <v>113400</v>
      </c>
      <c r="L169" s="1695">
        <v>113400</v>
      </c>
    </row>
    <row r="170" spans="1:14" ht="33.75" customHeight="1" x14ac:dyDescent="0.2">
      <c r="A170" s="543" t="s">
        <v>1651</v>
      </c>
      <c r="B170" s="545" t="s">
        <v>31</v>
      </c>
      <c r="C170" s="1673"/>
      <c r="D170" s="1673"/>
      <c r="E170" s="1673"/>
      <c r="F170" s="1673"/>
      <c r="G170" s="1673"/>
      <c r="H170" s="1646">
        <v>1025000</v>
      </c>
      <c r="I170" s="1673"/>
      <c r="J170" s="1673"/>
      <c r="K170" s="1672">
        <f>SUM(C170:J170)</f>
        <v>1025000</v>
      </c>
      <c r="L170" s="1646">
        <v>1024475</v>
      </c>
    </row>
    <row r="171" spans="1:14" ht="15.75" customHeight="1" x14ac:dyDescent="0.2">
      <c r="A171" s="507" t="s">
        <v>761</v>
      </c>
      <c r="B171" s="546" t="s">
        <v>84</v>
      </c>
      <c r="C171" s="1673"/>
      <c r="D171" s="1673"/>
      <c r="E171" s="1573"/>
      <c r="F171" s="1673"/>
      <c r="G171" s="1673"/>
      <c r="H171" s="1646"/>
      <c r="I171" s="1582"/>
      <c r="J171" s="1673"/>
      <c r="K171" s="1672">
        <f>SUM(C171:J171)</f>
        <v>0</v>
      </c>
      <c r="L171" s="1646">
        <v>525</v>
      </c>
    </row>
    <row r="172" spans="1:14" ht="12.75" customHeight="1" thickBot="1" x14ac:dyDescent="0.25">
      <c r="A172" s="1380" t="s">
        <v>633</v>
      </c>
      <c r="B172" s="1381" t="s">
        <v>489</v>
      </c>
      <c r="C172" s="1673"/>
      <c r="D172" s="1673"/>
      <c r="E172" s="1681">
        <f>SUM(E168,E169,E170,E171)</f>
        <v>0</v>
      </c>
      <c r="F172" s="1673"/>
      <c r="G172" s="1673"/>
      <c r="H172" s="1681">
        <f>SUM(H168,H169,H170,H171)</f>
        <v>1138400</v>
      </c>
      <c r="I172" s="1684"/>
      <c r="J172" s="1673"/>
      <c r="K172" s="1681">
        <f>SUM(K168,K169,K170,K171)</f>
        <v>1138400</v>
      </c>
      <c r="L172" s="1681">
        <f>SUM(L168,L169,L170,L171)</f>
        <v>1138400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1138400</v>
      </c>
      <c r="I174" s="1684"/>
      <c r="J174" s="1673"/>
      <c r="K174" s="1681">
        <f>SUM(K160,K172,K173)</f>
        <v>1138400</v>
      </c>
      <c r="L174" s="1681">
        <f>SUM(L160,L172,L173)</f>
        <v>1138400</v>
      </c>
    </row>
    <row r="175" spans="1:14" ht="13.5" thickTop="1" x14ac:dyDescent="0.2">
      <c r="A175" s="2287" t="s">
        <v>989</v>
      </c>
      <c r="B175" s="2288"/>
      <c r="C175" s="1673"/>
      <c r="D175" s="1673"/>
      <c r="E175" s="1673"/>
      <c r="F175" s="1673"/>
      <c r="G175" s="1673"/>
      <c r="H175" s="1675"/>
      <c r="I175" s="1673"/>
      <c r="J175" s="1673"/>
      <c r="K175" s="1689">
        <f>'Revenues 9-14'!E268-'Expenditures 15-22'!K174</f>
        <v>24463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197778</v>
      </c>
      <c r="D182" s="1573">
        <v>16021</v>
      </c>
      <c r="E182" s="1573">
        <v>370356</v>
      </c>
      <c r="F182" s="1573">
        <v>30075</v>
      </c>
      <c r="G182" s="1573"/>
      <c r="H182" s="1573"/>
      <c r="I182" s="1574"/>
      <c r="J182" s="1574"/>
      <c r="K182" s="1672">
        <f>SUM(C182:J182)</f>
        <v>614230</v>
      </c>
      <c r="L182" s="1573">
        <v>681935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197778</v>
      </c>
      <c r="D184" s="1681">
        <f t="shared" ref="D184:J184" si="17">SUM(D180,D182,D183)</f>
        <v>16021</v>
      </c>
      <c r="E184" s="1681">
        <f t="shared" si="17"/>
        <v>370356</v>
      </c>
      <c r="F184" s="1681">
        <f t="shared" si="17"/>
        <v>30075</v>
      </c>
      <c r="G184" s="1681">
        <f t="shared" si="17"/>
        <v>0</v>
      </c>
      <c r="H184" s="1681">
        <f t="shared" si="17"/>
        <v>0</v>
      </c>
      <c r="I184" s="1681">
        <f t="shared" si="17"/>
        <v>0</v>
      </c>
      <c r="J184" s="1681">
        <f t="shared" si="17"/>
        <v>0</v>
      </c>
      <c r="K184" s="1681">
        <f>SUM(K180,K182,K183)</f>
        <v>614230</v>
      </c>
      <c r="L184" s="1681">
        <f>SUM(L180, L182:L183)</f>
        <v>681935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197778</v>
      </c>
      <c r="D210" s="1674">
        <f>SUM(D184,D185)</f>
        <v>16021</v>
      </c>
      <c r="E210" s="1674">
        <f>SUM(E184,E185,E196)</f>
        <v>370356</v>
      </c>
      <c r="F210" s="1674">
        <f>SUM(F184,F185)</f>
        <v>30075</v>
      </c>
      <c r="G210" s="1674">
        <f>SUM(G184,G185)</f>
        <v>0</v>
      </c>
      <c r="H210" s="1674">
        <f>SUM(H184,H185,H196,H208,H209)</f>
        <v>0</v>
      </c>
      <c r="I210" s="1674">
        <f>SUM(I184,I185)</f>
        <v>0</v>
      </c>
      <c r="J210" s="1674">
        <f>SUM(J184,J185)</f>
        <v>0</v>
      </c>
      <c r="K210" s="1672">
        <f>SUM(K184,K185,K196,K208,K209)</f>
        <v>614230</v>
      </c>
      <c r="L210" s="1674">
        <f>SUM(L184,L185,L196,L208,L209)</f>
        <v>681935</v>
      </c>
    </row>
    <row r="211" spans="1:14" ht="13.5" thickTop="1" x14ac:dyDescent="0.2">
      <c r="A211" s="2287" t="s">
        <v>989</v>
      </c>
      <c r="B211" s="2288"/>
      <c r="C211" s="1675"/>
      <c r="D211" s="1675"/>
      <c r="E211" s="1675"/>
      <c r="F211" s="1675"/>
      <c r="G211" s="1675"/>
      <c r="H211" s="1675"/>
      <c r="I211" s="1673"/>
      <c r="J211" s="1673"/>
      <c r="K211" s="1689">
        <f>'Revenues 9-14'!F268-'Expenditures 15-22'!K210</f>
        <v>107011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59256</v>
      </c>
      <c r="E215" s="1673"/>
      <c r="F215" s="1673"/>
      <c r="G215" s="1673"/>
      <c r="H215" s="1673"/>
      <c r="I215" s="1673"/>
      <c r="J215" s="1673"/>
      <c r="K215" s="1672">
        <f>D215</f>
        <v>59256</v>
      </c>
      <c r="L215" s="1573">
        <v>60359</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120249</v>
      </c>
      <c r="E217" s="1673"/>
      <c r="F217" s="1673"/>
      <c r="G217" s="1673"/>
      <c r="H217" s="1673"/>
      <c r="I217" s="1673"/>
      <c r="J217" s="1673"/>
      <c r="K217" s="1672">
        <f t="shared" si="19"/>
        <v>120249</v>
      </c>
      <c r="L217" s="1573">
        <v>108185</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9234</v>
      </c>
      <c r="E219" s="1673"/>
      <c r="F219" s="1673"/>
      <c r="G219" s="1673"/>
      <c r="H219" s="1673"/>
      <c r="I219" s="1673"/>
      <c r="J219" s="1673"/>
      <c r="K219" s="1672">
        <f t="shared" si="19"/>
        <v>9234</v>
      </c>
      <c r="L219" s="1573">
        <v>7890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2652</v>
      </c>
      <c r="E223" s="1673"/>
      <c r="F223" s="1673"/>
      <c r="G223" s="1673"/>
      <c r="H223" s="1673"/>
      <c r="I223" s="1673"/>
      <c r="J223" s="1673"/>
      <c r="K223" s="1672">
        <f t="shared" si="19"/>
        <v>2652</v>
      </c>
      <c r="L223" s="1573">
        <v>3160</v>
      </c>
    </row>
    <row r="224" spans="1:14" x14ac:dyDescent="0.2">
      <c r="A224" s="1274" t="s">
        <v>958</v>
      </c>
      <c r="B224" s="503">
        <v>1600</v>
      </c>
      <c r="C224" s="1673"/>
      <c r="D224" s="1573">
        <v>1088</v>
      </c>
      <c r="E224" s="1673"/>
      <c r="F224" s="1673"/>
      <c r="G224" s="1673"/>
      <c r="H224" s="1673"/>
      <c r="I224" s="1673"/>
      <c r="J224" s="1673"/>
      <c r="K224" s="1672">
        <f t="shared" si="19"/>
        <v>1088</v>
      </c>
      <c r="L224" s="1573">
        <v>1530</v>
      </c>
    </row>
    <row r="225" spans="1:12" x14ac:dyDescent="0.2">
      <c r="A225" s="1274" t="s">
        <v>980</v>
      </c>
      <c r="B225" s="503">
        <v>1650</v>
      </c>
      <c r="C225" s="1673"/>
      <c r="D225" s="1573">
        <v>1295</v>
      </c>
      <c r="E225" s="1673"/>
      <c r="F225" s="1673"/>
      <c r="G225" s="1673"/>
      <c r="H225" s="1673"/>
      <c r="I225" s="1673"/>
      <c r="J225" s="1673"/>
      <c r="K225" s="1672">
        <f t="shared" si="19"/>
        <v>1295</v>
      </c>
      <c r="L225" s="1573">
        <v>1300</v>
      </c>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v>1791</v>
      </c>
      <c r="E227" s="1673"/>
      <c r="F227" s="1673"/>
      <c r="G227" s="1673"/>
      <c r="H227" s="1673"/>
      <c r="I227" s="1673"/>
      <c r="J227" s="1673"/>
      <c r="K227" s="1672">
        <f t="shared" si="19"/>
        <v>1791</v>
      </c>
      <c r="L227" s="1573">
        <v>1910</v>
      </c>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195565</v>
      </c>
      <c r="E229" s="1673"/>
      <c r="F229" s="1673"/>
      <c r="G229" s="1673"/>
      <c r="H229" s="1673"/>
      <c r="I229" s="1673"/>
      <c r="J229" s="1673"/>
      <c r="K229" s="1674">
        <f>SUM(K215:K228)</f>
        <v>195565</v>
      </c>
      <c r="L229" s="1674">
        <f>SUM(L215:L228)</f>
        <v>184334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3356</v>
      </c>
      <c r="E232" s="1673"/>
      <c r="F232" s="1673"/>
      <c r="G232" s="1673"/>
      <c r="H232" s="1673"/>
      <c r="I232" s="1673"/>
      <c r="J232" s="1673"/>
      <c r="K232" s="1672">
        <f t="shared" ref="K232:K237" si="20">D232</f>
        <v>3356</v>
      </c>
      <c r="L232" s="1573">
        <v>3384</v>
      </c>
    </row>
    <row r="233" spans="1:12" x14ac:dyDescent="0.2">
      <c r="A233" s="1274" t="s">
        <v>1081</v>
      </c>
      <c r="B233" s="503">
        <v>2120</v>
      </c>
      <c r="C233" s="1673"/>
      <c r="D233" s="1573">
        <v>2817</v>
      </c>
      <c r="E233" s="1673"/>
      <c r="F233" s="1673"/>
      <c r="G233" s="1673"/>
      <c r="H233" s="1673"/>
      <c r="I233" s="1673"/>
      <c r="J233" s="1673"/>
      <c r="K233" s="1672">
        <f t="shared" si="20"/>
        <v>2817</v>
      </c>
      <c r="L233" s="1573">
        <v>688</v>
      </c>
    </row>
    <row r="234" spans="1:12" x14ac:dyDescent="0.2">
      <c r="A234" s="1274" t="s">
        <v>196</v>
      </c>
      <c r="B234" s="503">
        <v>2130</v>
      </c>
      <c r="C234" s="1673"/>
      <c r="D234" s="1573">
        <v>37169</v>
      </c>
      <c r="E234" s="1673"/>
      <c r="F234" s="1673"/>
      <c r="G234" s="1673"/>
      <c r="H234" s="1673"/>
      <c r="I234" s="1673"/>
      <c r="J234" s="1673"/>
      <c r="K234" s="1672">
        <f t="shared" si="20"/>
        <v>37169</v>
      </c>
      <c r="L234" s="1573">
        <v>35880</v>
      </c>
    </row>
    <row r="235" spans="1:12" x14ac:dyDescent="0.2">
      <c r="A235" s="1274" t="s">
        <v>197</v>
      </c>
      <c r="B235" s="503">
        <v>2140</v>
      </c>
      <c r="C235" s="1673"/>
      <c r="D235" s="1573">
        <v>1119</v>
      </c>
      <c r="E235" s="1673"/>
      <c r="F235" s="1673"/>
      <c r="G235" s="1673"/>
      <c r="H235" s="1673"/>
      <c r="I235" s="1673"/>
      <c r="J235" s="1673"/>
      <c r="K235" s="1672">
        <f t="shared" si="20"/>
        <v>1119</v>
      </c>
      <c r="L235" s="1573">
        <v>1200</v>
      </c>
    </row>
    <row r="236" spans="1:12" x14ac:dyDescent="0.2">
      <c r="A236" s="1274" t="s">
        <v>198</v>
      </c>
      <c r="B236" s="503">
        <v>2150</v>
      </c>
      <c r="C236" s="1673"/>
      <c r="D236" s="1573">
        <v>3853</v>
      </c>
      <c r="E236" s="1673"/>
      <c r="F236" s="1673"/>
      <c r="G236" s="1673"/>
      <c r="H236" s="1673"/>
      <c r="I236" s="1673"/>
      <c r="J236" s="1673"/>
      <c r="K236" s="1672">
        <f t="shared" si="20"/>
        <v>3853</v>
      </c>
      <c r="L236" s="1573">
        <v>3800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48314</v>
      </c>
      <c r="E238" s="1673"/>
      <c r="F238" s="1673"/>
      <c r="G238" s="1673"/>
      <c r="H238" s="1673"/>
      <c r="I238" s="1673"/>
      <c r="J238" s="1673"/>
      <c r="K238" s="1674">
        <f>SUM(K232:K237)</f>
        <v>48314</v>
      </c>
      <c r="L238" s="1674">
        <f>SUM(L232:L237)</f>
        <v>44952</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1369</v>
      </c>
      <c r="E240" s="1673"/>
      <c r="F240" s="1673"/>
      <c r="G240" s="1673"/>
      <c r="H240" s="1673"/>
      <c r="I240" s="1673"/>
      <c r="J240" s="1673"/>
      <c r="K240" s="1678">
        <f>D240</f>
        <v>1369</v>
      </c>
      <c r="L240" s="1586">
        <v>2656</v>
      </c>
    </row>
    <row r="241" spans="1:12" x14ac:dyDescent="0.2">
      <c r="A241" s="1274" t="s">
        <v>810</v>
      </c>
      <c r="B241" s="503">
        <v>2220</v>
      </c>
      <c r="C241" s="1673"/>
      <c r="D241" s="1573">
        <v>9300</v>
      </c>
      <c r="E241" s="1673"/>
      <c r="F241" s="1673"/>
      <c r="G241" s="1673"/>
      <c r="H241" s="1673"/>
      <c r="I241" s="1673"/>
      <c r="J241" s="1673"/>
      <c r="K241" s="1678">
        <f>D241</f>
        <v>9300</v>
      </c>
      <c r="L241" s="1573">
        <v>8745</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10669</v>
      </c>
      <c r="E243" s="1673"/>
      <c r="F243" s="1673"/>
      <c r="G243" s="1673"/>
      <c r="H243" s="1673"/>
      <c r="I243" s="1673"/>
      <c r="J243" s="1673"/>
      <c r="K243" s="1674">
        <f>SUM(K240:K242)</f>
        <v>10669</v>
      </c>
      <c r="L243" s="1674">
        <f>SUM(L240:L242)</f>
        <v>11401</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546</v>
      </c>
      <c r="E245" s="1673"/>
      <c r="F245" s="1673"/>
      <c r="G245" s="1673"/>
      <c r="H245" s="1673"/>
      <c r="I245" s="1673"/>
      <c r="J245" s="1673"/>
      <c r="K245" s="1678">
        <f>D245</f>
        <v>546</v>
      </c>
      <c r="L245" s="1586">
        <v>550</v>
      </c>
    </row>
    <row r="246" spans="1:12" x14ac:dyDescent="0.2">
      <c r="A246" s="1274" t="s">
        <v>813</v>
      </c>
      <c r="B246" s="503">
        <v>2320</v>
      </c>
      <c r="C246" s="1673"/>
      <c r="D246" s="1573">
        <v>13397</v>
      </c>
      <c r="E246" s="1673"/>
      <c r="F246" s="1673"/>
      <c r="G246" s="1673"/>
      <c r="H246" s="1673"/>
      <c r="I246" s="1673"/>
      <c r="J246" s="1673"/>
      <c r="K246" s="1678">
        <f t="shared" ref="K246:K256" si="21">D246</f>
        <v>13397</v>
      </c>
      <c r="L246" s="1573">
        <v>13506</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13943</v>
      </c>
      <c r="E257" s="1673"/>
      <c r="F257" s="1673"/>
      <c r="G257" s="1673"/>
      <c r="H257" s="1673"/>
      <c r="I257" s="1673"/>
      <c r="J257" s="1673"/>
      <c r="K257" s="1674">
        <f>SUM(K245:K256)</f>
        <v>13943</v>
      </c>
      <c r="L257" s="1674">
        <f>SUM(L245:L256)</f>
        <v>14056</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30640</v>
      </c>
      <c r="E259" s="1673"/>
      <c r="F259" s="1673"/>
      <c r="G259" s="1673"/>
      <c r="H259" s="1673"/>
      <c r="I259" s="1673"/>
      <c r="J259" s="1673"/>
      <c r="K259" s="1678">
        <f>D259</f>
        <v>30640</v>
      </c>
      <c r="L259" s="1586">
        <v>30493</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30640</v>
      </c>
      <c r="E261" s="1673"/>
      <c r="F261" s="1673"/>
      <c r="G261" s="1673"/>
      <c r="H261" s="1673"/>
      <c r="I261" s="1673"/>
      <c r="J261" s="1673"/>
      <c r="K261" s="1674">
        <f>SUM(K259:K260)</f>
        <v>30640</v>
      </c>
      <c r="L261" s="1674">
        <f>SUM(L259:L260)</f>
        <v>30493</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32160</v>
      </c>
      <c r="E264" s="1673"/>
      <c r="F264" s="1673"/>
      <c r="G264" s="1673"/>
      <c r="H264" s="1673"/>
      <c r="I264" s="1673"/>
      <c r="J264" s="1673"/>
      <c r="K264" s="1678">
        <f t="shared" ref="K264:K269" si="22">D264</f>
        <v>32160</v>
      </c>
      <c r="L264" s="1573">
        <v>34800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50678</v>
      </c>
      <c r="E266" s="1673"/>
      <c r="F266" s="1673"/>
      <c r="G266" s="1673"/>
      <c r="H266" s="1673"/>
      <c r="I266" s="1673"/>
      <c r="J266" s="1673"/>
      <c r="K266" s="1678">
        <f t="shared" si="22"/>
        <v>50678</v>
      </c>
      <c r="L266" s="1573">
        <v>67900</v>
      </c>
    </row>
    <row r="267" spans="1:14" x14ac:dyDescent="0.2">
      <c r="A267" s="1274" t="s">
        <v>947</v>
      </c>
      <c r="B267" s="503">
        <v>2550</v>
      </c>
      <c r="C267" s="1673"/>
      <c r="D267" s="1573">
        <v>32160</v>
      </c>
      <c r="E267" s="1673"/>
      <c r="F267" s="1673"/>
      <c r="G267" s="1673"/>
      <c r="H267" s="1673"/>
      <c r="I267" s="1673"/>
      <c r="J267" s="1673"/>
      <c r="K267" s="1678">
        <f t="shared" si="22"/>
        <v>32160</v>
      </c>
      <c r="L267" s="1573">
        <v>35550</v>
      </c>
    </row>
    <row r="268" spans="1:14" x14ac:dyDescent="0.2">
      <c r="A268" s="1274" t="s">
        <v>100</v>
      </c>
      <c r="B268" s="503">
        <v>2560</v>
      </c>
      <c r="C268" s="1673"/>
      <c r="D268" s="1573">
        <v>14114</v>
      </c>
      <c r="E268" s="1673"/>
      <c r="F268" s="1673"/>
      <c r="G268" s="1673"/>
      <c r="H268" s="1673"/>
      <c r="I268" s="1673"/>
      <c r="J268" s="1673"/>
      <c r="K268" s="1678">
        <f t="shared" si="22"/>
        <v>14114</v>
      </c>
      <c r="L268" s="1573">
        <v>14030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129112</v>
      </c>
      <c r="E270" s="1673"/>
      <c r="F270" s="1673"/>
      <c r="G270" s="1673"/>
      <c r="H270" s="1673"/>
      <c r="I270" s="1673"/>
      <c r="J270" s="1673"/>
      <c r="K270" s="1674">
        <f>SUM(K263:K269)</f>
        <v>129112</v>
      </c>
      <c r="L270" s="1674">
        <f>SUM(L263:L269)</f>
        <v>152280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45</v>
      </c>
      <c r="E272" s="1673"/>
      <c r="F272" s="1673"/>
      <c r="G272" s="1673"/>
      <c r="H272" s="1673"/>
      <c r="I272" s="1673"/>
      <c r="J272" s="1673"/>
      <c r="K272" s="1678">
        <f>D272</f>
        <v>45</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v>546</v>
      </c>
      <c r="E275" s="1673"/>
      <c r="F275" s="1673"/>
      <c r="G275" s="1673"/>
      <c r="H275" s="1673"/>
      <c r="I275" s="1673"/>
      <c r="J275" s="1673"/>
      <c r="K275" s="1678">
        <f>D275</f>
        <v>546</v>
      </c>
      <c r="L275" s="1573">
        <v>630</v>
      </c>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591</v>
      </c>
      <c r="E277" s="1673"/>
      <c r="F277" s="1673"/>
      <c r="G277" s="1673"/>
      <c r="H277" s="1673"/>
      <c r="I277" s="1673"/>
      <c r="J277" s="1673"/>
      <c r="K277" s="1674">
        <f>SUM(K272:K276)</f>
        <v>591</v>
      </c>
      <c r="L277" s="1674">
        <f>SUM(L272:L276)</f>
        <v>630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233269</v>
      </c>
      <c r="E279" s="1673"/>
      <c r="F279" s="1673"/>
      <c r="G279" s="1673"/>
      <c r="H279" s="1673"/>
      <c r="I279" s="1673"/>
      <c r="J279" s="1673"/>
      <c r="K279" s="1681">
        <f>SUM(K238,K243,K257,K261,K270,K277,K278)</f>
        <v>233269</v>
      </c>
      <c r="L279" s="1681">
        <f>SUM(L238,L243,L257,L261,L270,L277,L278)</f>
        <v>253812</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428834</v>
      </c>
      <c r="E295" s="1673"/>
      <c r="F295" s="1673"/>
      <c r="G295" s="1673"/>
      <c r="H295" s="1674">
        <f>H293</f>
        <v>0</v>
      </c>
      <c r="I295" s="1673"/>
      <c r="J295" s="1673"/>
      <c r="K295" s="1674">
        <f>SUM(K229,K279,K280,K285,K293,K294)</f>
        <v>428834</v>
      </c>
      <c r="L295" s="1674">
        <f>SUM(L229,L279,L280,L285,L293,L294)</f>
        <v>438146</v>
      </c>
    </row>
    <row r="296" spans="1:14" ht="13.5" thickTop="1" x14ac:dyDescent="0.2">
      <c r="A296" s="2287" t="s">
        <v>989</v>
      </c>
      <c r="B296" s="2288"/>
      <c r="C296" s="1673"/>
      <c r="D296" s="1675"/>
      <c r="E296" s="1673"/>
      <c r="F296" s="1673"/>
      <c r="G296" s="1673"/>
      <c r="H296" s="1707"/>
      <c r="I296" s="1673"/>
      <c r="J296" s="1673"/>
      <c r="K296" s="1689">
        <f>'Revenues 9-14'!G268-'Expenditures 15-22'!K295</f>
        <v>44526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v>716</v>
      </c>
      <c r="F321" s="1574"/>
      <c r="G321" s="1574"/>
      <c r="H321" s="1574"/>
      <c r="I321" s="1574"/>
      <c r="J321" s="1574"/>
      <c r="K321" s="1672">
        <f t="shared" si="24"/>
        <v>716</v>
      </c>
      <c r="L321" s="1574">
        <v>2000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v>38342</v>
      </c>
      <c r="F323" s="1574"/>
      <c r="G323" s="1574"/>
      <c r="H323" s="1574"/>
      <c r="I323" s="1574"/>
      <c r="J323" s="1574"/>
      <c r="K323" s="1672">
        <f t="shared" si="24"/>
        <v>38342</v>
      </c>
      <c r="L323" s="1574">
        <v>38342</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2000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39058</v>
      </c>
      <c r="F330" s="1674">
        <f t="shared" si="25"/>
        <v>0</v>
      </c>
      <c r="G330" s="1674">
        <f t="shared" si="25"/>
        <v>0</v>
      </c>
      <c r="H330" s="1674">
        <f t="shared" si="25"/>
        <v>0</v>
      </c>
      <c r="I330" s="1674">
        <f t="shared" si="25"/>
        <v>0</v>
      </c>
      <c r="J330" s="1674">
        <f t="shared" si="25"/>
        <v>0</v>
      </c>
      <c r="K330" s="1674">
        <f>SUM(K319:K329)</f>
        <v>39058</v>
      </c>
      <c r="L330" s="1674">
        <f>SUM(L319:L329)</f>
        <v>42342</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39058</v>
      </c>
      <c r="F342" s="1674">
        <f>SUM(F330)</f>
        <v>0</v>
      </c>
      <c r="G342" s="1674">
        <f>SUM(G330)</f>
        <v>0</v>
      </c>
      <c r="H342" s="1674">
        <f>SUM(H330,H334,H340)</f>
        <v>0</v>
      </c>
      <c r="I342" s="1674">
        <f>SUM(I330)</f>
        <v>0</v>
      </c>
      <c r="J342" s="1674">
        <f>SUM(J330)</f>
        <v>0</v>
      </c>
      <c r="K342" s="1674">
        <f>SUM(K330,K334,K340)</f>
        <v>39058</v>
      </c>
      <c r="L342" s="1681">
        <f>SUM(L330,L334,L340,L341)</f>
        <v>42342</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-18386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7" t="s">
        <v>989</v>
      </c>
      <c r="B368" s="2288"/>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infopath/2007/PartnerControls"/>
    <ds:schemaRef ds:uri="http://schemas.microsoft.com/office/2006/metadata/properties"/>
    <ds:schemaRef ds:uri="http://purl.org/dc/terms/"/>
    <ds:schemaRef ds:uri="http://schemas.microsoft.com/office/2006/documentManagement/types"/>
    <ds:schemaRef ds:uri="http://schemas.openxmlformats.org/package/2006/metadata/core-properties"/>
    <ds:schemaRef ds:uri="6ce3111e-7420-4802-b50a-75d4e9a0b980"/>
    <ds:schemaRef ds:uri="http://www.w3.org/XML/1998/namespace"/>
    <ds:schemaRef ds:uri="http://purl.org/dc/elements/1.1/"/>
    <ds:schemaRef ds:uri="4d435f69-8686-490b-bd6d-b153bf22ab50"/>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REF 35</vt:lpstr>
      <vt:lpstr>Opinion-Notes 36</vt:lpstr>
      <vt:lpstr>Itemization 34</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JONIC JEANNETTE</cp:lastModifiedBy>
  <cp:lastPrinted>2020-11-11T14:59:42Z</cp:lastPrinted>
  <dcterms:created xsi:type="dcterms:W3CDTF">2003-10-29T19:06:34Z</dcterms:created>
  <dcterms:modified xsi:type="dcterms:W3CDTF">2021-04-21T19:52:48Z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